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7 VA Building 408\"/>
    </mc:Choice>
  </mc:AlternateContent>
  <xr:revisionPtr revIDLastSave="0" documentId="13_ncr:1_{FBD9691B-C51D-47E5-8DDD-CB47B9750322}" xr6:coauthVersionLast="47" xr6:coauthVersionMax="47" xr10:uidLastSave="{00000000-0000-0000-0000-000000000000}"/>
  <bookViews>
    <workbookView xWindow="8880" yWindow="0" windowWidth="10320" windowHeight="10200" tabRatio="853"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6" i="21"/>
  <c r="O20" i="21"/>
  <c r="I18" i="21"/>
  <c r="I17" i="21"/>
  <c r="AA950" i="3"/>
  <c r="AA949" i="3"/>
  <c r="G24" i="7" l="1"/>
  <c r="AC886" i="3" l="1"/>
  <c r="AM554" i="3"/>
  <c r="E58" i="4" l="1"/>
  <c r="E56" i="4"/>
  <c r="E99" i="4" l="1"/>
  <c r="S40" i="4"/>
  <c r="S99" i="4"/>
  <c r="S92" i="4"/>
  <c r="S91" i="4"/>
  <c r="S90" i="4"/>
  <c r="S89" i="4"/>
  <c r="S85" i="4"/>
  <c r="AA919" i="3" l="1"/>
  <c r="AA918" i="3"/>
  <c r="T627" i="3" l="1"/>
  <c r="AF627" i="3" s="1"/>
  <c r="Q627"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70" i="21"/>
  <c r="B10" i="8"/>
  <c r="G10" i="8" s="1"/>
  <c r="E88" i="21"/>
  <c r="E79" i="21"/>
  <c r="B35" i="21"/>
  <c r="B20" i="21"/>
  <c r="B7" i="8"/>
  <c r="AK285" i="20"/>
  <c r="T814" i="20" s="1"/>
  <c r="AF814" i="20" s="1"/>
  <c r="BE78" i="3" s="1"/>
  <c r="B24" i="4"/>
  <c r="B36" i="4"/>
  <c r="E36" i="4" s="1"/>
  <c r="R36" i="4" s="1"/>
  <c r="B66" i="4"/>
  <c r="E66" i="4" s="1"/>
  <c r="R66" i="4" s="1"/>
  <c r="B67" i="4"/>
  <c r="E67" i="4" s="1"/>
  <c r="R67" i="4" s="1"/>
  <c r="B68" i="4"/>
  <c r="B69" i="4"/>
  <c r="E69" i="4" s="1"/>
  <c r="R69"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R100" i="4"/>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C80" i="11"/>
  <c r="C81" i="11"/>
  <c r="B80" i="11"/>
  <c r="B81" i="11"/>
  <c r="I96" i="13"/>
  <c r="J96" i="13"/>
  <c r="J81" i="13"/>
  <c r="I81" i="13"/>
  <c r="G81" i="13"/>
  <c r="F81" i="13"/>
  <c r="D81" i="13"/>
  <c r="C81" i="13"/>
  <c r="H80" i="13"/>
  <c r="E80" i="13"/>
  <c r="B80" i="13"/>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87" i="4"/>
  <c r="R76" i="4"/>
  <c r="R72" i="4"/>
  <c r="R73" i="4"/>
  <c r="R74" i="4"/>
  <c r="R61" i="4"/>
  <c r="R60" i="4"/>
  <c r="R59" i="4"/>
  <c r="R58" i="4"/>
  <c r="R57" i="4"/>
  <c r="R56" i="4"/>
  <c r="R53" i="4"/>
  <c r="R47" i="4"/>
  <c r="R34" i="4"/>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E5" i="4" s="1"/>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B32" i="4"/>
  <c r="E32" i="4" s="1"/>
  <c r="R32" i="4" s="1"/>
  <c r="B33" i="4"/>
  <c r="E33" i="4" s="1"/>
  <c r="R33" i="4" s="1"/>
  <c r="B34" i="4"/>
  <c r="B35" i="4"/>
  <c r="E35" i="4" s="1"/>
  <c r="R35" i="4" s="1"/>
  <c r="B37" i="4"/>
  <c r="E37" i="4" s="1"/>
  <c r="R37" i="4" s="1"/>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B46" i="4"/>
  <c r="E46" i="4" s="1"/>
  <c r="R46" i="4" s="1"/>
  <c r="B47" i="4"/>
  <c r="B48" i="4"/>
  <c r="E48" i="4" s="1"/>
  <c r="R48" i="4" s="1"/>
  <c r="B49" i="4"/>
  <c r="E49" i="4" s="1"/>
  <c r="R49" i="4" s="1"/>
  <c r="B50" i="4"/>
  <c r="E50" i="4" s="1"/>
  <c r="R50" i="4" s="1"/>
  <c r="B51" i="4"/>
  <c r="E51" i="4" s="1"/>
  <c r="R51" i="4" s="1"/>
  <c r="B52" i="4"/>
  <c r="E52" i="4" s="1"/>
  <c r="R52" i="4" s="1"/>
  <c r="B53" i="4"/>
  <c r="G54" i="4"/>
  <c r="K54" i="4"/>
  <c r="L54" i="4"/>
  <c r="O54" i="4"/>
  <c r="Q54" i="4"/>
  <c r="B56" i="4"/>
  <c r="B57" i="4"/>
  <c r="B58" i="4"/>
  <c r="B60" i="4"/>
  <c r="B61" i="4"/>
  <c r="E62"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F77" i="4"/>
  <c r="G77" i="4"/>
  <c r="H77" i="4"/>
  <c r="I77" i="4"/>
  <c r="K77" i="4"/>
  <c r="L77" i="4"/>
  <c r="Q77" i="4"/>
  <c r="B79" i="4"/>
  <c r="E79" i="4" s="1"/>
  <c r="R79" i="4" s="1"/>
  <c r="B83" i="4"/>
  <c r="E83" i="4" s="1"/>
  <c r="R83" i="4" s="1"/>
  <c r="B84" i="4"/>
  <c r="E84" i="4" s="1"/>
  <c r="R84" i="4" s="1"/>
  <c r="B85" i="4"/>
  <c r="E85" i="4" s="1"/>
  <c r="R85" i="4" s="1"/>
  <c r="B86" i="4"/>
  <c r="E86" i="4" s="1"/>
  <c r="R86" i="4" s="1"/>
  <c r="B87" i="4"/>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K104" i="4"/>
  <c r="L104" i="4"/>
  <c r="Q104" i="4"/>
  <c r="E108" i="4"/>
  <c r="F108" i="4"/>
  <c r="F30" i="4" s="1"/>
  <c r="G108" i="4"/>
  <c r="G30" i="4" s="1"/>
  <c r="G38" i="4" s="1"/>
  <c r="H108" i="4"/>
  <c r="I108" i="4"/>
  <c r="I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Q832" i="3"/>
  <c r="U832" i="3"/>
  <c r="Y832" i="3"/>
  <c r="AC832" i="3"/>
  <c r="AG832" i="3"/>
  <c r="Z902" i="3"/>
  <c r="E77" i="4" l="1"/>
  <c r="H30" i="4"/>
  <c r="H45" i="4" s="1"/>
  <c r="B26" i="4"/>
  <c r="O721" i="3"/>
  <c r="FJ721" i="3" s="1"/>
  <c r="FJ753" i="3" s="1"/>
  <c r="N226" i="20"/>
  <c r="N225" i="20"/>
  <c r="N224" i="20"/>
  <c r="E70" i="4"/>
  <c r="E8" i="4"/>
  <c r="E12" i="4" s="1"/>
  <c r="E38" i="4"/>
  <c r="R29" i="4"/>
  <c r="D32" i="11"/>
  <c r="E42" i="4"/>
  <c r="E96" i="4"/>
  <c r="D35" i="11"/>
  <c r="D94" i="11"/>
  <c r="E81" i="4"/>
  <c r="R99" i="4"/>
  <c r="R104" i="4" s="1"/>
  <c r="F38" i="4"/>
  <c r="F63" i="4" s="1"/>
  <c r="F97" i="4" s="1"/>
  <c r="F105" i="4" s="1"/>
  <c r="D93" i="11"/>
  <c r="D92" i="11"/>
  <c r="D25" i="11"/>
  <c r="F7" i="8"/>
  <c r="T721" i="3"/>
  <c r="F6" i="8"/>
  <c r="F5" i="8"/>
  <c r="T225" i="20" s="1"/>
  <c r="F4" i="8"/>
  <c r="T720" i="3"/>
  <c r="O720" i="3" s="1"/>
  <c r="T719" i="3"/>
  <c r="O719" i="3" s="1"/>
  <c r="T718" i="3"/>
  <c r="O718" i="3" s="1"/>
  <c r="FE718" i="3" s="1"/>
  <c r="C82" i="11"/>
  <c r="B8" i="4"/>
  <c r="N189" i="23" s="1"/>
  <c r="D70" i="11"/>
  <c r="D85" i="11"/>
  <c r="D104" i="11"/>
  <c r="D34" i="11"/>
  <c r="D86"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105" i="4" s="1"/>
  <c r="I58" i="7"/>
  <c r="C9" i="11"/>
  <c r="B63" i="11"/>
  <c r="T63" i="4"/>
  <c r="B96" i="4"/>
  <c r="B38" i="4"/>
  <c r="D84" i="11"/>
  <c r="B54" i="13"/>
  <c r="K63" i="4"/>
  <c r="K97" i="4" s="1"/>
  <c r="K105" i="4" s="1"/>
  <c r="S63" i="4"/>
  <c r="E104" i="13"/>
  <c r="CI753" i="3"/>
  <c r="X1048" i="3" s="1"/>
  <c r="BG243" i="3"/>
  <c r="BO245" i="3" s="1"/>
  <c r="T267" i="3" s="1"/>
  <c r="S38" i="21"/>
  <c r="S37" i="21"/>
  <c r="S36" i="21"/>
  <c r="S43" i="21"/>
  <c r="S35" i="21"/>
  <c r="S42" i="21"/>
  <c r="S34" i="21"/>
  <c r="S41" i="21"/>
  <c r="U33" i="21"/>
  <c r="S33" i="21"/>
  <c r="S44" i="21"/>
  <c r="S40" i="21"/>
  <c r="U32" i="21"/>
  <c r="S32" i="21"/>
  <c r="U24" i="21"/>
  <c r="U28" i="21"/>
  <c r="S39" i="21"/>
  <c r="T22" i="21"/>
  <c r="U37" i="21"/>
  <c r="U29" i="21"/>
  <c r="T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R30" i="4" l="1"/>
  <c r="AB225" i="20"/>
  <c r="X721" i="3"/>
  <c r="AH721" i="3" s="1"/>
  <c r="H38" i="4"/>
  <c r="H54" i="4"/>
  <c r="E45" i="4"/>
  <c r="R45" i="4" s="1"/>
  <c r="R54" i="4" s="1"/>
  <c r="G4" i="8"/>
  <c r="T224" i="20"/>
  <c r="AB224" i="20" s="1"/>
  <c r="R38" i="4"/>
  <c r="AJ621" i="20"/>
  <c r="AK794" i="20" s="1"/>
  <c r="T819" i="20" s="1"/>
  <c r="AF819" i="20" s="1"/>
  <c r="BE82" i="3" s="1"/>
  <c r="G94" i="21"/>
  <c r="U23" i="21"/>
  <c r="O23" i="21" s="1"/>
  <c r="T226" i="20"/>
  <c r="AB226" i="20" s="1"/>
  <c r="D7" i="8"/>
  <c r="I7" i="8" s="1"/>
  <c r="J7" i="8" s="1"/>
  <c r="AQ115" i="20"/>
  <c r="D105" i="11"/>
  <c r="B12" i="4"/>
  <c r="N195" i="23"/>
  <c r="AQ113" i="20"/>
  <c r="D5" i="8"/>
  <c r="I5" i="8" s="1"/>
  <c r="J5" i="8" s="1"/>
  <c r="X719" i="3"/>
  <c r="AH719" i="3" s="1"/>
  <c r="G7" i="8"/>
  <c r="X720" i="3"/>
  <c r="AH720" i="3" s="1"/>
  <c r="AQ114" i="20"/>
  <c r="D6" i="8"/>
  <c r="I6" i="8" s="1"/>
  <c r="J6" i="8" s="1"/>
  <c r="FE719" i="3"/>
  <c r="EC636" i="3" s="1"/>
  <c r="U21" i="21"/>
  <c r="O21" i="21" s="1"/>
  <c r="U22" i="21"/>
  <c r="O22" i="21" s="1"/>
  <c r="FE720" i="3"/>
  <c r="EC637" i="3" s="1"/>
  <c r="O753" i="3"/>
  <c r="D40" i="8" s="1"/>
  <c r="D4" i="8"/>
  <c r="I4" i="8" s="1"/>
  <c r="J4" i="8" s="1"/>
  <c r="AQ112" i="20"/>
  <c r="X718" i="3"/>
  <c r="AH718" i="3" s="1"/>
  <c r="G5" i="8"/>
  <c r="U20" i="21"/>
  <c r="D82" i="11"/>
  <c r="G6" i="8"/>
  <c r="D43" i="11"/>
  <c r="D55" i="11"/>
  <c r="D71" i="11"/>
  <c r="D39" i="11"/>
  <c r="D78" i="11"/>
  <c r="R12" i="4"/>
  <c r="D12" i="11"/>
  <c r="D63" i="11"/>
  <c r="B13" i="11"/>
  <c r="C64" i="11"/>
  <c r="C98" i="11" s="1"/>
  <c r="B64" i="11"/>
  <c r="B98" i="11" s="1"/>
  <c r="B106" i="11" s="1"/>
  <c r="B63" i="4"/>
  <c r="D27" i="11"/>
  <c r="D97" i="11"/>
  <c r="T97" i="4"/>
  <c r="H63" i="13"/>
  <c r="AO39" i="20"/>
  <c r="AK62" i="20" s="1"/>
  <c r="T804" i="20" s="1"/>
  <c r="AF804" i="20" s="1"/>
  <c r="BE71" i="3" s="1"/>
  <c r="E63" i="13"/>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H63" i="4" l="1"/>
  <c r="H97" i="4" s="1"/>
  <c r="H105" i="4" s="1"/>
  <c r="E54" i="4"/>
  <c r="E63" i="4" s="1"/>
  <c r="E97" i="4" s="1"/>
  <c r="E105" i="4" s="1"/>
  <c r="R63" i="4"/>
  <c r="R97" i="4" s="1"/>
  <c r="R105" i="4" s="1"/>
  <c r="BU718" i="3"/>
  <c r="BU719" i="3"/>
  <c r="AB234" i="20"/>
  <c r="AB250" i="20" s="1"/>
  <c r="AB252" i="20" s="1"/>
  <c r="AB254" i="20" s="1"/>
  <c r="AB260" i="20" s="1"/>
  <c r="AD209" i="20" s="1"/>
  <c r="AD211" i="20" s="1"/>
  <c r="G42" i="21" a="1"/>
  <c r="G42" i="21" s="1"/>
  <c r="G43" i="21" s="1"/>
  <c r="J40" i="8"/>
  <c r="G40" i="8"/>
  <c r="Y801" i="3"/>
  <c r="E4" i="7" s="1"/>
  <c r="E5" i="7" s="1"/>
  <c r="Y800" i="3"/>
  <c r="FE753" i="3"/>
  <c r="BU720" i="3"/>
  <c r="D64" i="11"/>
  <c r="B105" i="4"/>
  <c r="AB47" i="15"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BU753" i="3" l="1"/>
  <c r="AH753" i="3" s="1"/>
  <c r="BE43" i="3" s="1"/>
  <c r="G4" i="7"/>
  <c r="G5" i="7" s="1"/>
  <c r="Z809" i="3"/>
  <c r="E6" i="7" s="1"/>
  <c r="M960" i="3"/>
  <c r="M961" i="3" s="1"/>
  <c r="T805" i="20"/>
  <c r="AF805" i="20" s="1"/>
  <c r="BE72"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P706" i="20"/>
  <c r="K9" i="7"/>
  <c r="AJ992" i="3"/>
  <c r="AJ994" i="3" s="1"/>
  <c r="E138" i="20"/>
  <c r="E139" i="20" s="1"/>
  <c r="AK143" i="20" s="1"/>
  <c r="T807" i="20" s="1"/>
  <c r="AF807" i="20" s="1"/>
  <c r="BE74" i="3" s="1"/>
  <c r="AB991" i="3"/>
  <c r="DU802" i="3"/>
  <c r="U373" i="20" s="1"/>
  <c r="P421" i="3"/>
  <c r="M22" i="7"/>
  <c r="M35" i="7" s="1"/>
  <c r="O15" i="7"/>
  <c r="M9" i="7"/>
  <c r="O8" i="7"/>
  <c r="G27" i="21"/>
  <c r="F26" i="21"/>
  <c r="Z818" i="3" l="1"/>
  <c r="I4" i="7"/>
  <c r="I5" i="7" s="1"/>
  <c r="G6" i="7"/>
  <c r="E7" i="7"/>
  <c r="E11" i="7" s="1"/>
  <c r="E37" i="7" s="1"/>
  <c r="E49" i="7" s="1"/>
  <c r="AD11" i="15"/>
  <c r="AD23" i="15" s="1"/>
  <c r="AD26" i="15" s="1"/>
  <c r="AD28" i="15" s="1"/>
  <c r="AI11" i="15"/>
  <c r="AI23" i="15" s="1"/>
  <c r="AI26" i="15" s="1"/>
  <c r="AI28" i="15" s="1"/>
  <c r="AJ1013" i="3"/>
  <c r="AJ1029" i="3"/>
  <c r="BE44" i="3"/>
  <c r="F457" i="3"/>
  <c r="N196" i="23"/>
  <c r="N186" i="23"/>
  <c r="S58" i="7"/>
  <c r="U53" i="7"/>
  <c r="AJ1045" i="3"/>
  <c r="AJ1049" i="3"/>
  <c r="AP553" i="20" s="1"/>
  <c r="AP550" i="20"/>
  <c r="G26" i="21"/>
  <c r="F29" i="21"/>
  <c r="G29" i="21"/>
  <c r="O22" i="7"/>
  <c r="O35" i="7" s="1"/>
  <c r="Q15" i="7"/>
  <c r="O9" i="7"/>
  <c r="Q8" i="7"/>
  <c r="K4" i="7" l="1"/>
  <c r="M4" i="7" s="1"/>
  <c r="E45" i="7"/>
  <c r="E48" i="7" s="1"/>
  <c r="I6" i="7"/>
  <c r="G7" i="7"/>
  <c r="G11" i="7" s="1"/>
  <c r="G37" i="7" s="1"/>
  <c r="U58" i="7"/>
  <c r="W53" i="7"/>
  <c r="AJ1053" i="3"/>
  <c r="AP552" i="20"/>
  <c r="AP554" i="20" s="1"/>
  <c r="K5" i="7"/>
  <c r="O4" i="7"/>
  <c r="M5" i="7"/>
  <c r="Q22" i="7"/>
  <c r="Q35" i="7" s="1"/>
  <c r="S15" i="7"/>
  <c r="G79" i="21"/>
  <c r="G80" i="21" s="1"/>
  <c r="E15" i="21" s="1"/>
  <c r="G31" i="21"/>
  <c r="G33" i="21" s="1"/>
  <c r="E9" i="21" s="1"/>
  <c r="G88" i="21"/>
  <c r="G90" i="21" s="1"/>
  <c r="E16" i="21" s="1"/>
  <c r="G111" i="21"/>
  <c r="G96" i="21"/>
  <c r="Q9" i="7"/>
  <c r="S8" i="7"/>
  <c r="E60" i="7" l="1"/>
  <c r="E62" i="7" s="1"/>
  <c r="E47" i="7"/>
  <c r="I7" i="7"/>
  <c r="I11" i="7" s="1"/>
  <c r="I37" i="7" s="1"/>
  <c r="K6" i="7"/>
  <c r="G45" i="7"/>
  <c r="G49" i="7"/>
  <c r="W58" i="7"/>
  <c r="Y53" i="7"/>
  <c r="T24" i="15"/>
  <c r="AP557" i="20"/>
  <c r="AP556" i="20" s="1"/>
  <c r="AP559" i="20" s="1"/>
  <c r="AF552" i="20" s="1"/>
  <c r="E66" i="7"/>
  <c r="E67" i="7"/>
  <c r="O5" i="7"/>
  <c r="Q4" i="7"/>
  <c r="G101" i="21"/>
  <c r="G113" i="21"/>
  <c r="G97" i="21"/>
  <c r="S22" i="7"/>
  <c r="S35" i="7" s="1"/>
  <c r="U15" i="7"/>
  <c r="U8" i="7"/>
  <c r="S9" i="7"/>
  <c r="M6" i="7" l="1"/>
  <c r="K7" i="7"/>
  <c r="K11" i="7" s="1"/>
  <c r="K37" i="7" s="1"/>
  <c r="K45" i="7" s="1"/>
  <c r="K48" i="7" s="1"/>
  <c r="G60" i="7"/>
  <c r="G47" i="7"/>
  <c r="G48" i="7"/>
  <c r="I49" i="7"/>
  <c r="I45" i="7"/>
  <c r="AA53" i="7"/>
  <c r="Y58" i="7"/>
  <c r="G115" i="21"/>
  <c r="E17" i="21" s="1"/>
  <c r="E14" i="21" s="1"/>
  <c r="E18" i="21" s="1"/>
  <c r="K49" i="7"/>
  <c r="E70" i="7"/>
  <c r="E72" i="7" s="1"/>
  <c r="S4" i="7"/>
  <c r="Q5" i="7"/>
  <c r="U22" i="7"/>
  <c r="U35" i="7" s="1"/>
  <c r="W15" i="7"/>
  <c r="U9" i="7"/>
  <c r="W8" i="7"/>
  <c r="K60" i="7" l="1"/>
  <c r="K47" i="7"/>
  <c r="I48" i="7"/>
  <c r="I60" i="7"/>
  <c r="I47" i="7"/>
  <c r="G62" i="7"/>
  <c r="G67" i="7"/>
  <c r="G66" i="7"/>
  <c r="O6" i="7"/>
  <c r="M7" i="7"/>
  <c r="M11" i="7" s="1"/>
  <c r="M37" i="7" s="1"/>
  <c r="AC53" i="7"/>
  <c r="AA58" i="7"/>
  <c r="U4" i="7"/>
  <c r="S5" i="7"/>
  <c r="K66" i="7"/>
  <c r="K67" i="7"/>
  <c r="K62" i="7"/>
  <c r="W22" i="7"/>
  <c r="W35" i="7" s="1"/>
  <c r="Y15" i="7"/>
  <c r="W9" i="7"/>
  <c r="Y8" i="7"/>
  <c r="G70" i="7" l="1"/>
  <c r="G72" i="7" s="1"/>
  <c r="M49" i="7"/>
  <c r="M45" i="7"/>
  <c r="Q6" i="7"/>
  <c r="O7" i="7"/>
  <c r="O11" i="7" s="1"/>
  <c r="O37" i="7" s="1"/>
  <c r="I67" i="7"/>
  <c r="I62" i="7"/>
  <c r="I66" i="7"/>
  <c r="I70" i="7" s="1"/>
  <c r="I72" i="7" s="1"/>
  <c r="AE53" i="7"/>
  <c r="AC58" i="7"/>
  <c r="U5" i="7"/>
  <c r="W4" i="7"/>
  <c r="K70" i="7"/>
  <c r="K72" i="7" s="1"/>
  <c r="Y22" i="7"/>
  <c r="Y35" i="7" s="1"/>
  <c r="AA15" i="7"/>
  <c r="Y9" i="7"/>
  <c r="AA8" i="7"/>
  <c r="O49" i="7" l="1"/>
  <c r="O45" i="7"/>
  <c r="Q7" i="7"/>
  <c r="Q11" i="7" s="1"/>
  <c r="Q37" i="7" s="1"/>
  <c r="S6" i="7"/>
  <c r="M60" i="7"/>
  <c r="M48" i="7"/>
  <c r="M47" i="7"/>
  <c r="AG53" i="7"/>
  <c r="AG58" i="7" s="1"/>
  <c r="AE58" i="7"/>
  <c r="W5" i="7"/>
  <c r="Y4" i="7"/>
  <c r="AC15" i="7"/>
  <c r="AA22" i="7"/>
  <c r="AA35" i="7" s="1"/>
  <c r="AC8" i="7"/>
  <c r="AA9" i="7"/>
  <c r="M62" i="7" l="1"/>
  <c r="M67" i="7"/>
  <c r="M66" i="7"/>
  <c r="S7" i="7"/>
  <c r="S11" i="7" s="1"/>
  <c r="S37" i="7" s="1"/>
  <c r="U6" i="7"/>
  <c r="Q49" i="7"/>
  <c r="Q45" i="7"/>
  <c r="O47" i="7"/>
  <c r="O48" i="7"/>
  <c r="O60" i="7"/>
  <c r="AA4" i="7"/>
  <c r="Y5" i="7"/>
  <c r="AE15" i="7"/>
  <c r="AC22" i="7"/>
  <c r="AC35" i="7" s="1"/>
  <c r="AC9" i="7"/>
  <c r="AE8" i="7"/>
  <c r="M70" i="7" l="1"/>
  <c r="M72" i="7" s="1"/>
  <c r="O62" i="7"/>
  <c r="O67" i="7"/>
  <c r="O66" i="7"/>
  <c r="O70" i="7" s="1"/>
  <c r="Q60" i="7"/>
  <c r="Q48" i="7"/>
  <c r="Q47" i="7"/>
  <c r="U7" i="7"/>
  <c r="U11" i="7" s="1"/>
  <c r="U37" i="7" s="1"/>
  <c r="W6" i="7"/>
  <c r="S49" i="7"/>
  <c r="S45" i="7"/>
  <c r="AA5" i="7"/>
  <c r="AC4" i="7"/>
  <c r="AE22" i="7"/>
  <c r="AE35" i="7" s="1"/>
  <c r="AG15" i="7"/>
  <c r="AG22" i="7" s="1"/>
  <c r="AG35" i="7" s="1"/>
  <c r="AE9" i="7"/>
  <c r="AG8" i="7"/>
  <c r="AG9" i="7" s="1"/>
  <c r="O72" i="7" l="1"/>
  <c r="S48" i="7"/>
  <c r="S47" i="7"/>
  <c r="S60" i="7"/>
  <c r="Y6" i="7"/>
  <c r="W7" i="7"/>
  <c r="W11" i="7" s="1"/>
  <c r="W37" i="7" s="1"/>
  <c r="U45" i="7"/>
  <c r="U49" i="7"/>
  <c r="Q66" i="7"/>
  <c r="Q67" i="7"/>
  <c r="Q62" i="7"/>
  <c r="AC5" i="7"/>
  <c r="AE4" i="7"/>
  <c r="U60" i="7" l="1"/>
  <c r="U47" i="7"/>
  <c r="U48" i="7"/>
  <c r="Q70" i="7"/>
  <c r="Q72" i="7" s="1"/>
  <c r="W49" i="7"/>
  <c r="W45" i="7"/>
  <c r="Y7" i="7"/>
  <c r="Y11" i="7" s="1"/>
  <c r="Y37" i="7" s="1"/>
  <c r="AA6" i="7"/>
  <c r="S67" i="7"/>
  <c r="S62" i="7"/>
  <c r="S66" i="7"/>
  <c r="S70" i="7" s="1"/>
  <c r="S72" i="7" s="1"/>
  <c r="AE5" i="7"/>
  <c r="AG4" i="7"/>
  <c r="AC6" i="7" l="1"/>
  <c r="AA7" i="7"/>
  <c r="AA11" i="7" s="1"/>
  <c r="AA37" i="7" s="1"/>
  <c r="W47" i="7"/>
  <c r="W48" i="7"/>
  <c r="W60" i="7"/>
  <c r="Y49" i="7"/>
  <c r="Y45" i="7"/>
  <c r="U67" i="7"/>
  <c r="U62" i="7"/>
  <c r="U66" i="7"/>
  <c r="U70" i="7" s="1"/>
  <c r="U72" i="7" s="1"/>
  <c r="AG5" i="7"/>
  <c r="Y48" i="7" l="1"/>
  <c r="Y60" i="7"/>
  <c r="Y47" i="7"/>
  <c r="W67" i="7"/>
  <c r="W62" i="7"/>
  <c r="W66" i="7"/>
  <c r="W70" i="7" s="1"/>
  <c r="W72" i="7" s="1"/>
  <c r="AA49" i="7"/>
  <c r="AA45" i="7"/>
  <c r="AE6" i="7"/>
  <c r="AC7" i="7"/>
  <c r="AC11" i="7" s="1"/>
  <c r="AC37" i="7" s="1"/>
  <c r="AC49" i="7" l="1"/>
  <c r="AC45" i="7"/>
  <c r="AE7" i="7"/>
  <c r="AE11" i="7" s="1"/>
  <c r="AE37" i="7" s="1"/>
  <c r="AG6" i="7"/>
  <c r="AG7" i="7" s="1"/>
  <c r="AG11" i="7" s="1"/>
  <c r="AG37" i="7" s="1"/>
  <c r="AG49" i="7" s="1"/>
  <c r="AA60" i="7"/>
  <c r="AA48" i="7"/>
  <c r="AA47" i="7"/>
  <c r="Y67" i="7"/>
  <c r="Y62" i="7"/>
  <c r="Y66" i="7"/>
  <c r="Y70" i="7" l="1"/>
  <c r="Y72" i="7" s="1"/>
  <c r="AA66" i="7"/>
  <c r="AA67" i="7"/>
  <c r="AA62" i="7"/>
  <c r="AG45" i="7"/>
  <c r="AG47" i="7" s="1"/>
  <c r="AE49" i="7"/>
  <c r="AE45" i="7"/>
  <c r="AC47" i="7"/>
  <c r="AC48" i="7"/>
  <c r="AC60" i="7"/>
  <c r="AG48" i="7"/>
  <c r="AG60" i="7"/>
  <c r="AC62" i="7" l="1"/>
  <c r="AC67" i="7"/>
  <c r="AC66" i="7"/>
  <c r="AC70" i="7" s="1"/>
  <c r="AC72" i="7" s="1"/>
  <c r="AE48" i="7"/>
  <c r="AE47" i="7"/>
  <c r="AE60" i="7"/>
  <c r="AA70" i="7"/>
  <c r="AA72" i="7" s="1"/>
  <c r="AG62" i="7"/>
  <c r="AG66" i="7"/>
  <c r="AG67" i="7"/>
  <c r="AE62" i="7" l="1"/>
  <c r="AE67" i="7"/>
  <c r="AE66" i="7"/>
  <c r="AE70" i="7" s="1"/>
  <c r="AG70" i="7"/>
  <c r="AG72" i="7" s="1"/>
  <c r="BH753" i="3"/>
  <c r="AC753" i="3" s="1"/>
  <c r="AE72" i="7" l="1"/>
  <c r="BE42" i="3"/>
  <c r="E93" i="20"/>
  <c r="E94" i="20" s="1"/>
  <c r="E95" i="20" s="1"/>
  <c r="E103" i="20"/>
  <c r="E106" i="20" s="1"/>
  <c r="AP106" i="20" s="1"/>
  <c r="AK109" i="20" s="1"/>
  <c r="T806" i="20" s="1"/>
  <c r="AF806" i="20" s="1"/>
  <c r="BE73" i="3" l="1"/>
  <c r="H3" i="21"/>
  <c r="E66" i="13" l="1"/>
  <c r="S70" i="4"/>
  <c r="S97" i="4" s="1"/>
  <c r="E97" i="13" l="1"/>
  <c r="S105" i="4"/>
  <c r="AZ1046" i="3"/>
  <c r="E70" i="13"/>
  <c r="E105" i="13" l="1"/>
  <c r="S107" i="4"/>
  <c r="AE699" i="3" s="1"/>
  <c r="BA1056" i="3"/>
  <c r="AZ1051" i="3"/>
  <c r="BA1055" i="3" s="1"/>
  <c r="BA1059" i="3" s="1"/>
  <c r="AC456" i="3" l="1"/>
  <c r="AF551" i="20"/>
  <c r="AF553" i="20" s="1"/>
  <c r="AK559" i="20" s="1"/>
  <c r="T818" i="20" s="1"/>
  <c r="AF818" i="20" s="1"/>
  <c r="E107" i="13"/>
  <c r="AA1056" i="3"/>
  <c r="AA1057" i="3" s="1"/>
  <c r="G1058" i="3" s="1"/>
  <c r="T11" i="15" l="1"/>
  <c r="T23" i="15" s="1"/>
  <c r="T26" i="15" s="1"/>
  <c r="T28" i="15" s="1"/>
  <c r="Y11" i="15"/>
  <c r="Y23" i="15" s="1"/>
  <c r="Y26" i="15" s="1"/>
  <c r="Y28" i="15" s="1"/>
  <c r="Y64" i="15" s="1"/>
  <c r="Y68" i="15" s="1"/>
  <c r="Y69" i="15" s="1"/>
  <c r="BE81" i="3"/>
  <c r="AF821" i="20"/>
  <c r="BE70" i="3" s="1"/>
  <c r="T29" i="15" l="1"/>
  <c r="AD38" i="15"/>
  <c r="AD40" i="15" s="1"/>
  <c r="Y38" i="15"/>
  <c r="Y40" i="15" s="1"/>
  <c r="Y41" i="15" s="1"/>
  <c r="AB50" i="15" l="1"/>
  <c r="BE62" i="3" l="1"/>
  <c r="AB54" i="15"/>
  <c r="AB55" i="15" s="1"/>
  <c r="AB56" i="15" s="1"/>
  <c r="M26" i="3" l="1"/>
  <c r="AB57" i="15"/>
  <c r="AB59" i="15" s="1"/>
  <c r="AB77" i="15" s="1"/>
  <c r="AB78" i="15" s="1"/>
  <c r="AB79" i="15" s="1"/>
  <c r="AB81" i="15" s="1"/>
  <c r="J82" i="15" s="1"/>
  <c r="M27" i="3" l="1"/>
  <c r="BE20" i="3" s="1"/>
  <c r="I10" i="21"/>
  <c r="I11" i="21" s="1"/>
  <c r="H4" i="21" s="1"/>
  <c r="H5" i="21" s="1"/>
  <c r="BE83" i="3" s="1"/>
  <c r="BE19" i="3"/>
  <c r="P204" i="3"/>
  <c r="P20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<sst xmlns="http://schemas.openxmlformats.org/spreadsheetml/2006/main" count="5024" uniqueCount="2772">
  <si>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</si>
  <si>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</si>
  <si>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</si>
  <si>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</si>
  <si>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</si>
  <si>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</si>
  <si>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</si>
  <si>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</si>
  <si>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</si>
  <si>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</si>
  <si>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</si>
  <si>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</si>
  <si>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</si>
  <si>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</si>
  <si>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</si>
  <si>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</si>
  <si>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</si>
  <si>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</si>
  <si>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</si>
  <si>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</si>
  <si>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</si>
  <si>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</si>
  <si>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</si>
  <si>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</si>
  <si>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</si>
  <si>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</si>
  <si>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</si>
  <si>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</si>
  <si>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</si>
  <si>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</si>
  <si>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</si>
  <si>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</si>
  <si>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</si>
  <si>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</si>
  <si>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</si>
  <si>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</si>
  <si>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</si>
  <si>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</si>
  <si>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</si>
  <si>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</si>
  <si>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</si>
  <si>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</si>
  <si>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</si>
  <si>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</si>
  <si>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</si>
  <si>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</si>
  <si>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</si>
  <si>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</si>
  <si>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</si>
  <si>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</si>
  <si>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</si>
  <si>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</si>
  <si>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</si>
  <si>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</si>
  <si>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</si>
  <si>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</si>
  <si>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</si>
  <si>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</si>
  <si>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</si>
  <si>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</si>
  <si>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</si>
  <si>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</si>
  <si>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</si>
  <si>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</si>
  <si>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</si>
  <si>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</si>
  <si>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</si>
  <si>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</si>
  <si>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</si>
  <si>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</si>
  <si>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</si>
  <si>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</si>
  <si>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</si>
  <si>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</si>
  <si>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</si>
  <si>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</si>
  <si>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</si>
  <si>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</si>
  <si>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</si>
  <si>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</si>
  <si>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</si>
  <si>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</si>
  <si>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</si>
  <si>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</si>
  <si>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</si>
  <si>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</si>
  <si>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</si>
  <si>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</si>
  <si>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</si>
  <si>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</si>
  <si>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</si>
  <si>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</si>
  <si>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</si>
  <si>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</si>
  <si>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</si>
  <si>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</si>
  <si>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</si>
  <si>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</si>
  <si>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</si>
  <si>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</si>
  <si>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</si>
  <si>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</si>
  <si>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</si>
  <si>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</si>
  <si>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</si>
  <si>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</si>
  <si>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</si>
  <si>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</si>
  <si>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</si>
  <si>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</si>
  <si>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</si>
  <si>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</si>
  <si>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</si>
  <si>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</si>
  <si>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</si>
  <si>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</si>
  <si>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</si>
  <si>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</si>
  <si>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</si>
  <si>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</si>
  <si>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</si>
  <si>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</si>
  <si>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</si>
  <si>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</si>
  <si>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</si>
  <si>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</si>
  <si>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</si>
  <si>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</si>
  <si>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</si>
  <si>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</si>
  <si>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</si>
  <si>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</si>
  <si>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</si>
  <si>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</si>
  <si>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</si>
  <si>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</si>
  <si>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</si>
  <si>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</si>
  <si>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</si>
  <si>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</si>
  <si>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</si>
  <si>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</si>
  <si>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</si>
  <si>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</si>
  <si>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</si>
  <si>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</si>
  <si>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</si>
  <si>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</si>
  <si>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</si>
  <si>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</si>
  <si>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</si>
  <si>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</si>
  <si>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</si>
  <si>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</si>
  <si>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</si>
  <si>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</si>
  <si>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</si>
  <si>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</si>
  <si>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</si>
  <si>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</si>
  <si>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</si>
  <si>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</si>
  <si>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</si>
  <si>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</si>
  <si>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</si>
  <si>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</si>
  <si>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</si>
  <si>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</si>
  <si>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</si>
  <si>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</si>
  <si>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</si>
  <si>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</si>
  <si>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</si>
  <si>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</si>
  <si>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</si>
  <si>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</si>
  <si>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</si>
  <si>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</si>
  <si>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</si>
  <si>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</si>
  <si>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</si>
  <si>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</si>
  <si>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</si>
  <si>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</si>
  <si>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</si>
  <si>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</si>
  <si>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</si>
  <si>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</si>
  <si>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</si>
  <si>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</si>
  <si>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</si>
  <si>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</si>
  <si>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</si>
  <si>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</si>
  <si>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</si>
  <si>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</si>
  <si>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</si>
  <si>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</si>
  <si>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</si>
  <si>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</si>
  <si>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</si>
  <si>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</si>
  <si>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</si>
  <si>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</si>
  <si>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</si>
  <si>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</si>
  <si>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</si>
  <si>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</si>
  <si>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</si>
  <si>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</si>
  <si>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</si>
  <si>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</si>
  <si>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</si>
  <si>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</si>
  <si>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</si>
  <si>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</si>
  <si>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</si>
  <si>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</si>
  <si>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</si>
  <si>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</si>
  <si>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</si>
  <si>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</si>
  <si>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</si>
  <si>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</si>
  <si>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</si>
  <si>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</si>
  <si>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</si>
  <si>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</si>
  <si>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</si>
  <si>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</si>
  <si>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</si>
  <si>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</si>
  <si>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</si>
  <si>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</si>
  <si>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</si>
  <si>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</si>
  <si>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</si>
  <si>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</si>
  <si>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</si>
  <si>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</si>
  <si>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</si>
  <si>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</si>
  <si>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</si>
  <si>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</si>
  <si>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</si>
  <si>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</si>
  <si>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</si>
  <si>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</si>
  <si>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</si>
  <si>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</si>
  <si>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</si>
  <si>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</si>
  <si>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</si>
  <si>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</si>
  <si>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</si>
  <si>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</si>
  <si>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</si>
  <si>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</si>
  <si>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</si>
  <si>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</si>
  <si>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</si>
  <si>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</si>
  <si>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</si>
  <si>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</si>
  <si>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</si>
  <si>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</si>
  <si>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</si>
  <si>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</si>
  <si>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</si>
  <si>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</si>
  <si>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</si>
  <si>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</si>
  <si>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</si>
  <si>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</si>
  <si>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</si>
  <si>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</si>
  <si>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</si>
  <si>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</si>
  <si>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</si>
  <si>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</si>
  <si>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</si>
  <si>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</si>
  <si>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</si>
  <si>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</si>
  <si>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</si>
  <si>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</si>
  <si>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</si>
  <si>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</si>
  <si>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</si>
  <si>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</si>
  <si>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</si>
  <si>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</si>
  <si>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</si>
  <si>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</si>
  <si>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</si>
  <si>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</si>
  <si>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</si>
  <si>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</si>
  <si>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</si>
  <si>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</si>
  <si>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</si>
  <si>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</si>
  <si>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</si>
  <si>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</si>
  <si>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</si>
  <si>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</si>
  <si>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</si>
  <si>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</si>
  <si>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</si>
  <si>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</si>
  <si>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</si>
  <si>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</si>
  <si>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</si>
  <si>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</si>
  <si>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</si>
  <si>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</si>
  <si>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</si>
  <si>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</si>
  <si>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</si>
  <si>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</si>
  <si>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</si>
  <si>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</si>
  <si>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</si>
  <si>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</si>
  <si>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</si>
  <si>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</si>
  <si>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</si>
  <si>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</si>
  <si>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</si>
  <si>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</si>
  <si>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</si>
  <si>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</si>
  <si>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</si>
  <si>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</si>
  <si>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</si>
  <si>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</si>
  <si>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</si>
  <si>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</si>
  <si>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</si>
  <si>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</si>
  <si>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</si>
  <si>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</si>
  <si>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</si>
  <si>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</si>
  <si>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</si>
  <si>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</si>
  <si>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</si>
  <si>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</si>
  <si>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</si>
  <si>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</si>
  <si>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</si>
  <si>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</si>
  <si>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</si>
  <si>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</si>
  <si>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</si>
  <si>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</si>
  <si>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</si>
  <si>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</si>
  <si>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</si>
  <si>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</si>
  <si>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</si>
  <si>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</si>
  <si>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</si>
  <si>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</si>
  <si>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</si>
  <si>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</si>
  <si>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</si>
  <si>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</si>
  <si>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</si>
  <si>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</si>
  <si>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</si>
  <si>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</si>
  <si>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</si>
  <si>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</si>
  <si>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</si>
  <si>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</si>
  <si>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</si>
  <si>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</si>
  <si>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</si>
  <si>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</si>
  <si>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</si>
  <si>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</si>
  <si>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</si>
  <si>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</si>
  <si>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</si>
  <si>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</si>
  <si>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</si>
  <si>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</si>
  <si>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</si>
  <si>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</si>
  <si>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</si>
  <si>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</si>
  <si>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</si>
  <si>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</si>
  <si>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</si>
  <si>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</si>
  <si>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</si>
  <si>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</si>
  <si>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</si>
  <si>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</si>
  <si>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</si>
  <si>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</si>
  <si>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</si>
  <si>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</si>
  <si>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</si>
  <si>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</si>
  <si>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</si>
  <si>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</si>
  <si>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</si>
  <si>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</si>
  <si>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</si>
  <si>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</si>
  <si>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</si>
  <si>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</si>
  <si>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</si>
  <si>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</si>
  <si>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</si>
  <si>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</si>
  <si>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</si>
  <si>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</si>
  <si>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</si>
  <si>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</si>
  <si>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</si>
  <si>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</si>
  <si>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</si>
  <si>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</si>
  <si>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</si>
  <si>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</si>
  <si>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</si>
  <si>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</si>
  <si>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</si>
  <si>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</si>
  <si>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</si>
  <si>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</si>
  <si>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</si>
  <si>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</si>
  <si>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</si>
  <si>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</si>
  <si>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</si>
  <si>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</si>
  <si>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</si>
  <si>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</si>
  <si>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</si>
  <si>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</si>
  <si>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</si>
  <si>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</si>
  <si>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</si>
  <si>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</si>
  <si>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</si>
  <si>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</si>
  <si>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</si>
  <si>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</si>
  <si>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</si>
  <si>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</si>
  <si>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</si>
  <si>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</si>
  <si>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</si>
  <si>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</si>
  <si>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</si>
  <si>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</si>
  <si>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</si>
  <si>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</si>
  <si>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</si>
  <si>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</si>
  <si>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</si>
  <si>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</si>
  <si>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</si>
  <si>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</si>
  <si>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</si>
  <si>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</si>
  <si>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</si>
  <si>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</si>
  <si>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</si>
  <si>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</si>
  <si>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</si>
  <si>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</si>
  <si>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</si>
  <si>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</si>
  <si>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</si>
  <si>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</si>
  <si>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</si>
  <si>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</si>
  <si>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</si>
  <si>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</si>
  <si>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</si>
  <si>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</si>
  <si>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</si>
  <si>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</si>
  <si>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</si>
  <si>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</si>
  <si>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</si>
  <si>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</si>
  <si>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</si>
  <si>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</si>
  <si>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</si>
  <si>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</si>
  <si>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</si>
  <si>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</si>
  <si>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</si>
  <si>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</si>
  <si>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</si>
  <si>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</si>
  <si>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</si>
  <si>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</si>
  <si>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</si>
  <si>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</si>
  <si>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</si>
  <si>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</si>
  <si>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</si>
  <si>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</si>
  <si>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</si>
  <si>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</si>
  <si>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</si>
  <si>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</si>
  <si>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</si>
  <si>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</si>
  <si>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</si>
  <si>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</si>
  <si>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</si>
  <si>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</si>
  <si>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</si>
  <si>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</si>
  <si>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</si>
  <si>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</si>
  <si>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</si>
  <si>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</si>
  <si>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</si>
  <si>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</si>
  <si>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</si>
  <si>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</si>
  <si>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</si>
  <si>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</si>
  <si>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</si>
  <si>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</si>
  <si>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</si>
  <si>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</si>
  <si>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</si>
  <si>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</si>
  <si>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</si>
  <si>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</si>
  <si>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</si>
  <si>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</si>
  <si>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</si>
  <si>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</si>
  <si>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</si>
  <si>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</si>
  <si>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</si>
  <si>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</si>
  <si>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</si>
  <si>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</si>
  <si>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</si>
  <si>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</si>
  <si>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</si>
  <si>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</si>
  <si>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</si>
  <si>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</si>
  <si>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</si>
  <si>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</si>
  <si>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</si>
  <si>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</si>
  <si>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</si>
  <si>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</si>
  <si>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</si>
  <si>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</si>
  <si>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</si>
  <si>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</si>
  <si>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</si>
  <si>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</si>
  <si>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</si>
  <si>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</si>
  <si>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</si>
  <si>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</si>
  <si>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</si>
  <si>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</si>
  <si>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</si>
  <si>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</si>
  <si>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</si>
  <si>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</si>
  <si>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</si>
  <si>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</si>
  <si>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</si>
  <si>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</si>
  <si>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</si>
  <si>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</si>
  <si>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</si>
  <si>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</si>
  <si>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</si>
  <si>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</si>
  <si>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</si>
  <si>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</si>
  <si>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</si>
  <si>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</si>
  <si>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</si>
  <si>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</si>
  <si>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</si>
  <si>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</si>
  <si>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</si>
  <si>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</si>
  <si>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</si>
  <si>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</si>
  <si>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</si>
  <si>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</si>
  <si>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</si>
  <si>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</si>
  <si>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</si>
  <si>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</si>
  <si>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</si>
  <si>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</si>
  <si>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</si>
  <si>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</si>
  <si>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</si>
  <si>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</si>
  <si>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</si>
  <si>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</si>
  <si>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</si>
  <si>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</si>
  <si>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</si>
  <si>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</si>
  <si>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</si>
  <si>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</si>
  <si>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</si>
  <si>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</si>
  <si>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</si>
  <si>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</si>
  <si>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</si>
  <si>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</si>
  <si>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</si>
  <si>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</si>
  <si>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</si>
  <si>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</si>
  <si>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</si>
  <si>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</si>
  <si>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</si>
  <si>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</si>
  <si>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</si>
  <si>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</si>
  <si>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</si>
  <si>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</si>
  <si>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</si>
  <si>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</si>
  <si>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</si>
  <si>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</si>
  <si>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</si>
  <si>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</si>
  <si>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</si>
  <si>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</si>
  <si>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</si>
  <si>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</si>
  <si>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</si>
  <si>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</si>
  <si>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</si>
  <si>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</si>
  <si>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</si>
  <si>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</si>
  <si>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</si>
  <si>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</si>
  <si>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</si>
  <si>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</si>
  <si>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</si>
  <si>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</si>
  <si>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</si>
  <si>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</si>
  <si>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</si>
  <si>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</si>
  <si>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</si>
  <si>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</si>
  <si>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</si>
  <si>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</si>
  <si>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</si>
  <si>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</si>
  <si>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</si>
  <si>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</si>
  <si>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</si>
  <si>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</si>
  <si>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</si>
  <si>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</si>
  <si>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</si>
  <si>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</si>
  <si>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</si>
  <si>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</si>
  <si>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</si>
  <si>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</si>
  <si>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</si>
  <si>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</si>
  <si>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</si>
  <si>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</si>
  <si>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</si>
  <si>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</si>
  <si>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</si>
  <si>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</si>
  <si>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</si>
  <si>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</si>
  <si>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</si>
  <si>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</si>
  <si>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</si>
  <si>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</si>
  <si>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</si>
  <si>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</si>
  <si>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</si>
  <si>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</si>
  <si>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</si>
  <si>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</si>
  <si>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</si>
  <si>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</si>
  <si>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</si>
  <si>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</si>
  <si>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</si>
  <si>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</si>
  <si>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</si>
  <si>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</si>
  <si>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</si>
  <si>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</si>
  <si>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</si>
  <si>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</si>
  <si>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</si>
  <si>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</si>
  <si>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</si>
  <si>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</si>
  <si>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</si>
  <si>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</si>
  <si>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</si>
  <si>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</si>
  <si>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</si>
  <si>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</si>
  <si>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</si>
  <si>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</si>
  <si>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</si>
  <si>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</si>
  <si>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</si>
  <si>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</si>
  <si>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</si>
  <si>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</si>
  <si>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</si>
  <si>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</si>
  <si>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</si>
  <si>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</si>
  <si>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</si>
  <si>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</si>
  <si>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</si>
  <si>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</si>
  <si>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</si>
  <si>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</si>
  <si>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</si>
  <si>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</si>
  <si>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</si>
  <si>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</si>
  <si>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</si>
  <si>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</si>
  <si>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</si>
  <si>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</si>
  <si>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</si>
  <si>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</si>
  <si>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</si>
  <si>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</si>
  <si>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</si>
  <si>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</si>
  <si>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</si>
  <si>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</si>
  <si>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</si>
  <si>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</si>
  <si>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</si>
  <si>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</si>
  <si>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</si>
  <si>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</si>
  <si>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</si>
  <si>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</si>
  <si>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</si>
  <si>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</si>
  <si>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</si>
  <si>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</si>
  <si>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</si>
  <si>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</si>
  <si>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</si>
  <si>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</si>
  <si>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</si>
  <si>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</si>
  <si>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</si>
  <si>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</si>
  <si>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</si>
  <si>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</si>
  <si>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</si>
  <si>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</si>
  <si>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</si>
  <si>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</si>
  <si>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</si>
  <si>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</si>
  <si>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</si>
  <si>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</si>
  <si>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</si>
  <si>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</si>
  <si>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</si>
  <si>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</si>
  <si>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</si>
  <si>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</si>
  <si>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</si>
  <si>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</si>
  <si>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</si>
  <si>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</si>
  <si>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</si>
  <si>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</si>
  <si>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</si>
  <si>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</si>
  <si>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</si>
  <si>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</si>
  <si>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</si>
  <si>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</si>
  <si>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</si>
  <si>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</si>
  <si>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</si>
  <si>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</si>
  <si>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</si>
  <si>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</si>
  <si>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</si>
  <si>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</si>
  <si>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</si>
  <si>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</si>
  <si>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</si>
  <si>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</si>
  <si>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</si>
  <si>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</si>
  <si>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</si>
  <si>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</si>
  <si>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</si>
  <si>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</si>
  <si>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</si>
  <si>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</si>
  <si>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</si>
  <si>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</si>
  <si>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</si>
  <si>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</si>
  <si>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</si>
  <si>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</si>
  <si>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</si>
  <si>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</si>
  <si>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</si>
  <si>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</si>
  <si>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</si>
  <si>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</si>
  <si>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</si>
  <si>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</si>
  <si>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</si>
  <si>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</si>
  <si>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</si>
  <si>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</si>
  <si>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</si>
  <si>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</si>
  <si>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</si>
  <si>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</si>
  <si>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</si>
  <si>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</si>
  <si>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</si>
  <si>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</si>
  <si>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</si>
  <si>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</si>
  <si>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</si>
  <si>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</si>
  <si>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</si>
  <si>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</si>
  <si>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</si>
  <si>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</si>
  <si>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</si>
  <si>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</si>
  <si>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</si>
  <si>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</si>
  <si>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</si>
  <si>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</si>
  <si>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</si>
  <si>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</si>
  <si>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</si>
  <si>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</si>
  <si>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</si>
  <si>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</si>
  <si>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</si>
  <si>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</si>
  <si>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</si>
  <si>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</si>
  <si>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</si>
  <si>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</si>
  <si>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</si>
  <si>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</si>
  <si>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</si>
  <si>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</si>
  <si>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</si>
  <si>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</si>
  <si>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</si>
  <si>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</si>
  <si>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</si>
  <si>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</si>
  <si>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</si>
  <si>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</si>
  <si>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</si>
  <si>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</si>
  <si>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</si>
  <si>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</si>
  <si>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</si>
  <si>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</si>
  <si>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</si>
  <si>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</si>
  <si>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</si>
  <si>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</si>
  <si>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</si>
  <si>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</si>
  <si>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</si>
  <si>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</si>
  <si>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</si>
  <si>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</si>
  <si>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</si>
  <si>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</si>
  <si>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</si>
  <si>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</si>
  <si>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</si>
  <si>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</si>
  <si>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</si>
  <si>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</si>
  <si>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</si>
  <si>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</si>
  <si>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</si>
  <si>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</si>
  <si>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</si>
  <si>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</si>
  <si>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</si>
  <si>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</si>
  <si>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</si>
  <si>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</si>
  <si>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</si>
  <si>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</si>
  <si>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</si>
  <si>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</si>
  <si>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</si>
  <si>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</si>
  <si>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</si>
  <si>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</si>
  <si>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</si>
  <si>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</si>
  <si>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</si>
  <si>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</si>
  <si>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</si>
  <si>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</si>
  <si>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</si>
  <si>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</si>
  <si>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</si>
  <si>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</si>
  <si>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</si>
  <si>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</si>
  <si>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</si>
  <si>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</si>
  <si>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</si>
  <si>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</si>
  <si>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</si>
  <si>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</si>
  <si>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</si>
  <si>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</si>
  <si>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</si>
  <si>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</si>
  <si>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</si>
  <si>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</si>
  <si>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</si>
  <si>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</si>
  <si>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</si>
  <si>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</si>
  <si>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</si>
  <si>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</si>
  <si>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</si>
  <si>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</si>
  <si>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</si>
  <si>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</si>
  <si>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</si>
  <si>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</si>
  <si>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</si>
  <si>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</si>
  <si>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</si>
  <si>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</si>
  <si>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</si>
  <si>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</si>
  <si>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</si>
  <si>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</si>
  <si>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</si>
  <si>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</si>
  <si>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</si>
  <si>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</si>
  <si>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</si>
  <si>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</si>
  <si>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</si>
  <si>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</si>
  <si>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</si>
  <si>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</si>
  <si>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</si>
  <si>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</si>
  <si>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</si>
  <si>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</si>
  <si>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</si>
  <si>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</si>
  <si>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</si>
  <si>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</si>
  <si>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</si>
  <si>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</si>
  <si>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</si>
  <si>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</si>
  <si>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</si>
  <si>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</si>
  <si>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</si>
  <si>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</si>
  <si>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</si>
  <si>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</si>
  <si>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</si>
  <si>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</si>
  <si>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</si>
  <si>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</si>
  <si>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</si>
  <si>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</si>
  <si>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</si>
  <si>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</si>
  <si>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</si>
  <si>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</si>
  <si>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</si>
  <si>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</si>
  <si>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</si>
  <si>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</si>
  <si>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</si>
  <si>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</si>
  <si>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</si>
  <si>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</si>
  <si>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</si>
  <si>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</si>
  <si>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</si>
  <si>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</si>
  <si>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</si>
  <si>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</si>
  <si>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</si>
  <si>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</si>
  <si>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</si>
  <si>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</si>
  <si>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</si>
  <si>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</si>
  <si>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</si>
  <si>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</si>
  <si>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</si>
  <si>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</si>
  <si>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</si>
  <si>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</si>
  <si>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</si>
  <si>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</si>
  <si>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</si>
  <si>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</si>
  <si>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</si>
  <si>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</si>
  <si>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</si>
  <si>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</si>
  <si>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</si>
  <si>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</si>
  <si>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</si>
  <si>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</si>
  <si>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</si>
  <si>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</si>
  <si>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</si>
  <si>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</si>
  <si>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</si>
  <si>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</si>
  <si>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</si>
  <si>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</si>
  <si>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</si>
  <si>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</si>
  <si>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</si>
  <si>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</si>
  <si>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</si>
  <si>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</si>
  <si>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</si>
  <si>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</si>
  <si>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</si>
  <si>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</si>
  <si>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</si>
  <si>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</si>
  <si>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</si>
  <si>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</si>
  <si>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</si>
  <si>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</si>
  <si>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</si>
  <si>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</si>
  <si>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</si>
  <si>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</si>
  <si>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</si>
  <si>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</si>
  <si>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</si>
  <si>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</si>
  <si>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</si>
  <si>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</si>
  <si>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</si>
  <si>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</si>
  <si>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</si>
  <si>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</si>
  <si>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</si>
  <si>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</si>
  <si>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</si>
  <si>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</si>
  <si>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</si>
  <si>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</si>
  <si>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</si>
  <si>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</si>
  <si>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</si>
  <si>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</si>
  <si>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</si>
  <si>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</si>
  <si>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</si>
  <si>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</si>
  <si>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</si>
  <si>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</si>
  <si>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</si>
  <si>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</si>
  <si>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</si>
  <si>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</si>
  <si>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</si>
  <si>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</si>
  <si>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</si>
  <si>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</si>
  <si>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</si>
  <si>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</si>
  <si>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</si>
  <si>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</si>
  <si>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</si>
  <si>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</si>
  <si>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</si>
  <si>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</si>
  <si>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</si>
  <si>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</si>
  <si>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</si>
  <si>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</si>
  <si>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</si>
  <si>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</si>
  <si>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</si>
  <si>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</si>
  <si>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</si>
  <si>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</si>
  <si>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</si>
  <si>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</si>
  <si>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</si>
  <si>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</si>
  <si>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</si>
  <si>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</si>
  <si>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</si>
  <si>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</si>
  <si>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</si>
  <si>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</si>
  <si>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</si>
  <si>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</si>
  <si>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</si>
  <si>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</si>
  <si>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</si>
  <si>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</si>
  <si>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</si>
  <si>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</si>
  <si>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</si>
  <si>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</si>
  <si>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</si>
  <si>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</si>
  <si>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</si>
  <si>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</si>
  <si>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</si>
  <si>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</si>
  <si>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</si>
  <si>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</si>
  <si>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</si>
  <si>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</si>
  <si>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</si>
  <si>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</si>
  <si>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</si>
  <si>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</si>
  <si>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</si>
  <si>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</si>
  <si>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</si>
  <si>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</si>
  <si>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</si>
  <si>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</si>
  <si>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</si>
  <si>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</si>
  <si>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</si>
  <si>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</si>
  <si>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</si>
  <si>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</si>
  <si>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</si>
  <si>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</si>
  <si>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</si>
  <si>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</si>
  <si>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</si>
  <si>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</si>
  <si>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</si>
  <si>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</si>
  <si>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</si>
  <si>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</si>
  <si>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</si>
  <si>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</si>
  <si>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</si>
  <si>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</si>
  <si>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</si>
  <si>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</si>
  <si>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</si>
  <si>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</si>
  <si>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</si>
  <si>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</si>
  <si>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</si>
  <si>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</si>
  <si>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</si>
  <si>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</si>
  <si>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</si>
  <si>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</si>
  <si>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</si>
  <si>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</si>
  <si>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</si>
  <si>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</si>
  <si>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</si>
  <si>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</si>
  <si>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</si>
  <si>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</si>
  <si>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</si>
  <si>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</si>
  <si>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</si>
  <si>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</si>
  <si>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</si>
  <si>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</si>
  <si>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</si>
  <si>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</si>
  <si>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</si>
  <si>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</si>
  <si>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</si>
  <si>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</si>
  <si>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</si>
  <si>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</si>
  <si>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</si>
  <si>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</si>
  <si>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</si>
  <si>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</si>
  <si>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</si>
  <si>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</si>
  <si>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</si>
  <si>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</si>
  <si>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</si>
  <si>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</si>
  <si>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</si>
  <si>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</si>
  <si>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</si>
  <si>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</si>
  <si>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</si>
  <si>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</si>
  <si>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</si>
  <si>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</si>
  <si>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</si>
  <si>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</si>
  <si>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</si>
  <si>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</si>
  <si>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</si>
  <si>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</si>
  <si>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</si>
  <si>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</si>
  <si>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</si>
  <si>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</si>
  <si>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</si>
  <si>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</si>
  <si>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</si>
  <si>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</si>
  <si>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</si>
  <si>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</si>
  <si>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</si>
  <si>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</si>
  <si>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</si>
  <si>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</si>
  <si>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</si>
  <si>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</si>
  <si>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</si>
  <si>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</si>
  <si>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</si>
  <si>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</si>
  <si>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</si>
  <si>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</si>
  <si>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</si>
  <si>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</si>
  <si>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</si>
  <si>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</si>
  <si>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</si>
  <si>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</si>
  <si>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</si>
  <si>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</si>
  <si>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</si>
  <si>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</si>
  <si>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</si>
  <si>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</si>
  <si>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</si>
  <si>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</si>
  <si>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</si>
  <si>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</si>
  <si>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</si>
  <si>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</si>
  <si>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</si>
  <si>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</si>
  <si>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</si>
  <si>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</si>
  <si>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</si>
  <si>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</si>
  <si>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</si>
  <si>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</si>
  <si>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</si>
  <si>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</si>
  <si>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</si>
  <si>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</si>
  <si>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</si>
  <si>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</si>
  <si>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</si>
  <si>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</si>
  <si>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</si>
  <si>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</si>
  <si>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</si>
  <si>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</si>
  <si>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</si>
  <si>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</si>
  <si>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</si>
  <si>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</si>
  <si>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</si>
  <si>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</si>
  <si>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</si>
  <si>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</si>
  <si>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</si>
  <si>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</si>
  <si>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</si>
  <si>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</si>
  <si>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</si>
  <si>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</si>
  <si>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</si>
  <si>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</si>
  <si>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</si>
  <si>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</si>
  <si>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</si>
  <si>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</si>
  <si>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</si>
  <si>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</si>
  <si>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</si>
  <si>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</si>
  <si>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</si>
  <si>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</si>
  <si>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</si>
  <si>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</si>
  <si>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</si>
  <si>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</si>
  <si>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</si>
  <si>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</si>
  <si>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</si>
  <si>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</si>
  <si>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</si>
  <si>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</si>
  <si>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</si>
  <si>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</si>
  <si>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</si>
  <si>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</si>
  <si>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</si>
  <si>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</si>
  <si>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</si>
  <si>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</si>
  <si>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</si>
  <si>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</si>
  <si>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</si>
  <si>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</si>
  <si>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</si>
  <si>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</si>
  <si>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</si>
  <si>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</si>
  <si>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</si>
  <si>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</si>
  <si>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</si>
  <si>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</si>
  <si>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</si>
  <si>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</si>
  <si>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</si>
  <si>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</si>
  <si>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</si>
  <si>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</si>
  <si>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</si>
  <si>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</si>
  <si>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</si>
  <si>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</si>
  <si>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</si>
  <si>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</si>
  <si>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</si>
  <si>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</si>
  <si>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</si>
  <si>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</si>
  <si>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</si>
  <si>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</si>
  <si>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</si>
  <si>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</si>
  <si>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</si>
  <si>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</si>
  <si>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</si>
  <si>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</si>
  <si>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</si>
  <si>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</si>
  <si>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</si>
  <si>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</si>
  <si>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</si>
  <si>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</si>
  <si>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</si>
  <si>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</si>
  <si>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</si>
  <si>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</si>
  <si>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</si>
  <si>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</si>
  <si>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</si>
  <si>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</si>
  <si>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</si>
  <si>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</si>
  <si>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</si>
  <si>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</si>
  <si>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</si>
  <si>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</si>
  <si>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</si>
  <si>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</si>
  <si>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</si>
  <si>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</si>
  <si>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</si>
  <si>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</si>
  <si>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</si>
  <si>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</si>
  <si>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</si>
  <si>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</si>
  <si>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</si>
  <si>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</si>
  <si>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</si>
  <si>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</si>
  <si>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</si>
  <si>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</si>
  <si>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</si>
  <si>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</si>
  <si>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</si>
  <si>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</si>
  <si>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</si>
  <si>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</si>
  <si>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</si>
  <si>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</si>
  <si>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</si>
  <si>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</si>
  <si>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</si>
  <si>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</si>
  <si>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</si>
  <si>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</si>
  <si>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</si>
  <si>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</si>
  <si>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</si>
  <si>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</si>
  <si>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</si>
  <si>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</si>
  <si>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</si>
  <si>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</si>
  <si>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</si>
  <si>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</si>
  <si>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</si>
  <si>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</si>
  <si>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</si>
  <si>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</si>
  <si>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</si>
  <si>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</si>
  <si>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</si>
  <si>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</si>
  <si>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</si>
  <si>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</si>
  <si>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</si>
  <si>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</si>
  <si>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</si>
  <si>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</si>
  <si>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</si>
  <si>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</si>
  <si>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</si>
  <si>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</si>
  <si>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</si>
  <si>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</si>
  <si>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</si>
  <si>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</si>
  <si>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</si>
  <si>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</si>
  <si>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</si>
  <si>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</si>
  <si>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</si>
  <si>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</si>
  <si>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</si>
  <si>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</si>
  <si>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</si>
  <si>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</si>
  <si>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</si>
  <si>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</si>
  <si>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</si>
  <si>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</si>
  <si>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</si>
  <si>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</si>
  <si>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</si>
  <si>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</si>
  <si>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</si>
  <si>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</si>
  <si>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</si>
  <si>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</si>
  <si>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</si>
  <si>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</si>
  <si>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</si>
  <si>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</si>
  <si>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</si>
  <si>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</si>
  <si>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</si>
  <si>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</si>
  <si>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</si>
  <si>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</si>
  <si>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</si>
  <si>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</si>
  <si>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</si>
  <si>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</si>
  <si>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</si>
  <si>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</si>
  <si>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</si>
  <si>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</si>
  <si>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</si>
  <si>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</si>
  <si>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</si>
  <si>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</si>
  <si>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</si>
  <si>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</si>
  <si>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</si>
  <si>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</si>
  <si>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</si>
  <si>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</si>
  <si>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</si>
  <si>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</si>
  <si>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</si>
  <si>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</si>
  <si>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</si>
  <si>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</si>
  <si>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</si>
  <si>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</si>
  <si>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</si>
  <si>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</si>
  <si>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</si>
  <si>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</si>
  <si>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</si>
  <si>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</si>
  <si>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</si>
  <si>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</si>
  <si>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</si>
  <si>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</si>
  <si>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</si>
  <si>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</si>
  <si>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</si>
  <si>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</si>
  <si>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</si>
  <si>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</si>
  <si>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</si>
  <si>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</si>
  <si>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</si>
  <si>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</si>
  <si>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</si>
  <si>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</si>
  <si>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</si>
  <si>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</si>
  <si>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</si>
  <si>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</si>
  <si>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</si>
  <si>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</si>
  <si>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</si>
  <si>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</si>
  <si>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</si>
  <si>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</si>
  <si>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</si>
  <si>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</si>
  <si>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</si>
  <si>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</si>
  <si>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</si>
  <si>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</si>
  <si>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</si>
  <si>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</si>
  <si>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</si>
  <si>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</si>
  <si>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</si>
  <si>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</si>
  <si>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</si>
  <si>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</si>
  <si>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</si>
  <si>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</si>
  <si>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</si>
  <si>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</si>
  <si>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</si>
  <si>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</si>
  <si>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</si>
  <si>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</si>
  <si>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</si>
  <si>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</si>
  <si>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</si>
  <si>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</si>
  <si>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</si>
  <si>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</si>
  <si>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</si>
  <si>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</si>
  <si>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</si>
  <si>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</si>
  <si>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</si>
  <si>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</si>
  <si>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</si>
  <si>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</si>
  <si>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</si>
  <si>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</si>
  <si>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</si>
  <si>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</si>
  <si>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</si>
  <si>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</si>
  <si>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</si>
  <si>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</si>
  <si>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</si>
  <si>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</si>
  <si>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</si>
  <si>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</si>
  <si>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</si>
  <si>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</si>
  <si>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</si>
  <si>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</si>
  <si>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</si>
  <si>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</si>
  <si>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</si>
  <si>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</si>
  <si>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</si>
  <si>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</si>
  <si>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</si>
  <si>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</si>
  <si>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</si>
  <si>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</si>
  <si>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</si>
  <si>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</si>
  <si>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</si>
  <si>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</si>
  <si>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</si>
  <si>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</si>
  <si>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</si>
  <si>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</si>
  <si>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</si>
  <si>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</si>
  <si>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</si>
  <si>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</si>
  <si>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</si>
  <si>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</si>
  <si>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</si>
  <si>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</si>
  <si>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</si>
  <si>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</si>
  <si>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</si>
  <si>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</si>
  <si>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</si>
  <si>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</si>
  <si>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</si>
  <si>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</si>
  <si>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</si>
  <si>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</si>
  <si>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</si>
  <si>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</si>
  <si>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</si>
  <si>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</si>
  <si>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</si>
  <si>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</si>
  <si>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</si>
  <si>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</si>
  <si>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</si>
  <si>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</si>
  <si>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</si>
  <si>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</si>
  <si>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</si>
  <si>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</si>
  <si>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</si>
  <si>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</si>
  <si>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</si>
  <si>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</si>
  <si>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</si>
  <si>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</si>
  <si>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</si>
  <si>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</si>
  <si>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</si>
  <si>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</si>
  <si>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</si>
  <si>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</si>
  <si>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</si>
  <si>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</si>
  <si>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</si>
  <si>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</si>
  <si>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</si>
  <si>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</si>
  <si>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</si>
  <si>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</si>
  <si>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</si>
  <si>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</si>
  <si>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</si>
  <si>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</si>
  <si>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</si>
  <si>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</si>
  <si>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</si>
  <si>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</si>
  <si>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</si>
  <si>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</si>
  <si>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</si>
  <si>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</si>
  <si>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</si>
  <si>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</si>
  <si>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</si>
  <si>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</si>
  <si>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</si>
  <si>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</si>
  <si>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</si>
  <si>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</si>
  <si>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</si>
  <si>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</si>
  <si>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</si>
  <si>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</si>
  <si>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</si>
  <si>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</si>
  <si>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</si>
  <si>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</si>
  <si>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</si>
  <si>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</si>
  <si>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</si>
  <si>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</si>
  <si>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</si>
  <si>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</si>
  <si>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</si>
  <si>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</si>
  <si>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</si>
  <si>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</si>
  <si>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</si>
  <si>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</si>
  <si>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</si>
  <si>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</si>
  <si>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</si>
  <si>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</si>
  <si>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</si>
  <si>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</si>
  <si>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</si>
  <si>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</si>
  <si>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</si>
  <si>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</si>
  <si>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</si>
  <si>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</si>
  <si>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</si>
  <si>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</si>
  <si>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</si>
  <si>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</si>
  <si>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</si>
  <si>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</si>
  <si>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</si>
  <si>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</si>
  <si>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</si>
  <si>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</si>
  <si>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</si>
  <si>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</si>
  <si>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</si>
  <si>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</si>
  <si>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</si>
  <si>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</si>
  <si>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</si>
  <si>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</si>
  <si>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</si>
  <si>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</si>
  <si>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</si>
  <si>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</si>
  <si>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</si>
  <si>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</si>
  <si>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</si>
  <si>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</si>
  <si>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</si>
  <si>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</si>
  <si>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</si>
  <si>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</si>
  <si>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</si>
  <si>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</si>
  <si>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</si>
  <si>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</si>
  <si>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</si>
  <si>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</si>
  <si>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</si>
  <si>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</si>
  <si>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</si>
  <si>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</si>
  <si>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</si>
  <si>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</si>
  <si>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</si>
  <si>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</si>
  <si>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</si>
  <si>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</si>
  <si>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</si>
  <si>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</si>
  <si>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</si>
  <si>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</si>
  <si>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</si>
  <si>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</si>
  <si>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</si>
  <si>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</si>
  <si>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</si>
  <si>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</si>
  <si>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</si>
  <si>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</si>
  <si>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</si>
  <si>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</si>
  <si>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</si>
  <si>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</si>
  <si>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</si>
  <si>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</si>
  <si>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</si>
  <si>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</si>
  <si>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</si>
  <si>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</si>
  <si>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</si>
  <si>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</si>
  <si>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</si>
  <si>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</si>
  <si>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</si>
  <si>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</si>
  <si>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</si>
  <si>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</si>
  <si>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</si>
  <si>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</si>
  <si>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</si>
  <si>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</si>
  <si>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</si>
  <si>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</si>
  <si>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</si>
  <si>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</si>
  <si>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</si>
  <si>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</si>
  <si>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</si>
  <si>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</si>
  <si>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</si>
  <si>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</si>
  <si>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</si>
  <si>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</si>
  <si>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</si>
  <si>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</si>
  <si>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</si>
  <si>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</si>
  <si>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</si>
  <si>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</si>
  <si>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</si>
  <si>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</si>
  <si>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</si>
  <si>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</si>
  <si>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</si>
  <si>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</si>
  <si>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</si>
  <si>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</si>
  <si>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</si>
  <si>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</si>
  <si>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</si>
  <si>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</si>
  <si>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</si>
  <si>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</si>
  <si>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</si>
  <si>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</si>
  <si>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</si>
  <si>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</si>
  <si>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</si>
  <si>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</si>
  <si>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</si>
  <si>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</si>
  <si>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</si>
  <si>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</si>
  <si>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</si>
  <si>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</si>
  <si>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</si>
  <si>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</si>
  <si>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</si>
  <si>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</si>
  <si>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</si>
  <si>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</si>
  <si>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</si>
  <si>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</si>
  <si>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</si>
  <si>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</si>
  <si>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</si>
  <si>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</si>
  <si>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</si>
  <si>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</si>
  <si>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</si>
  <si>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</si>
  <si>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</si>
  <si>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</si>
  <si>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</si>
  <si>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</si>
  <si>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</si>
  <si>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</si>
  <si>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</si>
  <si>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</si>
  <si>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</si>
  <si>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</si>
  <si>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</si>
  <si>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</si>
  <si>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</si>
  <si>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</si>
  <si>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</si>
  <si>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</si>
  <si>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</si>
  <si>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</si>
  <si>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</si>
  <si>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</si>
  <si>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</si>
  <si>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</si>
  <si>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</si>
  <si>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</si>
  <si>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</si>
  <si>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</si>
  <si>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</si>
  <si>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</si>
  <si>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</si>
  <si>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</si>
  <si>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</si>
  <si>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</si>
  <si>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</si>
  <si>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</si>
  <si>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</si>
  <si>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</si>
  <si>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</si>
  <si>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</si>
  <si>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</si>
  <si>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</si>
  <si>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</si>
  <si>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</si>
  <si>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</si>
  <si>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</si>
  <si>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</si>
  <si>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</si>
  <si>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</si>
  <si>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</si>
  <si>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</si>
  <si>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</si>
  <si>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</si>
  <si>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</si>
  <si>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</si>
  <si>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</si>
  <si>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</si>
  <si>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</si>
  <si>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</si>
  <si>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</si>
  <si>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</si>
  <si>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</si>
  <si>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</si>
  <si>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</si>
  <si>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</si>
  <si>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</si>
  <si>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</si>
  <si>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</si>
  <si>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</si>
  <si>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</si>
  <si>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</si>
  <si>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</si>
  <si>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</si>
  <si>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</si>
  <si>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</si>
  <si>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</si>
  <si>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</si>
  <si>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</si>
  <si>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</si>
  <si>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</si>
  <si>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</si>
  <si>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</si>
  <si>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</si>
  <si>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</si>
  <si>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</si>
  <si>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</si>
  <si>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</si>
  <si>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</si>
  <si>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</si>
  <si>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</si>
  <si>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</si>
  <si>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</si>
  <si>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</si>
  <si>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</si>
  <si>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</si>
  <si>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</si>
  <si>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</si>
  <si>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</si>
  <si>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</si>
  <si>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</si>
  <si>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</si>
  <si>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</si>
  <si>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</si>
  <si>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</si>
  <si>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</si>
  <si>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</si>
  <si>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</si>
  <si>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</si>
  <si>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</si>
  <si>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</si>
  <si>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</si>
  <si>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</si>
  <si>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</si>
  <si>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</si>
  <si>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</si>
  <si>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</si>
  <si>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</si>
  <si>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</si>
  <si>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</si>
  <si>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</si>
  <si>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</si>
  <si>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</si>
  <si>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</si>
  <si>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</si>
  <si>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</si>
  <si>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</si>
  <si>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</si>
  <si>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</si>
  <si>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</si>
  <si>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</si>
  <si>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</si>
  <si>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</si>
  <si>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</si>
  <si>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</si>
  <si>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</si>
  <si>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</si>
  <si>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</si>
  <si>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</si>
  <si>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</si>
  <si>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</si>
  <si>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</si>
  <si>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</si>
  <si>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</si>
  <si>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</si>
  <si>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</si>
  <si>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</si>
  <si>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</si>
  <si>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</si>
  <si>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</si>
  <si>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</si>
  <si>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</si>
  <si>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</si>
  <si>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</si>
  <si>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</si>
  <si>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</si>
  <si>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</si>
  <si>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</si>
  <si>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</si>
  <si>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</si>
  <si>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</si>
  <si>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</si>
  <si>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</si>
  <si>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</si>
  <si>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</si>
  <si>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</si>
  <si>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</si>
  <si>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</si>
  <si>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</si>
  <si>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</si>
  <si>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</si>
  <si>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</si>
  <si>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</si>
  <si>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</si>
  <si>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</si>
  <si>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</si>
  <si>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</si>
  <si>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</si>
  <si>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</si>
  <si>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</si>
  <si>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</si>
  <si>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</si>
  <si>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</si>
  <si>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</si>
  <si>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</si>
  <si>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</si>
  <si>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</si>
  <si>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</si>
  <si>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</si>
  <si>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</si>
  <si>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</si>
  <si>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</si>
  <si>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</si>
  <si>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</si>
  <si>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</si>
  <si>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</si>
  <si>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</si>
  <si>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</si>
  <si>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</si>
  <si>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</si>
  <si>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</si>
  <si>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</si>
  <si>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</si>
  <si>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</si>
  <si>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</si>
  <si>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</si>
  <si>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</si>
  <si>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</si>
  <si>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</si>
  <si>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</si>
  <si>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</si>
  <si>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</si>
  <si>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</si>
  <si>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</si>
  <si>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</si>
  <si>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</si>
  <si>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</si>
  <si>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</si>
  <si>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</si>
  <si>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</si>
  <si>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</si>
  <si>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</si>
  <si>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</si>
  <si>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</si>
  <si>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</si>
  <si>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</si>
  <si>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</si>
  <si>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</si>
  <si>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</si>
  <si>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</si>
  <si>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</si>
  <si>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</si>
  <si>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</si>
  <si>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</si>
  <si>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</si>
  <si>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</si>
  <si>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</si>
  <si>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</si>
  <si>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</si>
  <si>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</si>
  <si>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</si>
  <si>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</si>
  <si>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</si>
  <si>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</si>
  <si>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</si>
  <si>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</si>
  <si>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</si>
  <si>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</si>
  <si>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</si>
  <si>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</si>
  <si>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</si>
  <si>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</si>
  <si>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</si>
  <si>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</si>
  <si>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</si>
  <si>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</si>
  <si>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</si>
  <si>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</si>
  <si>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</si>
  <si>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</si>
  <si>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</si>
  <si>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</si>
  <si>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</si>
  <si>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</si>
  <si>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</si>
  <si>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</si>
  <si>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</si>
  <si>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</si>
  <si>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</si>
  <si>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</si>
  <si>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</si>
  <si>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</si>
  <si>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</si>
  <si>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</si>
  <si>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</si>
  <si>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</si>
  <si>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</si>
  <si>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</si>
  <si>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</si>
  <si>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</si>
  <si>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</si>
  <si>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</si>
  <si>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</si>
  <si>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</si>
  <si>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</si>
  <si>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</si>
  <si>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</si>
  <si>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</si>
  <si>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</si>
  <si>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</si>
  <si>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</si>
  <si>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</si>
  <si>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</si>
  <si>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</si>
  <si>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</si>
  <si>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</si>
  <si>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</si>
  <si>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</si>
  <si>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</si>
  <si>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</si>
  <si>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</si>
  <si>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</si>
  <si>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</si>
  <si>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</si>
  <si>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</si>
  <si>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</si>
  <si>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</si>
  <si>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</si>
  <si>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</si>
  <si>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</si>
  <si>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</si>
  <si>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</si>
  <si>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</si>
  <si>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</si>
  <si>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</si>
  <si>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</si>
  <si>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</si>
  <si>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</si>
  <si>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</si>
  <si>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</si>
  <si>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</si>
  <si>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</si>
  <si>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</si>
  <si>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</si>
  <si>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</si>
  <si>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</si>
  <si>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</si>
  <si>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</si>
  <si>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</si>
  <si>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</si>
  <si>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</si>
  <si>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</si>
  <si>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</si>
  <si>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</si>
  <si>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</si>
  <si>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</si>
  <si>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</si>
  <si>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</si>
  <si>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</si>
  <si>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</si>
  <si>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</si>
  <si>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</si>
  <si>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</si>
  <si>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</si>
  <si>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</si>
  <si>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</si>
  <si>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</si>
  <si>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</si>
  <si>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</si>
  <si>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</si>
  <si>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</si>
  <si>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</si>
  <si>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</si>
  <si>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</si>
  <si>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</si>
  <si>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</si>
  <si>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</si>
  <si>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</si>
  <si>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</si>
  <si>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</si>
  <si>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</si>
  <si>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</si>
  <si>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</si>
  <si>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</si>
  <si>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</si>
  <si>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</si>
  <si>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</si>
  <si>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</si>
  <si>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</si>
  <si>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</si>
  <si>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</si>
  <si>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</si>
  <si>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</si>
  <si>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</si>
  <si>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</si>
  <si>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</si>
  <si>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</si>
  <si>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</si>
  <si>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</si>
  <si>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</si>
  <si>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</si>
  <si>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</si>
  <si>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</si>
  <si>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</si>
  <si>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</si>
  <si>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</si>
  <si>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</si>
  <si>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</si>
  <si>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</si>
  <si>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</si>
  <si>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</si>
  <si>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</si>
  <si>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</si>
  <si>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</si>
  <si>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</si>
  <si>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</si>
  <si>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</si>
  <si>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</si>
  <si>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</si>
  <si>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</si>
  <si>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</si>
  <si>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</si>
  <si>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</si>
  <si>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</si>
  <si>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</si>
  <si>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</si>
  <si>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</si>
  <si>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</si>
  <si>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</si>
  <si>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</si>
  <si>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</si>
  <si>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</si>
  <si>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</si>
  <si>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</si>
  <si>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</si>
  <si>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</si>
  <si>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</si>
  <si>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</si>
  <si>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</si>
  <si>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</si>
  <si>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</si>
  <si>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</si>
  <si>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</si>
  <si>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</si>
  <si>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</si>
  <si>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</si>
  <si>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</si>
  <si>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</si>
  <si>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</si>
  <si>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</si>
  <si>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</si>
  <si>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</si>
  <si>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</si>
  <si>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</si>
  <si>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</si>
  <si>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</si>
  <si>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</si>
  <si>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</si>
  <si>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</si>
  <si>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</si>
  <si>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</si>
  <si>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</si>
  <si>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</si>
  <si>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</si>
  <si>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</si>
  <si>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</si>
  <si>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</si>
  <si>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</si>
  <si>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</si>
  <si>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</si>
  <si>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</si>
  <si>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</si>
  <si>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</si>
  <si>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</si>
  <si>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</si>
  <si>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</si>
  <si>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</si>
  <si>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</si>
  <si>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</si>
  <si>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</si>
  <si>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</si>
  <si>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</si>
  <si>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</si>
  <si>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</si>
  <si>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</si>
  <si>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</si>
  <si>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</si>
  <si>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</si>
  <si>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</si>
  <si>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</si>
  <si>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</si>
  <si>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</si>
  <si>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</si>
  <si>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</si>
  <si>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</si>
  <si>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</si>
  <si>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</si>
  <si>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</si>
  <si>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</si>
  <si>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</si>
  <si>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</si>
  <si>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</si>
  <si>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</si>
  <si>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</si>
  <si>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</si>
  <si>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</si>
  <si>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</si>
  <si>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</si>
  <si>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</si>
  <si>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</si>
  <si>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</si>
  <si>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</si>
  <si>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</si>
  <si>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</si>
  <si>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</si>
  <si>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</si>
  <si>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</si>
  <si>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</si>
  <si>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</si>
  <si>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</si>
  <si>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</si>
  <si>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</si>
  <si>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</si>
  <si>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</si>
  <si>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</si>
  <si>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</si>
  <si>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</si>
  <si>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</si>
  <si>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</si>
  <si>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</si>
  <si>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</si>
  <si>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</si>
  <si>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</si>
  <si>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</si>
  <si>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</si>
  <si>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</si>
  <si>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</si>
  <si>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</si>
  <si>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</si>
  <si>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</si>
  <si>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</si>
  <si>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</si>
  <si>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</si>
  <si>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</si>
  <si>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</si>
  <si>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</si>
  <si>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</si>
  <si>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</si>
  <si>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</si>
  <si>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</si>
  <si>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</si>
  <si>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</si>
  <si>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</si>
  <si>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</si>
  <si>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</si>
  <si>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</si>
  <si>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</si>
  <si>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</si>
  <si>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</si>
  <si>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</si>
  <si>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</si>
  <si>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</si>
  <si>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</si>
  <si>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</si>
  <si>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</si>
  <si>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</si>
  <si>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</si>
  <si>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</si>
  <si>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</si>
  <si>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</si>
  <si>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</si>
  <si>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</si>
  <si>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</si>
  <si>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</si>
  <si>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</si>
  <si>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</si>
  <si>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</si>
  <si>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</si>
  <si>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</si>
  <si>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</si>
  <si>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</si>
  <si>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</si>
  <si>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</si>
  <si>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</si>
  <si>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</si>
  <si>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</si>
  <si>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</si>
  <si>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</si>
  <si>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</si>
  <si>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</si>
  <si>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</si>
  <si>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</si>
  <si>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</si>
  <si>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</si>
  <si>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</si>
  <si>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</si>
  <si>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</si>
  <si>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</si>
  <si>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</si>
  <si>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</si>
  <si>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</si>
  <si>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</si>
  <si>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</si>
  <si>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</si>
  <si>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</si>
  <si>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</si>
  <si>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</si>
  <si>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</si>
  <si>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</si>
  <si>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</si>
  <si>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</si>
  <si>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</si>
  <si>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</si>
  <si>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</si>
  <si>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</si>
  <si>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</si>
  <si>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</si>
  <si>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</si>
  <si>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</si>
  <si>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</si>
  <si>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</si>
  <si>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</si>
  <si>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</si>
  <si>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</si>
  <si>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</si>
  <si>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</si>
  <si>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</si>
  <si>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</si>
  <si>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</si>
  <si>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</si>
  <si>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</si>
  <si>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</si>
  <si>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</si>
  <si>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</si>
  <si>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</si>
  <si>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</si>
  <si>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</si>
  <si>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</si>
  <si>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</si>
  <si>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</si>
  <si>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</si>
  <si>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</si>
  <si>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</si>
  <si>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</si>
  <si>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</si>
  <si>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</si>
  <si>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</si>
  <si>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</si>
  <si>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</si>
  <si>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</si>
  <si>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</si>
  <si>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</si>
  <si>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</si>
  <si>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</si>
  <si>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</si>
  <si>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</si>
  <si>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</si>
  <si>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</si>
  <si>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</si>
  <si>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</si>
  <si>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</si>
  <si>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</si>
  <si>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</si>
  <si>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</si>
  <si>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</si>
  <si>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</si>
  <si>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</si>
  <si>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</si>
  <si>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</si>
  <si>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</si>
  <si>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</si>
  <si>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</si>
  <si>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</si>
  <si>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</si>
  <si>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</si>
  <si>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</si>
  <si>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</si>
  <si>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</si>
  <si>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</si>
  <si>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</si>
  <si>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</si>
  <si>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</si>
  <si>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</si>
  <si>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</si>
  <si>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</si>
  <si>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</si>
  <si>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</si>
  <si>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</si>
  <si>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</si>
  <si>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</si>
  <si>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</si>
  <si>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</si>
  <si>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</si>
  <si>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</si>
  <si>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</si>
  <si>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</si>
  <si>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</si>
  <si>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</si>
  <si>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</si>
  <si>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</si>
  <si>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</si>
  <si>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</si>
  <si>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</si>
  <si>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</si>
  <si>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</si>
  <si>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</si>
  <si>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</si>
  <si>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</si>
  <si>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</si>
  <si>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</si>
  <si>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</si>
  <si>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</si>
  <si>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</si>
  <si>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</si>
  <si>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</si>
  <si>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</si>
  <si>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</si>
  <si>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</si>
  <si>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</si>
  <si>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</si>
  <si>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</si>
  <si>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</si>
  <si>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</si>
  <si>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</si>
  <si>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</si>
  <si>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</si>
  <si>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</si>
  <si>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</si>
  <si>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</si>
  <si>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</si>
  <si>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</si>
  <si>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</si>
  <si>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</si>
  <si>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</si>
  <si>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</si>
  <si>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</si>
  <si>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</si>
  <si>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</si>
  <si>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</si>
  <si>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</si>
  <si>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</si>
  <si>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</si>
  <si>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</si>
  <si>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</si>
  <si>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</si>
  <si>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</si>
  <si>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</si>
  <si>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</si>
  <si>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</si>
  <si>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</si>
  <si>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</si>
  <si>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</si>
  <si>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</si>
  <si>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</si>
  <si>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</si>
  <si>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</si>
  <si>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</si>
  <si>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</si>
  <si>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Need to Provide</t>
  </si>
  <si>
    <t>Not Applicable</t>
  </si>
  <si>
    <t>VA Building 408 LP</t>
  </si>
  <si>
    <t>VA Building 408</t>
  </si>
  <si>
    <t>County of Los Angeles</t>
  </si>
  <si>
    <t>Lynn Katano</t>
  </si>
  <si>
    <t>700 W. Main Street</t>
  </si>
  <si>
    <t>Alhambra</t>
  </si>
  <si>
    <t>626-586-1806</t>
  </si>
  <si>
    <t>626-943-3815</t>
  </si>
  <si>
    <t>lynn.katano@lacda.org</t>
  </si>
  <si>
    <t>11301 Wilshire Blvd</t>
  </si>
  <si>
    <t>4365-007-903 (Portion)</t>
  </si>
  <si>
    <t>11811 San Vicente Blvd</t>
  </si>
  <si>
    <t>CA</t>
  </si>
  <si>
    <t>Jordan Pynes</t>
  </si>
  <si>
    <t>310-820-2236</t>
  </si>
  <si>
    <t>TSAapplications@tsahousing.com</t>
  </si>
  <si>
    <t>Housing Corporation of America</t>
  </si>
  <si>
    <t>Managing GP</t>
  </si>
  <si>
    <t>1592 South 1100 East</t>
  </si>
  <si>
    <t>Salt Lake</t>
  </si>
  <si>
    <t>UT</t>
  </si>
  <si>
    <t>Carol Cromar</t>
  </si>
  <si>
    <t>801-819-7989</t>
  </si>
  <si>
    <t>carol@hcahousing.com</t>
  </si>
  <si>
    <t>VA Building 408 LLC</t>
  </si>
  <si>
    <t>Administrative GP</t>
  </si>
  <si>
    <t>Los Ageles</t>
  </si>
  <si>
    <t>TSA Housing Inc.</t>
  </si>
  <si>
    <t>Kingdom Development</t>
  </si>
  <si>
    <t>6451 Box Springs Blvd</t>
  </si>
  <si>
    <t>William Leach</t>
  </si>
  <si>
    <t>951-538-6244</t>
  </si>
  <si>
    <t>william@kingdomdevelopment.net</t>
  </si>
  <si>
    <t>Consultant</t>
  </si>
  <si>
    <t>TSA Housing, Inc.</t>
  </si>
  <si>
    <t>11811 San Vicente Blvd.</t>
  </si>
  <si>
    <t>Los Angeles, CA  90049</t>
  </si>
  <si>
    <t>KFA, LLP</t>
  </si>
  <si>
    <t>3573 Hayden Avenue</t>
  </si>
  <si>
    <t>Culver City, CA  90232</t>
  </si>
  <si>
    <t>Lise Bornstein</t>
  </si>
  <si>
    <t>310-399-7975</t>
  </si>
  <si>
    <t>lise@kfalosangeles.com</t>
  </si>
  <si>
    <t>Bocarsly Emden</t>
  </si>
  <si>
    <t>633 W. Fifth Street, 70th</t>
  </si>
  <si>
    <t>Los Angeles, CA  90071</t>
  </si>
  <si>
    <t>Nicole Deddens</t>
  </si>
  <si>
    <t>213-239-8029</t>
  </si>
  <si>
    <t>ndeddens@borcarsly.com</t>
  </si>
  <si>
    <t>LENA Construction</t>
  </si>
  <si>
    <t>1112 S. San Julian Street</t>
  </si>
  <si>
    <t>Los Angeles, CA 90015</t>
  </si>
  <si>
    <t>Greg Palm</t>
  </si>
  <si>
    <t>626-349-8747</t>
  </si>
  <si>
    <t>Novogradac</t>
  </si>
  <si>
    <t>3780 Kilroy Airport Way, Ste 330</t>
  </si>
  <si>
    <t>Long Beach, CA 90822</t>
  </si>
  <si>
    <t>Craig Staswick</t>
  </si>
  <si>
    <t>562-256-3555</t>
  </si>
  <si>
    <t>Craig.staswick@novoco.com</t>
  </si>
  <si>
    <t>Partner Energy</t>
  </si>
  <si>
    <t>680 Knox St., Ste 150</t>
  </si>
  <si>
    <t>Los Angeles, CA  90502</t>
  </si>
  <si>
    <t>Lance Collins</t>
  </si>
  <si>
    <t>310-356-2193</t>
  </si>
  <si>
    <t>lcollins@ptrenergy.com</t>
  </si>
  <si>
    <t>CREA LLC</t>
  </si>
  <si>
    <t>12396 World Trade Dr., Suite 307</t>
  </si>
  <si>
    <t>Merriam, KS 66204</t>
  </si>
  <si>
    <t>Rebecca S.Arthur, MAI</t>
  </si>
  <si>
    <t>913-312-4615</t>
  </si>
  <si>
    <t>Kingdom Development, Inc.</t>
  </si>
  <si>
    <t>6451 Box Springs Rd.</t>
  </si>
  <si>
    <t>Riverside, CA  92507</t>
  </si>
  <si>
    <t>Novogradac Consulting LLP</t>
  </si>
  <si>
    <t>6700 Antioch Road, Suite 450</t>
  </si>
  <si>
    <t>Merriam, KS  66204</t>
  </si>
  <si>
    <t>Rebecca S. Arthur, MAI</t>
  </si>
  <si>
    <t>rebecca.arthur@novoco.com</t>
  </si>
  <si>
    <t>CalHFA</t>
  </si>
  <si>
    <t>500 Capitol Mall Suite 1400</t>
  </si>
  <si>
    <t>Sacramento CA 951814</t>
  </si>
  <si>
    <t>Ashely Carroll</t>
  </si>
  <si>
    <t>916-326-8800</t>
  </si>
  <si>
    <t>Acarroll@clhfa.ca.gov</t>
  </si>
  <si>
    <t>Thomas Safran &amp; Associates, Inc.</t>
  </si>
  <si>
    <t>Los Angeles, CA 90049</t>
  </si>
  <si>
    <t>Elena Theisner</t>
  </si>
  <si>
    <t>310-820-4888</t>
  </si>
  <si>
    <t>elena@tsahousing.com</t>
  </si>
  <si>
    <t>Other (Specify below)</t>
  </si>
  <si>
    <t>One 4-story elevator-serviced midrise building.</t>
  </si>
  <si>
    <t>Roughly 6500 SF of non-residential shell space dedicated to supportive and community services to serve the Veteran population. These spaces have been designed to have no impact on nor connecting points with amenities designated for residents only (e.g., courtyard, parking, etc.). These spaces will not generate income.</t>
  </si>
  <si>
    <t xml:space="preserve">Units are on the West Los Angeles VA campus and will serve </t>
  </si>
  <si>
    <t>veteran households who are formerly homeless or at-risk of</t>
  </si>
  <si>
    <t>homelessness.</t>
  </si>
  <si>
    <t>O-S Open Space</t>
  </si>
  <si>
    <t>O-S</t>
  </si>
  <si>
    <t>Philanthropic Funds - WLAVC</t>
  </si>
  <si>
    <t>Citibank,N.A.</t>
  </si>
  <si>
    <t>Philanthropic Funds (WLAVC)</t>
  </si>
  <si>
    <t>Deferred Reserves</t>
  </si>
  <si>
    <t>Fixed</t>
  </si>
  <si>
    <t>300 South Grand Ave Suite 3110</t>
  </si>
  <si>
    <t>Los Angeles CA 90071</t>
  </si>
  <si>
    <t>Michael Hemmens</t>
  </si>
  <si>
    <t>213-486-8917</t>
  </si>
  <si>
    <t>Tax Exempt</t>
  </si>
  <si>
    <t>Taxable</t>
  </si>
  <si>
    <t>12396 World Trade Dr Suite 307</t>
  </si>
  <si>
    <t>San Diego CA 92128</t>
  </si>
  <si>
    <t>Richard Shea</t>
  </si>
  <si>
    <t>850-386-5198</t>
  </si>
  <si>
    <t>Equity</t>
  </si>
  <si>
    <t>1000 Corporate Pointe</t>
  </si>
  <si>
    <t>Culver City, CA 90230</t>
  </si>
  <si>
    <t>Soft Fund</t>
  </si>
  <si>
    <t>Deferred Developer Fee Loan</t>
  </si>
  <si>
    <t>Los Angeles CA 90049</t>
  </si>
  <si>
    <t>Citibank</t>
  </si>
  <si>
    <t>VA Capital Contribution</t>
  </si>
  <si>
    <t>Coventional Loan</t>
  </si>
  <si>
    <t>11301 Wishire Blvd</t>
  </si>
  <si>
    <t>Los Angeles CA 90073</t>
  </si>
  <si>
    <t>Christopher B. Simms</t>
  </si>
  <si>
    <t>310-478-3711</t>
  </si>
  <si>
    <t>Soft Funds</t>
  </si>
  <si>
    <t>Culver City Ca 90230</t>
  </si>
  <si>
    <t>Air Conditioning</t>
  </si>
  <si>
    <t>Office supplies,equipment,computer expense,telephone&amp;internet</t>
  </si>
  <si>
    <t>Employee Benefits</t>
  </si>
  <si>
    <t>Maintenance and Janitorial Supplies</t>
  </si>
  <si>
    <t>Janitorial Contract</t>
  </si>
  <si>
    <t>Fire Protection</t>
  </si>
  <si>
    <t>CAM Fees</t>
  </si>
  <si>
    <t>Issurance /Trust Fees</t>
  </si>
  <si>
    <t>HUD PBVASH</t>
  </si>
  <si>
    <t>Project-based vouchers (PBVs)</t>
  </si>
  <si>
    <t>Other: Partnership Legal</t>
  </si>
  <si>
    <t>Other: Master Plan Prevdev Costs</t>
  </si>
  <si>
    <t>Other: Jobs Coordinator, Deputy Inspector</t>
  </si>
  <si>
    <t>Other: Utilitiy Fees, CASP Consultant</t>
  </si>
  <si>
    <t xml:space="preserve">LACDA PBVs </t>
  </si>
  <si>
    <t>Jordan Pynes, President of TSA Housing, Inc.</t>
  </si>
  <si>
    <t>1 bedroom</t>
  </si>
  <si>
    <t>2 bedroom</t>
  </si>
  <si>
    <t>Other: Preconstruction Services</t>
  </si>
  <si>
    <t>Above residual receipts line for cash flow</t>
  </si>
  <si>
    <t>President of AGP</t>
  </si>
  <si>
    <t>January</t>
  </si>
  <si>
    <t>40%/60% Average Income</t>
  </si>
  <si>
    <t>gpalm@lenacon.com</t>
  </si>
  <si>
    <t>West LA Veterans Collective, LLC</t>
  </si>
  <si>
    <t>LACDA</t>
  </si>
  <si>
    <t>Deferred Developer Fees and Costs</t>
  </si>
  <si>
    <t>Deferred Fees and Costs</t>
  </si>
  <si>
    <t>Oscar Alvarado</t>
  </si>
  <si>
    <t>310-642-2079</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</si>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</sst>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0" fontId="26" fillId="0" borderId="11"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185" fontId="2" fillId="0" borderId="0" xfId="698" applyNumberFormat="1" applyFont="1"/>
    <xf numFmtId="0" fontId="102" fillId="45" borderId="93" xfId="8733" applyFont="1" applyFill="1" applyBorder="1"/>
    <xf numFmtId="0" fontId="102" fillId="45" borderId="6" xfId="8733" applyFont="1" applyFill="1" applyBorder="1"/>
    <xf numFmtId="0" fontId="102" fillId="45" borderId="10" xfId="8733" applyFont="1" applyFill="1" applyBorder="1"/>
    <xf numFmtId="10" fontId="2" fillId="0" borderId="0" xfId="1022" applyNumberFormat="1" applyFont="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66" fontId="1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17" fillId="0" borderId="11"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5" borderId="11" xfId="0" applyFont="1" applyFill="1" applyBorder="1" applyAlignment="1" applyProtection="1">
      <alignment horizontal="left" wrapText="1"/>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164" fontId="36" fillId="5" borderId="3" xfId="0" applyNumberFormat="1" applyFont="1" applyFill="1" applyBorder="1" applyAlignment="1" applyProtection="1">
      <alignment horizontal="left"/>
      <protection locked="0"/>
    </xf>
    <xf numFmtId="0" fontId="26" fillId="0" borderId="3" xfId="0" applyFont="1" applyBorder="1" applyAlignment="1">
      <alignment horizontal="lef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4" fillId="0" borderId="9" xfId="0" applyFont="1" applyBorder="1" applyAlignment="1">
      <alignment horizontal="center"/>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7" fillId="0" borderId="3" xfId="0" applyNumberFormat="1" applyFont="1" applyBorder="1" applyAlignment="1">
      <alignment horizontal="left" vertical="top"/>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66" fontId="17"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10" fontId="26" fillId="0" borderId="11" xfId="0" applyNumberFormat="1" applyFont="1" applyBorder="1" applyAlignment="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4"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4"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69" fillId="48" borderId="3" xfId="8733" applyFont="1" applyFill="1" applyBorder="1" applyAlignment="1">
      <alignment horizontal="center"/>
    </xf>
    <xf numFmtId="0" fontId="169" fillId="48" borderId="4" xfId="8733" applyFont="1" applyFill="1" applyBorder="1" applyAlignment="1">
      <alignment horizontal="center"/>
    </xf>
    <xf numFmtId="0" fontId="169" fillId="48" borderId="81"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1D208D52-CF0E-4453-BF7D-E9C0E521B880}"/>
    <cellStyle name="20% - Accent1 11" xfId="8736" xr:uid="{292B5D8D-AFED-492D-BE39-A561EE608BB6}"/>
    <cellStyle name="20% - Accent1 2" xfId="2" xr:uid="{00000000-0005-0000-0000-000002000000}"/>
    <cellStyle name="20% - Accent1 2 10" xfId="8737" xr:uid="{DC1C64E3-8806-4403-B69B-C2C2D67E17C8}"/>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D1D7367C-F8FA-4401-BF33-EF866053D157}"/>
    <cellStyle name="20% - Accent1 2 2 2 2 2 3" xfId="11298" xr:uid="{1F748C84-B2C0-4332-AC35-870765B37EB9}"/>
    <cellStyle name="20% - Accent1 2 2 2 2 3" xfId="4921" xr:uid="{00000000-0005-0000-0000-000008000000}"/>
    <cellStyle name="20% - Accent1 2 2 2 2 3 2" xfId="13371" xr:uid="{F0A0E020-FE8C-4810-9A0D-664C2EB8E8A6}"/>
    <cellStyle name="20% - Accent1 2 2 2 2 4" xfId="9153" xr:uid="{E78E915D-A202-4A9D-A69A-A7A47068922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DF3BE081-1C6A-4819-888B-35DA3E02EA27}"/>
    <cellStyle name="20% - Accent1 2 2 2 3 2 3" xfId="11711" xr:uid="{8C9D14A9-F312-4E18-9F3D-A42117BBB1B1}"/>
    <cellStyle name="20% - Accent1 2 2 2 3 3" xfId="5334" xr:uid="{00000000-0005-0000-0000-00000C000000}"/>
    <cellStyle name="20% - Accent1 2 2 2 3 3 2" xfId="13784" xr:uid="{618FD2ED-8EFE-4B5E-ACA8-79E82538385C}"/>
    <cellStyle name="20% - Accent1 2 2 2 3 4" xfId="9566" xr:uid="{1B2E840F-2211-4103-A8E5-303AF8E8FCA9}"/>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CCC63B81-8E86-43B6-9340-347581AB64BE}"/>
    <cellStyle name="20% - Accent1 2 2 2 4 2 3" xfId="12124" xr:uid="{A8D964B3-222C-4CC1-A0EC-8FFB4867618C}"/>
    <cellStyle name="20% - Accent1 2 2 2 4 3" xfId="5747" xr:uid="{00000000-0005-0000-0000-000010000000}"/>
    <cellStyle name="20% - Accent1 2 2 2 4 3 2" xfId="14197" xr:uid="{AA93E6B7-4236-44F9-A864-CD8DD2EE2795}"/>
    <cellStyle name="20% - Accent1 2 2 2 4 4" xfId="9979" xr:uid="{D055FD2D-6E3B-4EC3-AFF8-BE57D6437F13}"/>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574FB87F-C82E-431F-A5AC-7B5B563500CC}"/>
    <cellStyle name="20% - Accent1 2 2 2 5 2 3" xfId="12537" xr:uid="{5C2C3C3D-4E4B-48FC-BC64-6E1E7D50517C}"/>
    <cellStyle name="20% - Accent1 2 2 2 5 3" xfId="6160" xr:uid="{00000000-0005-0000-0000-000014000000}"/>
    <cellStyle name="20% - Accent1 2 2 2 5 3 2" xfId="14610" xr:uid="{243DA5CF-AE88-4745-B5F1-9300839D2AB0}"/>
    <cellStyle name="20% - Accent1 2 2 2 5 4" xfId="10392" xr:uid="{44F86CC4-11CF-4AFC-99AD-B7ADA2FEDFA4}"/>
    <cellStyle name="20% - Accent1 2 2 2 6" xfId="2267" xr:uid="{00000000-0005-0000-0000-000015000000}"/>
    <cellStyle name="20% - Accent1 2 2 2 6 2" xfId="6573" xr:uid="{00000000-0005-0000-0000-000016000000}"/>
    <cellStyle name="20% - Accent1 2 2 2 6 2 2" xfId="15023" xr:uid="{9B088894-6826-4457-9556-AFE1D59A5963}"/>
    <cellStyle name="20% - Accent1 2 2 2 6 3" xfId="10805" xr:uid="{241182CE-DAEA-4550-A859-8F326A583B90}"/>
    <cellStyle name="20% - Accent1 2 2 2 7" xfId="4507" xr:uid="{00000000-0005-0000-0000-000017000000}"/>
    <cellStyle name="20% - Accent1 2 2 2 7 2" xfId="12957" xr:uid="{C719F049-98D4-424C-9C47-1492B72A9994}"/>
    <cellStyle name="20% - Accent1 2 2 2 8" xfId="8739" xr:uid="{3D743B82-A023-4DFC-8645-2423105D247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9BA57CFF-C72A-48A8-9866-C8615509D003}"/>
    <cellStyle name="20% - Accent1 2 2 3 2 3" xfId="11297" xr:uid="{756A510C-0569-49AC-8628-514C430F9062}"/>
    <cellStyle name="20% - Accent1 2 2 3 3" xfId="4920" xr:uid="{00000000-0005-0000-0000-00001B000000}"/>
    <cellStyle name="20% - Accent1 2 2 3 3 2" xfId="13370" xr:uid="{0E004187-6CD3-4DC3-AA4B-6B9498A8F49E}"/>
    <cellStyle name="20% - Accent1 2 2 3 4" xfId="9152" xr:uid="{84675EA3-4D69-45D1-A6BA-F835F97A7A2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5D6E1E2A-5F62-4086-AD74-553DA273DE89}"/>
    <cellStyle name="20% - Accent1 2 2 4 2 3" xfId="11710" xr:uid="{1DAA785B-4E55-471F-B8D0-7C9B28406E6E}"/>
    <cellStyle name="20% - Accent1 2 2 4 3" xfId="5333" xr:uid="{00000000-0005-0000-0000-00001F000000}"/>
    <cellStyle name="20% - Accent1 2 2 4 3 2" xfId="13783" xr:uid="{282FAE83-46E2-444C-9D93-585AE4E920AF}"/>
    <cellStyle name="20% - Accent1 2 2 4 4" xfId="9565" xr:uid="{EC4F5DC7-4D39-4099-81E0-EC8272563BE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FAD44376-E4A8-4C76-83F3-C32B455803E3}"/>
    <cellStyle name="20% - Accent1 2 2 5 2 3" xfId="12123" xr:uid="{76BD14D8-E281-4F37-BBE4-49B11B56B3CF}"/>
    <cellStyle name="20% - Accent1 2 2 5 3" xfId="5746" xr:uid="{00000000-0005-0000-0000-000023000000}"/>
    <cellStyle name="20% - Accent1 2 2 5 3 2" xfId="14196" xr:uid="{645B6ABD-AAF6-46B6-BA75-2BA9EC27A500}"/>
    <cellStyle name="20% - Accent1 2 2 5 4" xfId="9978" xr:uid="{D26215F4-6F7E-4E1C-B699-DAD5084124AE}"/>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93A3975B-5EB9-4904-9E2C-12C0FD1CCB18}"/>
    <cellStyle name="20% - Accent1 2 2 6 2 3" xfId="12536" xr:uid="{EB7A2D0D-73F5-4225-B777-B2E94381E09A}"/>
    <cellStyle name="20% - Accent1 2 2 6 3" xfId="6159" xr:uid="{00000000-0005-0000-0000-000027000000}"/>
    <cellStyle name="20% - Accent1 2 2 6 3 2" xfId="14609" xr:uid="{A2F8164B-52E5-405E-A24F-E5C0656A0B8F}"/>
    <cellStyle name="20% - Accent1 2 2 6 4" xfId="10391" xr:uid="{55532EB5-2DCF-48C3-9F7B-8D47E671FE11}"/>
    <cellStyle name="20% - Accent1 2 2 7" xfId="2266" xr:uid="{00000000-0005-0000-0000-000028000000}"/>
    <cellStyle name="20% - Accent1 2 2 7 2" xfId="6572" xr:uid="{00000000-0005-0000-0000-000029000000}"/>
    <cellStyle name="20% - Accent1 2 2 7 2 2" xfId="15022" xr:uid="{0D58D05D-B77D-4C88-92D5-00754B09E6A1}"/>
    <cellStyle name="20% - Accent1 2 2 7 3" xfId="10804" xr:uid="{8C696F17-FAE7-4D0D-8BB6-1A9A73DBFAEA}"/>
    <cellStyle name="20% - Accent1 2 2 8" xfId="4506" xr:uid="{00000000-0005-0000-0000-00002A000000}"/>
    <cellStyle name="20% - Accent1 2 2 8 2" xfId="12956" xr:uid="{E344A10B-BCD4-4D0A-A09A-38444C488568}"/>
    <cellStyle name="20% - Accent1 2 2 9" xfId="8738" xr:uid="{153D1036-1A1D-401D-9AC1-C7263D9C838C}"/>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1A2EDAC0-8AEE-4ADF-9BEC-7456C3F3E09D}"/>
    <cellStyle name="20% - Accent1 2 3 2 2 3" xfId="11299" xr:uid="{CCD4CEB1-B037-4E34-A7DE-F30240E78C51}"/>
    <cellStyle name="20% - Accent1 2 3 2 3" xfId="4922" xr:uid="{00000000-0005-0000-0000-00002F000000}"/>
    <cellStyle name="20% - Accent1 2 3 2 3 2" xfId="13372" xr:uid="{50164235-704A-4447-9A24-150C57A66157}"/>
    <cellStyle name="20% - Accent1 2 3 2 4" xfId="9154" xr:uid="{7CEDB1C4-B0C0-49D8-9EEB-330F1362159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4E64C5B3-ABE5-4FCE-8A1E-97F168AB9548}"/>
    <cellStyle name="20% - Accent1 2 3 3 2 3" xfId="11712" xr:uid="{408090A2-013B-4891-AB2F-1C8AE146A938}"/>
    <cellStyle name="20% - Accent1 2 3 3 3" xfId="5335" xr:uid="{00000000-0005-0000-0000-000033000000}"/>
    <cellStyle name="20% - Accent1 2 3 3 3 2" xfId="13785" xr:uid="{B9F85CBD-F958-48A6-A7B0-B613C5764209}"/>
    <cellStyle name="20% - Accent1 2 3 3 4" xfId="9567" xr:uid="{8657BC3E-456D-47E2-9715-39410A5CD781}"/>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8BD95A34-C907-46CD-BE76-96493A40D2D5}"/>
    <cellStyle name="20% - Accent1 2 3 4 2 3" xfId="12125" xr:uid="{ED41B213-3B29-456A-8588-BD85F93C3915}"/>
    <cellStyle name="20% - Accent1 2 3 4 3" xfId="5748" xr:uid="{00000000-0005-0000-0000-000037000000}"/>
    <cellStyle name="20% - Accent1 2 3 4 3 2" xfId="14198" xr:uid="{9335FB67-F51D-4801-A3AE-CA28B772AC87}"/>
    <cellStyle name="20% - Accent1 2 3 4 4" xfId="9980" xr:uid="{530DB60B-BAB0-4E9C-ADBB-F2BE80BFDC9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2FABC0E5-BC44-47BF-80BA-D288BFDC0CDC}"/>
    <cellStyle name="20% - Accent1 2 3 5 2 3" xfId="12538" xr:uid="{3E2AE1F4-2BE3-40FD-8CF1-04C720D607AA}"/>
    <cellStyle name="20% - Accent1 2 3 5 3" xfId="6161" xr:uid="{00000000-0005-0000-0000-00003B000000}"/>
    <cellStyle name="20% - Accent1 2 3 5 3 2" xfId="14611" xr:uid="{7B434C57-AB65-4359-806E-1440B54E2531}"/>
    <cellStyle name="20% - Accent1 2 3 5 4" xfId="10393" xr:uid="{AD717CC7-C42C-4FBA-A5F2-F62560F91A4B}"/>
    <cellStyle name="20% - Accent1 2 3 6" xfId="2268" xr:uid="{00000000-0005-0000-0000-00003C000000}"/>
    <cellStyle name="20% - Accent1 2 3 6 2" xfId="6574" xr:uid="{00000000-0005-0000-0000-00003D000000}"/>
    <cellStyle name="20% - Accent1 2 3 6 2 2" xfId="15024" xr:uid="{5784A8B8-ABE1-4973-8CC5-C06A3EFAB31E}"/>
    <cellStyle name="20% - Accent1 2 3 6 3" xfId="10806" xr:uid="{41EEB366-ED17-4EA2-A9C8-66A1CBB0E446}"/>
    <cellStyle name="20% - Accent1 2 3 7" xfId="4508" xr:uid="{00000000-0005-0000-0000-00003E000000}"/>
    <cellStyle name="20% - Accent1 2 3 7 2" xfId="12958" xr:uid="{A8D6776A-8C08-49A6-8523-9BB939CE6B79}"/>
    <cellStyle name="20% - Accent1 2 3 8" xfId="8740" xr:uid="{806CCD5B-5319-4A15-94B0-A99093D12459}"/>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4B89F935-457D-4BAB-929B-5D97F5652D4A}"/>
    <cellStyle name="20% - Accent1 2 4 2 3" xfId="11296" xr:uid="{187A6F81-56CA-42F1-A61F-F4C603ABE980}"/>
    <cellStyle name="20% - Accent1 2 4 3" xfId="4919" xr:uid="{00000000-0005-0000-0000-000042000000}"/>
    <cellStyle name="20% - Accent1 2 4 3 2" xfId="13369" xr:uid="{21AF22FC-7BC9-4727-8EDF-19A00BD99BAE}"/>
    <cellStyle name="20% - Accent1 2 4 4" xfId="9151" xr:uid="{3F322918-C5C7-42E6-B1FA-BA927EE2F1F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755C1846-6D40-4845-A040-6302667EA51E}"/>
    <cellStyle name="20% - Accent1 2 5 2 3" xfId="11709" xr:uid="{8406B09B-8D1A-4AFF-8DFA-4B94F94CA04D}"/>
    <cellStyle name="20% - Accent1 2 5 3" xfId="5332" xr:uid="{00000000-0005-0000-0000-000046000000}"/>
    <cellStyle name="20% - Accent1 2 5 3 2" xfId="13782" xr:uid="{C52F7918-6D4D-41E0-8AF7-E51DB4781C1F}"/>
    <cellStyle name="20% - Accent1 2 5 4" xfId="9564" xr:uid="{C85E7D1E-46A2-4F12-8404-73B0AFEEF0AE}"/>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13576AE8-2AFC-4152-9264-E63DE9FB7343}"/>
    <cellStyle name="20% - Accent1 2 6 2 3" xfId="12122" xr:uid="{2D4FE9FC-C9A6-4953-9CAA-CF7F1F43423C}"/>
    <cellStyle name="20% - Accent1 2 6 3" xfId="5745" xr:uid="{00000000-0005-0000-0000-00004A000000}"/>
    <cellStyle name="20% - Accent1 2 6 3 2" xfId="14195" xr:uid="{789960E6-B820-422E-BCE3-B42F1897022B}"/>
    <cellStyle name="20% - Accent1 2 6 4" xfId="9977" xr:uid="{34B2262B-C2D7-49B2-95FA-80BBE76F559E}"/>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DDEB8ADA-AE2D-4727-BB4D-930D20297401}"/>
    <cellStyle name="20% - Accent1 2 7 2 3" xfId="12535" xr:uid="{412F330D-5577-45B7-8C84-5B9F13016A84}"/>
    <cellStyle name="20% - Accent1 2 7 3" xfId="6158" xr:uid="{00000000-0005-0000-0000-00004E000000}"/>
    <cellStyle name="20% - Accent1 2 7 3 2" xfId="14608" xr:uid="{35552717-87B0-415F-8F16-4510FFE20148}"/>
    <cellStyle name="20% - Accent1 2 7 4" xfId="10390" xr:uid="{CB13B656-9D43-4674-9EB3-941296A66456}"/>
    <cellStyle name="20% - Accent1 2 8" xfId="2265" xr:uid="{00000000-0005-0000-0000-00004F000000}"/>
    <cellStyle name="20% - Accent1 2 8 2" xfId="6571" xr:uid="{00000000-0005-0000-0000-000050000000}"/>
    <cellStyle name="20% - Accent1 2 8 2 2" xfId="15021" xr:uid="{1D6EEB2B-BEE8-4856-A240-2B3ED9594B56}"/>
    <cellStyle name="20% - Accent1 2 8 3" xfId="10803" xr:uid="{3514F1DD-8EBD-417F-B680-641CE9421B5A}"/>
    <cellStyle name="20% - Accent1 2 9" xfId="4505" xr:uid="{00000000-0005-0000-0000-000051000000}"/>
    <cellStyle name="20% - Accent1 2 9 2" xfId="12955" xr:uid="{4DE43DCE-DE18-4C0A-843A-60D27727D61C}"/>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7784C4A3-9006-460A-B971-CD24CBFB026C}"/>
    <cellStyle name="20% - Accent1 3 2 2 2 3" xfId="11301" xr:uid="{99D9B09D-6786-4428-9535-9029242708E2}"/>
    <cellStyle name="20% - Accent1 3 2 2 3" xfId="4924" xr:uid="{00000000-0005-0000-0000-000057000000}"/>
    <cellStyle name="20% - Accent1 3 2 2 3 2" xfId="13374" xr:uid="{5EED6D4E-A020-4E1C-86BC-E5AD8B3F4F42}"/>
    <cellStyle name="20% - Accent1 3 2 2 4" xfId="9156" xr:uid="{78258EEE-FF0F-4D6F-A5C2-1A1EB06A067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CA89B4F0-B309-4F16-A686-4C7747CDB458}"/>
    <cellStyle name="20% - Accent1 3 2 3 2 3" xfId="11714" xr:uid="{A7C89E7A-5FAD-4553-A649-23582DF1B023}"/>
    <cellStyle name="20% - Accent1 3 2 3 3" xfId="5337" xr:uid="{00000000-0005-0000-0000-00005B000000}"/>
    <cellStyle name="20% - Accent1 3 2 3 3 2" xfId="13787" xr:uid="{282255C5-5138-430F-93EE-BE160CE02D8E}"/>
    <cellStyle name="20% - Accent1 3 2 3 4" xfId="9569" xr:uid="{E1508D90-3F73-4747-9F7E-65A9B931769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3216B055-631B-458D-B3D6-E82A01521627}"/>
    <cellStyle name="20% - Accent1 3 2 4 2 3" xfId="12127" xr:uid="{8E81AD5C-E73B-43BA-887B-7C5026625426}"/>
    <cellStyle name="20% - Accent1 3 2 4 3" xfId="5750" xr:uid="{00000000-0005-0000-0000-00005F000000}"/>
    <cellStyle name="20% - Accent1 3 2 4 3 2" xfId="14200" xr:uid="{77122457-CC81-4933-A82B-064C07AAA12C}"/>
    <cellStyle name="20% - Accent1 3 2 4 4" xfId="9982" xr:uid="{F4869446-56FD-49BE-B672-B134AA7E77B9}"/>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F89FDA10-D3C0-4256-A1C5-10598F3168C6}"/>
    <cellStyle name="20% - Accent1 3 2 5 2 3" xfId="12540" xr:uid="{8E043990-BF90-4856-B8BC-F62FC6083DB9}"/>
    <cellStyle name="20% - Accent1 3 2 5 3" xfId="6163" xr:uid="{00000000-0005-0000-0000-000063000000}"/>
    <cellStyle name="20% - Accent1 3 2 5 3 2" xfId="14613" xr:uid="{1F4BDC1D-C05D-42A0-97FA-A24C217D34FA}"/>
    <cellStyle name="20% - Accent1 3 2 5 4" xfId="10395" xr:uid="{1E5368AA-A7D6-49D2-A732-A8244F25B6A4}"/>
    <cellStyle name="20% - Accent1 3 2 6" xfId="2270" xr:uid="{00000000-0005-0000-0000-000064000000}"/>
    <cellStyle name="20% - Accent1 3 2 6 2" xfId="6576" xr:uid="{00000000-0005-0000-0000-000065000000}"/>
    <cellStyle name="20% - Accent1 3 2 6 2 2" xfId="15026" xr:uid="{78B2A809-A153-4370-B616-B5F7CD1C306F}"/>
    <cellStyle name="20% - Accent1 3 2 6 3" xfId="10808" xr:uid="{EE5D52FB-2F76-4DA7-BACF-AB8552D95F3D}"/>
    <cellStyle name="20% - Accent1 3 2 7" xfId="4510" xr:uid="{00000000-0005-0000-0000-000066000000}"/>
    <cellStyle name="20% - Accent1 3 2 7 2" xfId="12960" xr:uid="{8BC81260-A26C-4D2B-84CD-680810C077B4}"/>
    <cellStyle name="20% - Accent1 3 2 8" xfId="8742" xr:uid="{227DF556-D842-4C6C-B400-C6E9DD670D28}"/>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68137964-16FC-412C-8224-53BE8B59E613}"/>
    <cellStyle name="20% - Accent1 3 3 2 3" xfId="11300" xr:uid="{857A3750-5457-4697-8C4D-B2714F82D2CF}"/>
    <cellStyle name="20% - Accent1 3 3 3" xfId="4923" xr:uid="{00000000-0005-0000-0000-00006A000000}"/>
    <cellStyle name="20% - Accent1 3 3 3 2" xfId="13373" xr:uid="{B5EA6ABA-F4D8-41E0-B81D-3FB32DD0299C}"/>
    <cellStyle name="20% - Accent1 3 3 4" xfId="9155" xr:uid="{BF6AB129-FBBC-4EE9-BA3B-9C2195BB2F20}"/>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05F9C1BA-617B-43A8-8546-4D8956804C16}"/>
    <cellStyle name="20% - Accent1 3 4 2 3" xfId="11713" xr:uid="{6D0EE78D-0003-427A-AED8-5820E4556735}"/>
    <cellStyle name="20% - Accent1 3 4 3" xfId="5336" xr:uid="{00000000-0005-0000-0000-00006E000000}"/>
    <cellStyle name="20% - Accent1 3 4 3 2" xfId="13786" xr:uid="{AC51F707-5819-4CA2-8881-8BF7A4823F27}"/>
    <cellStyle name="20% - Accent1 3 4 4" xfId="9568" xr:uid="{5732492A-F10C-45EC-A522-D5256E42CF30}"/>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BC010DE6-33AC-44E4-8476-C6BDFCE47BFA}"/>
    <cellStyle name="20% - Accent1 3 5 2 3" xfId="12126" xr:uid="{B28BFE04-298C-4579-955E-7CBF7A2DF8B0}"/>
    <cellStyle name="20% - Accent1 3 5 3" xfId="5749" xr:uid="{00000000-0005-0000-0000-000072000000}"/>
    <cellStyle name="20% - Accent1 3 5 3 2" xfId="14199" xr:uid="{EF8A4010-DF16-4889-AC7E-1079467218CF}"/>
    <cellStyle name="20% - Accent1 3 5 4" xfId="9981" xr:uid="{48955504-7F8B-420B-92BA-A4B57BE16DBD}"/>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2F081B0D-ABA2-4BCF-AC6B-B593CBF02A9A}"/>
    <cellStyle name="20% - Accent1 3 6 2 3" xfId="12539" xr:uid="{8BE80DE0-F354-4EEA-87DD-EBD3CFC7EF07}"/>
    <cellStyle name="20% - Accent1 3 6 3" xfId="6162" xr:uid="{00000000-0005-0000-0000-000076000000}"/>
    <cellStyle name="20% - Accent1 3 6 3 2" xfId="14612" xr:uid="{C0994F3F-885C-4E31-B9C2-9FFBDAFFF0B8}"/>
    <cellStyle name="20% - Accent1 3 6 4" xfId="10394" xr:uid="{9FE5D938-7DB6-4496-8E97-55CC6010997D}"/>
    <cellStyle name="20% - Accent1 3 7" xfId="2269" xr:uid="{00000000-0005-0000-0000-000077000000}"/>
    <cellStyle name="20% - Accent1 3 7 2" xfId="6575" xr:uid="{00000000-0005-0000-0000-000078000000}"/>
    <cellStyle name="20% - Accent1 3 7 2 2" xfId="15025" xr:uid="{90D2AD15-DD30-42F6-891E-2D407B68E2EC}"/>
    <cellStyle name="20% - Accent1 3 7 3" xfId="10807" xr:uid="{95838E86-2BCA-44B8-93C6-0FF2453A5141}"/>
    <cellStyle name="20% - Accent1 3 8" xfId="4509" xr:uid="{00000000-0005-0000-0000-000079000000}"/>
    <cellStyle name="20% - Accent1 3 8 2" xfId="12959" xr:uid="{D03B1131-BE0C-4D9C-AE11-CADBDEE337BE}"/>
    <cellStyle name="20% - Accent1 3 9" xfId="8741" xr:uid="{23619004-484C-496A-A765-9EE6B91669E8}"/>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66F603EF-0B9C-45FE-B6CB-D1065F431064}"/>
    <cellStyle name="20% - Accent1 4 2 2 3" xfId="11302" xr:uid="{FEAEB73E-49F1-4AA4-B37E-2D5608290D14}"/>
    <cellStyle name="20% - Accent1 4 2 3" xfId="4925" xr:uid="{00000000-0005-0000-0000-00007E000000}"/>
    <cellStyle name="20% - Accent1 4 2 3 2" xfId="13375" xr:uid="{2FF470CB-852F-4BB0-BDC4-6498D9A5B22F}"/>
    <cellStyle name="20% - Accent1 4 2 4" xfId="9157" xr:uid="{217DF2FD-C408-428A-9DB9-F2893804A2B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CCB0D1BC-DB67-4129-83BB-5CBE3A5BADCE}"/>
    <cellStyle name="20% - Accent1 4 3 2 3" xfId="11715" xr:uid="{ED07A0E4-60F6-470B-B1CD-FC6E4B7DE281}"/>
    <cellStyle name="20% - Accent1 4 3 3" xfId="5338" xr:uid="{00000000-0005-0000-0000-000082000000}"/>
    <cellStyle name="20% - Accent1 4 3 3 2" xfId="13788" xr:uid="{5AFB9939-55FF-4541-B28A-F4A1A901C850}"/>
    <cellStyle name="20% - Accent1 4 3 4" xfId="9570" xr:uid="{56832EAE-1E4D-40BC-8BC3-973BFE151708}"/>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CD42834A-6C9F-4F7F-A05A-5C4B76982AF6}"/>
    <cellStyle name="20% - Accent1 4 4 2 3" xfId="12128" xr:uid="{A6E4720A-8113-4EB7-804F-1176FA528844}"/>
    <cellStyle name="20% - Accent1 4 4 3" xfId="5751" xr:uid="{00000000-0005-0000-0000-000086000000}"/>
    <cellStyle name="20% - Accent1 4 4 3 2" xfId="14201" xr:uid="{9DF17F96-0EF8-4B53-845A-5C60F07C59D2}"/>
    <cellStyle name="20% - Accent1 4 4 4" xfId="9983" xr:uid="{347A584E-FBCE-452B-A144-D5864F2902A3}"/>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773D2C23-E9FD-4E7C-B5CD-405F2EB2CB5A}"/>
    <cellStyle name="20% - Accent1 4 5 2 3" xfId="12541" xr:uid="{42040C38-867F-44B4-98C7-C8AA42E64F22}"/>
    <cellStyle name="20% - Accent1 4 5 3" xfId="6164" xr:uid="{00000000-0005-0000-0000-00008A000000}"/>
    <cellStyle name="20% - Accent1 4 5 3 2" xfId="14614" xr:uid="{6BE379F6-C3A4-4A56-9541-85A5C64EADD2}"/>
    <cellStyle name="20% - Accent1 4 5 4" xfId="10396" xr:uid="{F70C2DB2-29CB-4B71-B114-CE0C0F420FAC}"/>
    <cellStyle name="20% - Accent1 4 6" xfId="2271" xr:uid="{00000000-0005-0000-0000-00008B000000}"/>
    <cellStyle name="20% - Accent1 4 6 2" xfId="6577" xr:uid="{00000000-0005-0000-0000-00008C000000}"/>
    <cellStyle name="20% - Accent1 4 6 2 2" xfId="15027" xr:uid="{4AF41B07-8810-4672-8D6B-CE76328DAE16}"/>
    <cellStyle name="20% - Accent1 4 6 3" xfId="10809" xr:uid="{2354365A-A593-4934-8E64-D88311AD8057}"/>
    <cellStyle name="20% - Accent1 4 7" xfId="4511" xr:uid="{00000000-0005-0000-0000-00008D000000}"/>
    <cellStyle name="20% - Accent1 4 7 2" xfId="12961" xr:uid="{C32BA038-CF39-4A0A-8309-2122F28F3079}"/>
    <cellStyle name="20% - Accent1 4 8" xfId="8743" xr:uid="{D1D19221-A9D7-418A-B9BB-90996AB0F1B8}"/>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9289C2B9-868E-42D6-A173-6221F63B8B4B}"/>
    <cellStyle name="20% - Accent1 5 2 3" xfId="11295" xr:uid="{E469EF82-07EF-4B32-83ED-00F441EED61D}"/>
    <cellStyle name="20% - Accent1 5 3" xfId="4918" xr:uid="{00000000-0005-0000-0000-000091000000}"/>
    <cellStyle name="20% - Accent1 5 3 2" xfId="13368" xr:uid="{ADEBA2BC-D8F3-4337-93CF-4AD0C885E9EF}"/>
    <cellStyle name="20% - Accent1 5 4" xfId="9150" xr:uid="{7405BB6E-0039-48E1-A4CD-8F5869ED5236}"/>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0DB6B0FF-7EA8-43FD-8DD1-B2953DF11084}"/>
    <cellStyle name="20% - Accent1 6 2 3" xfId="11708" xr:uid="{E809E59F-100D-48A2-BC47-B860261F034B}"/>
    <cellStyle name="20% - Accent1 6 3" xfId="5331" xr:uid="{00000000-0005-0000-0000-000095000000}"/>
    <cellStyle name="20% - Accent1 6 3 2" xfId="13781" xr:uid="{4601093A-CE4A-4DA5-8889-00A10656204D}"/>
    <cellStyle name="20% - Accent1 6 4" xfId="9563" xr:uid="{5C9C2967-6484-48D3-A91D-030EADFA3AC5}"/>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3AC26F55-1C44-4BD3-8888-FFC3000DC1FE}"/>
    <cellStyle name="20% - Accent1 7 2 3" xfId="12121" xr:uid="{EEC21B98-4E03-4158-997D-C504A02AB942}"/>
    <cellStyle name="20% - Accent1 7 3" xfId="5744" xr:uid="{00000000-0005-0000-0000-000099000000}"/>
    <cellStyle name="20% - Accent1 7 3 2" xfId="14194" xr:uid="{EF74E3B6-B00F-49FD-A5DC-35188520ADCF}"/>
    <cellStyle name="20% - Accent1 7 4" xfId="9976" xr:uid="{35C0ED98-9E44-4EB5-AA0D-284E7CEF8771}"/>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95705254-050D-4D0E-AE00-DDEDAF804287}"/>
    <cellStyle name="20% - Accent1 8 2 3" xfId="12534" xr:uid="{C3A5CC6D-780C-4C0A-8198-71EC6FF3BCEA}"/>
    <cellStyle name="20% - Accent1 8 3" xfId="6157" xr:uid="{00000000-0005-0000-0000-00009D000000}"/>
    <cellStyle name="20% - Accent1 8 3 2" xfId="14607" xr:uid="{BD8AFF13-227E-49F7-B800-C74949F0278C}"/>
    <cellStyle name="20% - Accent1 8 4" xfId="10389" xr:uid="{A79BC32D-CADF-45E3-85C9-1289A6328B3F}"/>
    <cellStyle name="20% - Accent1 9" xfId="2264" xr:uid="{00000000-0005-0000-0000-00009E000000}"/>
    <cellStyle name="20% - Accent1 9 2" xfId="6570" xr:uid="{00000000-0005-0000-0000-00009F000000}"/>
    <cellStyle name="20% - Accent1 9 2 2" xfId="15020" xr:uid="{8CCAC525-F7BD-4E44-9977-0512450FE6B2}"/>
    <cellStyle name="20% - Accent1 9 3" xfId="10802" xr:uid="{0FCC18E4-AE1E-4BAF-BFE4-E14DD38920B9}"/>
    <cellStyle name="20% - Accent2" xfId="9" builtinId="34" customBuiltin="1"/>
    <cellStyle name="20% - Accent2 10" xfId="4512" xr:uid="{00000000-0005-0000-0000-0000A1000000}"/>
    <cellStyle name="20% - Accent2 10 2" xfId="12962" xr:uid="{673B7790-0A0A-49A4-A524-ADA3BF0E8EBE}"/>
    <cellStyle name="20% - Accent2 11" xfId="8744" xr:uid="{4B39C67C-05BF-4D00-8396-4820CC52D1B9}"/>
    <cellStyle name="20% - Accent2 2" xfId="10" xr:uid="{00000000-0005-0000-0000-0000A2000000}"/>
    <cellStyle name="20% - Accent2 2 10" xfId="8745" xr:uid="{7FDA3CFB-3313-4F01-93DE-223DB337AE8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DB7A6569-34C3-4206-B55A-5CDD24F4734D}"/>
    <cellStyle name="20% - Accent2 2 2 2 2 2 3" xfId="11306" xr:uid="{D05A143D-64FD-4120-AD02-17439B28E653}"/>
    <cellStyle name="20% - Accent2 2 2 2 2 3" xfId="4929" xr:uid="{00000000-0005-0000-0000-0000A8000000}"/>
    <cellStyle name="20% - Accent2 2 2 2 2 3 2" xfId="13379" xr:uid="{C6109311-F60C-4C6B-895C-C7FE39BB5A6D}"/>
    <cellStyle name="20% - Accent2 2 2 2 2 4" xfId="9161" xr:uid="{6785C070-D66E-4A8A-951E-420A023AF93A}"/>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AAF37A1A-00E6-48C6-9ACD-1716FC664472}"/>
    <cellStyle name="20% - Accent2 2 2 2 3 2 3" xfId="11719" xr:uid="{AD0F5F0B-B5D3-458F-9104-9CD88E9470E5}"/>
    <cellStyle name="20% - Accent2 2 2 2 3 3" xfId="5342" xr:uid="{00000000-0005-0000-0000-0000AC000000}"/>
    <cellStyle name="20% - Accent2 2 2 2 3 3 2" xfId="13792" xr:uid="{55CA3B0E-E87E-4738-9E87-8A4754AE71E1}"/>
    <cellStyle name="20% - Accent2 2 2 2 3 4" xfId="9574" xr:uid="{6282FFEC-2EE3-4C6C-B09E-8BAD1FE37685}"/>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341782E5-E703-43DC-837A-5710B6202D51}"/>
    <cellStyle name="20% - Accent2 2 2 2 4 2 3" xfId="12132" xr:uid="{B4987107-97E6-4A37-B4B5-1D823BB146FB}"/>
    <cellStyle name="20% - Accent2 2 2 2 4 3" xfId="5755" xr:uid="{00000000-0005-0000-0000-0000B0000000}"/>
    <cellStyle name="20% - Accent2 2 2 2 4 3 2" xfId="14205" xr:uid="{DC69BE6B-864E-4454-B4A3-57749AA97C46}"/>
    <cellStyle name="20% - Accent2 2 2 2 4 4" xfId="9987" xr:uid="{CE207AE6-73F6-47CE-8055-8925C8E5AA4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B7097611-7D99-4159-924C-2E2EEE1F99BD}"/>
    <cellStyle name="20% - Accent2 2 2 2 5 2 3" xfId="12545" xr:uid="{E47E7BA0-910E-4165-9239-C67015C67517}"/>
    <cellStyle name="20% - Accent2 2 2 2 5 3" xfId="6168" xr:uid="{00000000-0005-0000-0000-0000B4000000}"/>
    <cellStyle name="20% - Accent2 2 2 2 5 3 2" xfId="14618" xr:uid="{10D2F6C4-B3FE-4D79-9BF5-32C91CCA73CC}"/>
    <cellStyle name="20% - Accent2 2 2 2 5 4" xfId="10400" xr:uid="{33C994E4-84CA-409A-BE05-F2D55D111B73}"/>
    <cellStyle name="20% - Accent2 2 2 2 6" xfId="2275" xr:uid="{00000000-0005-0000-0000-0000B5000000}"/>
    <cellStyle name="20% - Accent2 2 2 2 6 2" xfId="6581" xr:uid="{00000000-0005-0000-0000-0000B6000000}"/>
    <cellStyle name="20% - Accent2 2 2 2 6 2 2" xfId="15031" xr:uid="{949C3D9A-02D8-4404-AC52-8CA6EE663793}"/>
    <cellStyle name="20% - Accent2 2 2 2 6 3" xfId="10813" xr:uid="{959F8F42-ED91-4C1E-9B60-910E165A0592}"/>
    <cellStyle name="20% - Accent2 2 2 2 7" xfId="4515" xr:uid="{00000000-0005-0000-0000-0000B7000000}"/>
    <cellStyle name="20% - Accent2 2 2 2 7 2" xfId="12965" xr:uid="{8818F9F2-9C3E-42E4-9CDB-9FF9D59A7300}"/>
    <cellStyle name="20% - Accent2 2 2 2 8" xfId="8747" xr:uid="{52D6CD1A-7367-47D2-B523-1BADE50667BB}"/>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1007717E-F1FD-4117-A808-D3CBB8CB4701}"/>
    <cellStyle name="20% - Accent2 2 2 3 2 3" xfId="11305" xr:uid="{19FFD030-21B1-47E6-B1E4-7A0634388D21}"/>
    <cellStyle name="20% - Accent2 2 2 3 3" xfId="4928" xr:uid="{00000000-0005-0000-0000-0000BB000000}"/>
    <cellStyle name="20% - Accent2 2 2 3 3 2" xfId="13378" xr:uid="{6EA27C4C-8625-4FF3-A86D-B15B4B74BCD4}"/>
    <cellStyle name="20% - Accent2 2 2 3 4" xfId="9160" xr:uid="{7F191FDD-E949-468E-B9C8-7F3E2E0D612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F2522EA4-F0A3-4527-B415-3239C5ECB848}"/>
    <cellStyle name="20% - Accent2 2 2 4 2 3" xfId="11718" xr:uid="{E7C4DB23-9120-46B3-8A40-A07192D5F2E2}"/>
    <cellStyle name="20% - Accent2 2 2 4 3" xfId="5341" xr:uid="{00000000-0005-0000-0000-0000BF000000}"/>
    <cellStyle name="20% - Accent2 2 2 4 3 2" xfId="13791" xr:uid="{8DD6968C-F23E-4ABF-81E3-FCB0EBA800A2}"/>
    <cellStyle name="20% - Accent2 2 2 4 4" xfId="9573" xr:uid="{3340216E-2AA7-4347-A02F-59EA63D3741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0164B113-D0FE-4368-9793-086C1C43B314}"/>
    <cellStyle name="20% - Accent2 2 2 5 2 3" xfId="12131" xr:uid="{CE831DD9-1288-4298-B54F-3934ADD9F83A}"/>
    <cellStyle name="20% - Accent2 2 2 5 3" xfId="5754" xr:uid="{00000000-0005-0000-0000-0000C3000000}"/>
    <cellStyle name="20% - Accent2 2 2 5 3 2" xfId="14204" xr:uid="{E3538832-70E4-4959-BD84-A8A09DF8B56E}"/>
    <cellStyle name="20% - Accent2 2 2 5 4" xfId="9986" xr:uid="{F690E8D0-B48D-4978-961D-2303E56204DA}"/>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B60523ED-5CFC-4537-A4FC-C936D4F2BFCC}"/>
    <cellStyle name="20% - Accent2 2 2 6 2 3" xfId="12544" xr:uid="{7174B8F2-27D8-4A24-806C-13800702DF9E}"/>
    <cellStyle name="20% - Accent2 2 2 6 3" xfId="6167" xr:uid="{00000000-0005-0000-0000-0000C7000000}"/>
    <cellStyle name="20% - Accent2 2 2 6 3 2" xfId="14617" xr:uid="{1023EEC9-24DD-456E-842E-951466F48060}"/>
    <cellStyle name="20% - Accent2 2 2 6 4" xfId="10399" xr:uid="{A2A1F76E-2F99-471C-8156-CF549522B1C3}"/>
    <cellStyle name="20% - Accent2 2 2 7" xfId="2274" xr:uid="{00000000-0005-0000-0000-0000C8000000}"/>
    <cellStyle name="20% - Accent2 2 2 7 2" xfId="6580" xr:uid="{00000000-0005-0000-0000-0000C9000000}"/>
    <cellStyle name="20% - Accent2 2 2 7 2 2" xfId="15030" xr:uid="{15E34A1B-3553-47CE-9A53-C4F848F4FA81}"/>
    <cellStyle name="20% - Accent2 2 2 7 3" xfId="10812" xr:uid="{31C1BE45-4D96-40B9-BF34-92CF7F2A0624}"/>
    <cellStyle name="20% - Accent2 2 2 8" xfId="4514" xr:uid="{00000000-0005-0000-0000-0000CA000000}"/>
    <cellStyle name="20% - Accent2 2 2 8 2" xfId="12964" xr:uid="{FD71DD91-04E2-4E97-BC76-D144C6EC4C2A}"/>
    <cellStyle name="20% - Accent2 2 2 9" xfId="8746" xr:uid="{B7E0E0D4-837E-4ECC-9F78-1D01CA488563}"/>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7F04CCFC-99EA-40AB-B55C-8BA208DA0D50}"/>
    <cellStyle name="20% - Accent2 2 3 2 2 3" xfId="11307" xr:uid="{113096D0-CF83-4C7A-89B2-5CD0B89D9743}"/>
    <cellStyle name="20% - Accent2 2 3 2 3" xfId="4930" xr:uid="{00000000-0005-0000-0000-0000CF000000}"/>
    <cellStyle name="20% - Accent2 2 3 2 3 2" xfId="13380" xr:uid="{4F4F341C-6C1F-4ED3-A841-DE75C2E8B7BD}"/>
    <cellStyle name="20% - Accent2 2 3 2 4" xfId="9162" xr:uid="{8AA811C6-2764-47C5-99F1-748541FF6BA8}"/>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9942EBA7-E302-4C34-91B7-93A350BA9A29}"/>
    <cellStyle name="20% - Accent2 2 3 3 2 3" xfId="11720" xr:uid="{5AB15F7B-DD03-410D-B79D-27273C9FB3D3}"/>
    <cellStyle name="20% - Accent2 2 3 3 3" xfId="5343" xr:uid="{00000000-0005-0000-0000-0000D3000000}"/>
    <cellStyle name="20% - Accent2 2 3 3 3 2" xfId="13793" xr:uid="{F043C1E4-7D08-4C23-A09D-D43BD3AC8182}"/>
    <cellStyle name="20% - Accent2 2 3 3 4" xfId="9575" xr:uid="{35DE9FF4-3F5D-4648-992B-01590E3366C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B6C5AFAB-E14D-4EC2-BAC7-DF17575E372C}"/>
    <cellStyle name="20% - Accent2 2 3 4 2 3" xfId="12133" xr:uid="{9B0AD59B-A2F2-42F9-9834-704D7C0E8D93}"/>
    <cellStyle name="20% - Accent2 2 3 4 3" xfId="5756" xr:uid="{00000000-0005-0000-0000-0000D7000000}"/>
    <cellStyle name="20% - Accent2 2 3 4 3 2" xfId="14206" xr:uid="{98D562D3-B6BE-4D7F-B854-9DC6949DEA93}"/>
    <cellStyle name="20% - Accent2 2 3 4 4" xfId="9988" xr:uid="{14E33167-860F-4CA9-9DEF-8792A6D1FF9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026C5DF8-566D-4E12-8057-22D8630B9634}"/>
    <cellStyle name="20% - Accent2 2 3 5 2 3" xfId="12546" xr:uid="{FA8E62AD-DAC1-4666-826C-D313882687A1}"/>
    <cellStyle name="20% - Accent2 2 3 5 3" xfId="6169" xr:uid="{00000000-0005-0000-0000-0000DB000000}"/>
    <cellStyle name="20% - Accent2 2 3 5 3 2" xfId="14619" xr:uid="{9B5B3768-9D6D-4FE3-BF35-09C9CFFD7C9F}"/>
    <cellStyle name="20% - Accent2 2 3 5 4" xfId="10401" xr:uid="{66A82A05-069B-4538-A81C-9E67866C2A02}"/>
    <cellStyle name="20% - Accent2 2 3 6" xfId="2276" xr:uid="{00000000-0005-0000-0000-0000DC000000}"/>
    <cellStyle name="20% - Accent2 2 3 6 2" xfId="6582" xr:uid="{00000000-0005-0000-0000-0000DD000000}"/>
    <cellStyle name="20% - Accent2 2 3 6 2 2" xfId="15032" xr:uid="{F46F5444-46DA-4165-8D0E-B8ADFFD46A6D}"/>
    <cellStyle name="20% - Accent2 2 3 6 3" xfId="10814" xr:uid="{F67E5EC1-C04E-4160-AF20-9D56E64292A7}"/>
    <cellStyle name="20% - Accent2 2 3 7" xfId="4516" xr:uid="{00000000-0005-0000-0000-0000DE000000}"/>
    <cellStyle name="20% - Accent2 2 3 7 2" xfId="12966" xr:uid="{BDEADA92-1E3F-480E-AC67-0788C45255CF}"/>
    <cellStyle name="20% - Accent2 2 3 8" xfId="8748" xr:uid="{8371B918-877A-44BE-A434-9138374252D9}"/>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4B488537-C8BD-41BD-ACC5-CBBD9FAAE8A0}"/>
    <cellStyle name="20% - Accent2 2 4 2 3" xfId="11304" xr:uid="{2F0EBE05-7C54-46A5-84C9-F33E589950FD}"/>
    <cellStyle name="20% - Accent2 2 4 3" xfId="4927" xr:uid="{00000000-0005-0000-0000-0000E2000000}"/>
    <cellStyle name="20% - Accent2 2 4 3 2" xfId="13377" xr:uid="{0CD0CE49-8965-4E81-B3A7-00EEE3B02DDD}"/>
    <cellStyle name="20% - Accent2 2 4 4" xfId="9159" xr:uid="{E3E5F076-019B-4665-A5BC-D135476477B9}"/>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228CC18C-ABB9-494B-9241-AA369344A183}"/>
    <cellStyle name="20% - Accent2 2 5 2 3" xfId="11717" xr:uid="{82A34752-AF61-4520-ACAA-775407060EC3}"/>
    <cellStyle name="20% - Accent2 2 5 3" xfId="5340" xr:uid="{00000000-0005-0000-0000-0000E6000000}"/>
    <cellStyle name="20% - Accent2 2 5 3 2" xfId="13790" xr:uid="{AA180D75-CD70-45D6-9DF9-9800991F58B0}"/>
    <cellStyle name="20% - Accent2 2 5 4" xfId="9572" xr:uid="{2154A08F-FDEE-4EFE-8610-371ED748040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7E4DA386-5C3A-4CF9-A2C5-5524C7E692B4}"/>
    <cellStyle name="20% - Accent2 2 6 2 3" xfId="12130" xr:uid="{74F15D95-AFAD-48EF-B2B9-C59AEA8D6FA1}"/>
    <cellStyle name="20% - Accent2 2 6 3" xfId="5753" xr:uid="{00000000-0005-0000-0000-0000EA000000}"/>
    <cellStyle name="20% - Accent2 2 6 3 2" xfId="14203" xr:uid="{5B7D1B77-6731-4436-9FA9-12BA5FACE0EE}"/>
    <cellStyle name="20% - Accent2 2 6 4" xfId="9985" xr:uid="{4D9D8A4F-34E3-4D12-9472-A6924EA162A4}"/>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0D1FE3B0-BD44-4DF8-AD8D-A9203E21E302}"/>
    <cellStyle name="20% - Accent2 2 7 2 3" xfId="12543" xr:uid="{E0491A89-112B-4A69-A9AC-B49720A4B260}"/>
    <cellStyle name="20% - Accent2 2 7 3" xfId="6166" xr:uid="{00000000-0005-0000-0000-0000EE000000}"/>
    <cellStyle name="20% - Accent2 2 7 3 2" xfId="14616" xr:uid="{6DB1DCDC-A749-45D2-83C9-A0E24C644040}"/>
    <cellStyle name="20% - Accent2 2 7 4" xfId="10398" xr:uid="{93F0C94F-D55B-482F-A3A8-DA4CBF180C81}"/>
    <cellStyle name="20% - Accent2 2 8" xfId="2273" xr:uid="{00000000-0005-0000-0000-0000EF000000}"/>
    <cellStyle name="20% - Accent2 2 8 2" xfId="6579" xr:uid="{00000000-0005-0000-0000-0000F0000000}"/>
    <cellStyle name="20% - Accent2 2 8 2 2" xfId="15029" xr:uid="{B764D35E-1B3F-44B9-88F2-D1EE86E25407}"/>
    <cellStyle name="20% - Accent2 2 8 3" xfId="10811" xr:uid="{F8AE713D-3802-4D65-BE42-65EE97857770}"/>
    <cellStyle name="20% - Accent2 2 9" xfId="4513" xr:uid="{00000000-0005-0000-0000-0000F1000000}"/>
    <cellStyle name="20% - Accent2 2 9 2" xfId="12963" xr:uid="{5E79D7A6-7157-4737-AA9F-10A630CF0C24}"/>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2D67605D-AC8C-4609-9F07-41527752990F}"/>
    <cellStyle name="20% - Accent2 3 2 2 2 3" xfId="11309" xr:uid="{BFA02CEB-AF69-4492-887C-4E7EF85B3799}"/>
    <cellStyle name="20% - Accent2 3 2 2 3" xfId="4932" xr:uid="{00000000-0005-0000-0000-0000F7000000}"/>
    <cellStyle name="20% - Accent2 3 2 2 3 2" xfId="13382" xr:uid="{A5357FEC-8F8E-4DE0-A123-7E5B98A95705}"/>
    <cellStyle name="20% - Accent2 3 2 2 4" xfId="9164" xr:uid="{B5BCF2B8-1056-41F1-823A-08CCFB0877C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5100EC25-0E6A-44FC-AAC2-088D191AA29A}"/>
    <cellStyle name="20% - Accent2 3 2 3 2 3" xfId="11722" xr:uid="{3A95E108-AAB1-4D49-96BA-15B90485FD15}"/>
    <cellStyle name="20% - Accent2 3 2 3 3" xfId="5345" xr:uid="{00000000-0005-0000-0000-0000FB000000}"/>
    <cellStyle name="20% - Accent2 3 2 3 3 2" xfId="13795" xr:uid="{D8912758-DE77-4152-BC3B-9D8E763463A2}"/>
    <cellStyle name="20% - Accent2 3 2 3 4" xfId="9577" xr:uid="{E4942F5F-3C38-44AE-9AD3-A9503CE1BD5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E9DCBD0A-ED09-4A08-9A74-F2F6CE52FF18}"/>
    <cellStyle name="20% - Accent2 3 2 4 2 3" xfId="12135" xr:uid="{2C98224C-1AD0-4B68-9497-3BB04DABC621}"/>
    <cellStyle name="20% - Accent2 3 2 4 3" xfId="5758" xr:uid="{00000000-0005-0000-0000-0000FF000000}"/>
    <cellStyle name="20% - Accent2 3 2 4 3 2" xfId="14208" xr:uid="{D34B454A-EC09-45EE-AE78-E3798292E334}"/>
    <cellStyle name="20% - Accent2 3 2 4 4" xfId="9990" xr:uid="{1005D350-CB9E-4F2B-9A2A-607E5E5BEF8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8E56F889-E814-41E0-BF3C-2428F1B94521}"/>
    <cellStyle name="20% - Accent2 3 2 5 2 3" xfId="12548" xr:uid="{A3B905E0-BBC0-4FDD-B754-626BDB7FCA41}"/>
    <cellStyle name="20% - Accent2 3 2 5 3" xfId="6171" xr:uid="{00000000-0005-0000-0000-000003010000}"/>
    <cellStyle name="20% - Accent2 3 2 5 3 2" xfId="14621" xr:uid="{BBF48722-CAB9-47EC-A06F-AC6EF916BFF5}"/>
    <cellStyle name="20% - Accent2 3 2 5 4" xfId="10403" xr:uid="{1BB8CA31-1728-4889-99C9-39CB31FC049F}"/>
    <cellStyle name="20% - Accent2 3 2 6" xfId="2278" xr:uid="{00000000-0005-0000-0000-000004010000}"/>
    <cellStyle name="20% - Accent2 3 2 6 2" xfId="6584" xr:uid="{00000000-0005-0000-0000-000005010000}"/>
    <cellStyle name="20% - Accent2 3 2 6 2 2" xfId="15034" xr:uid="{CCB43321-968D-413D-BDF4-8DFA70A46DC2}"/>
    <cellStyle name="20% - Accent2 3 2 6 3" xfId="10816" xr:uid="{8BAAA768-52CB-4070-ABB5-17E13FA158E9}"/>
    <cellStyle name="20% - Accent2 3 2 7" xfId="4518" xr:uid="{00000000-0005-0000-0000-000006010000}"/>
    <cellStyle name="20% - Accent2 3 2 7 2" xfId="12968" xr:uid="{2EF2AFC1-8292-48CC-A958-0394FD9A2019}"/>
    <cellStyle name="20% - Accent2 3 2 8" xfId="8750" xr:uid="{3C5AC795-E45A-43E8-AC0C-25A7FF2EBA65}"/>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BDF683EB-AC85-42DB-AAAC-D3742A0E4A08}"/>
    <cellStyle name="20% - Accent2 3 3 2 3" xfId="11308" xr:uid="{9681466E-8E7C-4CA8-88B4-32A45CB4DF09}"/>
    <cellStyle name="20% - Accent2 3 3 3" xfId="4931" xr:uid="{00000000-0005-0000-0000-00000A010000}"/>
    <cellStyle name="20% - Accent2 3 3 3 2" xfId="13381" xr:uid="{241FED6A-FF5D-4E23-AB20-41B9C8DF9E6D}"/>
    <cellStyle name="20% - Accent2 3 3 4" xfId="9163" xr:uid="{482450C7-1F62-44E2-9D5B-1427943C6B84}"/>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BA183ECF-7329-44E6-9567-E78E608D1077}"/>
    <cellStyle name="20% - Accent2 3 4 2 3" xfId="11721" xr:uid="{6E11A5E2-3848-42E7-BA10-267DA549E11C}"/>
    <cellStyle name="20% - Accent2 3 4 3" xfId="5344" xr:uid="{00000000-0005-0000-0000-00000E010000}"/>
    <cellStyle name="20% - Accent2 3 4 3 2" xfId="13794" xr:uid="{A7B27D1F-0B52-4E7E-AFCA-A9DD5BAEE419}"/>
    <cellStyle name="20% - Accent2 3 4 4" xfId="9576" xr:uid="{B10AB383-3470-4EDA-8D1D-AB32C959A1F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0B1132DB-69DE-4691-B337-6DE983556013}"/>
    <cellStyle name="20% - Accent2 3 5 2 3" xfId="12134" xr:uid="{D0B20BE1-AA43-44E0-BED3-64BA111C8B74}"/>
    <cellStyle name="20% - Accent2 3 5 3" xfId="5757" xr:uid="{00000000-0005-0000-0000-000012010000}"/>
    <cellStyle name="20% - Accent2 3 5 3 2" xfId="14207" xr:uid="{56A9AB3D-998E-467B-A4CC-53A4FF598131}"/>
    <cellStyle name="20% - Accent2 3 5 4" xfId="9989" xr:uid="{04BD3A74-6CF9-45FA-86B6-106343C0C75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F1CBF0AA-5BBE-45E4-A1E2-5A42979DFD00}"/>
    <cellStyle name="20% - Accent2 3 6 2 3" xfId="12547" xr:uid="{F45EE381-C452-417E-9B43-6EA285253893}"/>
    <cellStyle name="20% - Accent2 3 6 3" xfId="6170" xr:uid="{00000000-0005-0000-0000-000016010000}"/>
    <cellStyle name="20% - Accent2 3 6 3 2" xfId="14620" xr:uid="{99A50D62-4622-4679-BEAF-06D1F61C09E9}"/>
    <cellStyle name="20% - Accent2 3 6 4" xfId="10402" xr:uid="{29DE69C7-02FE-4944-A105-AADA5D7266BA}"/>
    <cellStyle name="20% - Accent2 3 7" xfId="2277" xr:uid="{00000000-0005-0000-0000-000017010000}"/>
    <cellStyle name="20% - Accent2 3 7 2" xfId="6583" xr:uid="{00000000-0005-0000-0000-000018010000}"/>
    <cellStyle name="20% - Accent2 3 7 2 2" xfId="15033" xr:uid="{09D1B78F-8CCB-47A5-9965-29AE2D1F607E}"/>
    <cellStyle name="20% - Accent2 3 7 3" xfId="10815" xr:uid="{FF7E5A83-E72A-4239-8995-777A31F36746}"/>
    <cellStyle name="20% - Accent2 3 8" xfId="4517" xr:uid="{00000000-0005-0000-0000-000019010000}"/>
    <cellStyle name="20% - Accent2 3 8 2" xfId="12967" xr:uid="{041C804F-85B7-486E-A587-029B6F59AE3A}"/>
    <cellStyle name="20% - Accent2 3 9" xfId="8749" xr:uid="{FEE32E87-F2AC-44E9-A013-374FC882A00B}"/>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0A37CBE7-0D59-408D-955D-35ED17B16B23}"/>
    <cellStyle name="20% - Accent2 4 2 2 3" xfId="11310" xr:uid="{168622A8-9406-4C32-99C7-FCBD043918DC}"/>
    <cellStyle name="20% - Accent2 4 2 3" xfId="4933" xr:uid="{00000000-0005-0000-0000-00001E010000}"/>
    <cellStyle name="20% - Accent2 4 2 3 2" xfId="13383" xr:uid="{BED6B04C-5A14-4FF1-A1CA-B2DEA0E06D9E}"/>
    <cellStyle name="20% - Accent2 4 2 4" xfId="9165" xr:uid="{E599889B-8850-435F-ADF1-DEE73AA3F46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80F4AC0A-9B5D-4F9A-9A5D-6209C93990BD}"/>
    <cellStyle name="20% - Accent2 4 3 2 3" xfId="11723" xr:uid="{664BFEAE-8D30-4236-ABE2-798AC6F2D749}"/>
    <cellStyle name="20% - Accent2 4 3 3" xfId="5346" xr:uid="{00000000-0005-0000-0000-000022010000}"/>
    <cellStyle name="20% - Accent2 4 3 3 2" xfId="13796" xr:uid="{BF3537FA-38AB-4F8D-98F8-B45968B88B5E}"/>
    <cellStyle name="20% - Accent2 4 3 4" xfId="9578" xr:uid="{9C8B46AA-6F66-40D5-A960-C2DDF894343C}"/>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E772208-BA2D-433C-A877-4455D9F506B6}"/>
    <cellStyle name="20% - Accent2 4 4 2 3" xfId="12136" xr:uid="{50ADE59B-D0DA-421C-9950-9A67A68EE0E7}"/>
    <cellStyle name="20% - Accent2 4 4 3" xfId="5759" xr:uid="{00000000-0005-0000-0000-000026010000}"/>
    <cellStyle name="20% - Accent2 4 4 3 2" xfId="14209" xr:uid="{F42E07F2-8475-43B1-8DA0-40F76C8185B8}"/>
    <cellStyle name="20% - Accent2 4 4 4" xfId="9991" xr:uid="{BB50CD07-3479-4185-9489-5D1FCAF71C56}"/>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E722D6CD-4593-4A3E-97C4-763EC79E155C}"/>
    <cellStyle name="20% - Accent2 4 5 2 3" xfId="12549" xr:uid="{1A0A5423-3272-4DCC-AD36-92BAF8A767DB}"/>
    <cellStyle name="20% - Accent2 4 5 3" xfId="6172" xr:uid="{00000000-0005-0000-0000-00002A010000}"/>
    <cellStyle name="20% - Accent2 4 5 3 2" xfId="14622" xr:uid="{186C57D5-CFA9-4F15-B0EF-4028D4528479}"/>
    <cellStyle name="20% - Accent2 4 5 4" xfId="10404" xr:uid="{A65C3684-660C-4D2C-A9AE-D9B221E46FB5}"/>
    <cellStyle name="20% - Accent2 4 6" xfId="2279" xr:uid="{00000000-0005-0000-0000-00002B010000}"/>
    <cellStyle name="20% - Accent2 4 6 2" xfId="6585" xr:uid="{00000000-0005-0000-0000-00002C010000}"/>
    <cellStyle name="20% - Accent2 4 6 2 2" xfId="15035" xr:uid="{8A7E71EA-82CF-4DE5-BB9C-64ABDA22E3F8}"/>
    <cellStyle name="20% - Accent2 4 6 3" xfId="10817" xr:uid="{F617A86D-6501-483F-AE2E-BAB86BF05E5B}"/>
    <cellStyle name="20% - Accent2 4 7" xfId="4519" xr:uid="{00000000-0005-0000-0000-00002D010000}"/>
    <cellStyle name="20% - Accent2 4 7 2" xfId="12969" xr:uid="{994405FF-4AE5-4F93-8734-35AF5464DD95}"/>
    <cellStyle name="20% - Accent2 4 8" xfId="8751" xr:uid="{A7AC1787-38CF-47F7-84AB-ECF00CF0864F}"/>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D9E111AA-B814-44DE-90C7-5B7AE1CC89C7}"/>
    <cellStyle name="20% - Accent2 5 2 3" xfId="11303" xr:uid="{50C21C4A-74B3-49FE-AEA1-A9B05B9943A6}"/>
    <cellStyle name="20% - Accent2 5 3" xfId="4926" xr:uid="{00000000-0005-0000-0000-000031010000}"/>
    <cellStyle name="20% - Accent2 5 3 2" xfId="13376" xr:uid="{1D030F0B-0777-4B08-A953-44785F29BB1B}"/>
    <cellStyle name="20% - Accent2 5 4" xfId="9158" xr:uid="{47D1A823-6095-4386-B1A8-AF5F85559805}"/>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2E5F5A5A-6707-4861-988F-9BFEEB842AEE}"/>
    <cellStyle name="20% - Accent2 6 2 3" xfId="11716" xr:uid="{4A891F1E-0416-4244-A142-B53B2412E962}"/>
    <cellStyle name="20% - Accent2 6 3" xfId="5339" xr:uid="{00000000-0005-0000-0000-000035010000}"/>
    <cellStyle name="20% - Accent2 6 3 2" xfId="13789" xr:uid="{03F38CC8-391A-468D-9059-89F8B9D12313}"/>
    <cellStyle name="20% - Accent2 6 4" xfId="9571" xr:uid="{A415ACE5-4867-4829-943C-C5C2A863F72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C18CFA07-880B-4A00-8107-5F7713053367}"/>
    <cellStyle name="20% - Accent2 7 2 3" xfId="12129" xr:uid="{140BE07B-E1E8-4C65-B488-AB1EC6E563DE}"/>
    <cellStyle name="20% - Accent2 7 3" xfId="5752" xr:uid="{00000000-0005-0000-0000-000039010000}"/>
    <cellStyle name="20% - Accent2 7 3 2" xfId="14202" xr:uid="{D8B1C81E-3CAC-4396-8199-9094C8E3C675}"/>
    <cellStyle name="20% - Accent2 7 4" xfId="9984" xr:uid="{A755650B-8A67-417B-8FD3-DADB00DFBA8F}"/>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2EF17829-5F7D-489C-9B62-1BF9DCD03205}"/>
    <cellStyle name="20% - Accent2 8 2 3" xfId="12542" xr:uid="{2663CBB5-16A3-4289-9C1F-B320A04B60A6}"/>
    <cellStyle name="20% - Accent2 8 3" xfId="6165" xr:uid="{00000000-0005-0000-0000-00003D010000}"/>
    <cellStyle name="20% - Accent2 8 3 2" xfId="14615" xr:uid="{930ECF52-2591-4A92-8804-216F40E5624C}"/>
    <cellStyle name="20% - Accent2 8 4" xfId="10397" xr:uid="{E97CDF8D-785A-49B0-AE9C-DBB00C39D3B5}"/>
    <cellStyle name="20% - Accent2 9" xfId="2272" xr:uid="{00000000-0005-0000-0000-00003E010000}"/>
    <cellStyle name="20% - Accent2 9 2" xfId="6578" xr:uid="{00000000-0005-0000-0000-00003F010000}"/>
    <cellStyle name="20% - Accent2 9 2 2" xfId="15028" xr:uid="{733C0035-BC14-4F09-8C17-1BC86FA59CD6}"/>
    <cellStyle name="20% - Accent2 9 3" xfId="10810" xr:uid="{C38E6E68-7227-48A7-8280-564AFB25C3CB}"/>
    <cellStyle name="20% - Accent3" xfId="17" builtinId="38" customBuiltin="1"/>
    <cellStyle name="20% - Accent3 10" xfId="4520" xr:uid="{00000000-0005-0000-0000-000041010000}"/>
    <cellStyle name="20% - Accent3 10 2" xfId="12970" xr:uid="{9630D45C-B4E1-419E-80D1-CE063D4902F6}"/>
    <cellStyle name="20% - Accent3 11" xfId="8752" xr:uid="{64593F73-FD34-4AFD-A3EC-D19C187F9FE3}"/>
    <cellStyle name="20% - Accent3 2" xfId="18" xr:uid="{00000000-0005-0000-0000-000042010000}"/>
    <cellStyle name="20% - Accent3 2 10" xfId="8753" xr:uid="{2B2DC926-F799-4271-A81B-A3EBC3E7EC3C}"/>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507CD16A-CD56-4086-B54B-307FBD8D1ABF}"/>
    <cellStyle name="20% - Accent3 2 2 2 2 2 3" xfId="11314" xr:uid="{2AC10EC7-2810-41CD-B141-09F6A16DCC92}"/>
    <cellStyle name="20% - Accent3 2 2 2 2 3" xfId="4937" xr:uid="{00000000-0005-0000-0000-000048010000}"/>
    <cellStyle name="20% - Accent3 2 2 2 2 3 2" xfId="13387" xr:uid="{5E813802-532E-4D4B-8EAC-B47FB3FE7A7F}"/>
    <cellStyle name="20% - Accent3 2 2 2 2 4" xfId="9169" xr:uid="{E15B945A-7597-4B30-970A-FCA412A3B982}"/>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A0F65DCD-BD41-4102-8289-4B7740EF4339}"/>
    <cellStyle name="20% - Accent3 2 2 2 3 2 3" xfId="11727" xr:uid="{280650D8-C62E-49EB-B173-09E907697191}"/>
    <cellStyle name="20% - Accent3 2 2 2 3 3" xfId="5350" xr:uid="{00000000-0005-0000-0000-00004C010000}"/>
    <cellStyle name="20% - Accent3 2 2 2 3 3 2" xfId="13800" xr:uid="{54F1551E-70E0-4B56-B65B-3F31705D0A30}"/>
    <cellStyle name="20% - Accent3 2 2 2 3 4" xfId="9582" xr:uid="{E0CE7007-6517-42E1-A205-3D74D5D00F37}"/>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1DB9627F-1095-4D21-80BE-B5734D2C7AD8}"/>
    <cellStyle name="20% - Accent3 2 2 2 4 2 3" xfId="12140" xr:uid="{048305B2-FC09-4061-9115-25CCF1FB5090}"/>
    <cellStyle name="20% - Accent3 2 2 2 4 3" xfId="5763" xr:uid="{00000000-0005-0000-0000-000050010000}"/>
    <cellStyle name="20% - Accent3 2 2 2 4 3 2" xfId="14213" xr:uid="{FE0F87B4-F010-41D3-9149-773F5114B937}"/>
    <cellStyle name="20% - Accent3 2 2 2 4 4" xfId="9995" xr:uid="{33672CED-004C-4AC5-8F01-A4BF52134CC2}"/>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08A56DEA-27D2-4061-81B0-C05388DA8A64}"/>
    <cellStyle name="20% - Accent3 2 2 2 5 2 3" xfId="12553" xr:uid="{ADCF0A93-87C9-4285-9F65-41385791098C}"/>
    <cellStyle name="20% - Accent3 2 2 2 5 3" xfId="6176" xr:uid="{00000000-0005-0000-0000-000054010000}"/>
    <cellStyle name="20% - Accent3 2 2 2 5 3 2" xfId="14626" xr:uid="{A3942B6F-B23E-4602-BB61-EDFDD37E97F5}"/>
    <cellStyle name="20% - Accent3 2 2 2 5 4" xfId="10408" xr:uid="{152E9DE7-0639-47E1-8B8D-E0B6BAD490EF}"/>
    <cellStyle name="20% - Accent3 2 2 2 6" xfId="2283" xr:uid="{00000000-0005-0000-0000-000055010000}"/>
    <cellStyle name="20% - Accent3 2 2 2 6 2" xfId="6589" xr:uid="{00000000-0005-0000-0000-000056010000}"/>
    <cellStyle name="20% - Accent3 2 2 2 6 2 2" xfId="15039" xr:uid="{D8FC846F-F53A-4161-A684-45A3A19FA0D6}"/>
    <cellStyle name="20% - Accent3 2 2 2 6 3" xfId="10821" xr:uid="{39B77C89-DA2E-4624-A4D0-EEA063740113}"/>
    <cellStyle name="20% - Accent3 2 2 2 7" xfId="4523" xr:uid="{00000000-0005-0000-0000-000057010000}"/>
    <cellStyle name="20% - Accent3 2 2 2 7 2" xfId="12973" xr:uid="{B90A8872-318E-43E8-8F34-985A0C4D727B}"/>
    <cellStyle name="20% - Accent3 2 2 2 8" xfId="8755" xr:uid="{665782FB-70FE-4884-80D2-1F4AF117C133}"/>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4632E1D7-792D-4761-977B-CC29D533B66B}"/>
    <cellStyle name="20% - Accent3 2 2 3 2 3" xfId="11313" xr:uid="{0237EF59-F2BC-4F0A-9FFC-54FEF5405922}"/>
    <cellStyle name="20% - Accent3 2 2 3 3" xfId="4936" xr:uid="{00000000-0005-0000-0000-00005B010000}"/>
    <cellStyle name="20% - Accent3 2 2 3 3 2" xfId="13386" xr:uid="{AF806F40-B56A-44C5-8638-C13F3C5D6907}"/>
    <cellStyle name="20% - Accent3 2 2 3 4" xfId="9168" xr:uid="{92026D5F-C87B-4973-B1E7-FF8AD17B49CC}"/>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690A861C-B106-4FB3-942E-58D1DE6F89DD}"/>
    <cellStyle name="20% - Accent3 2 2 4 2 3" xfId="11726" xr:uid="{3EDAB3E4-32B1-4C59-A709-EBC95C2AA240}"/>
    <cellStyle name="20% - Accent3 2 2 4 3" xfId="5349" xr:uid="{00000000-0005-0000-0000-00005F010000}"/>
    <cellStyle name="20% - Accent3 2 2 4 3 2" xfId="13799" xr:uid="{C9D65274-9D61-40A9-9731-16538A3E2A65}"/>
    <cellStyle name="20% - Accent3 2 2 4 4" xfId="9581" xr:uid="{5193442E-CF24-4161-A295-361F334BD2B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A1D45F0B-BFD9-4A23-82CA-C8F956CAB251}"/>
    <cellStyle name="20% - Accent3 2 2 5 2 3" xfId="12139" xr:uid="{63690ACF-4EB3-4D5F-B948-E64DAF047EA8}"/>
    <cellStyle name="20% - Accent3 2 2 5 3" xfId="5762" xr:uid="{00000000-0005-0000-0000-000063010000}"/>
    <cellStyle name="20% - Accent3 2 2 5 3 2" xfId="14212" xr:uid="{84631853-EFFB-467C-9BCF-1BBF44B25BD8}"/>
    <cellStyle name="20% - Accent3 2 2 5 4" xfId="9994" xr:uid="{E538CB62-78F3-43AA-A7C0-1C06EEBF601C}"/>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C3B97A5C-F127-4E55-AC05-F3A3C22B67FB}"/>
    <cellStyle name="20% - Accent3 2 2 6 2 3" xfId="12552" xr:uid="{C975292E-03F0-4ECC-9E63-C4AE511C4277}"/>
    <cellStyle name="20% - Accent3 2 2 6 3" xfId="6175" xr:uid="{00000000-0005-0000-0000-000067010000}"/>
    <cellStyle name="20% - Accent3 2 2 6 3 2" xfId="14625" xr:uid="{C1DEBD82-687D-4DCD-82F8-82EB241A5160}"/>
    <cellStyle name="20% - Accent3 2 2 6 4" xfId="10407" xr:uid="{DF40257D-E236-4986-A2DA-6A5D17EEA32D}"/>
    <cellStyle name="20% - Accent3 2 2 7" xfId="2282" xr:uid="{00000000-0005-0000-0000-000068010000}"/>
    <cellStyle name="20% - Accent3 2 2 7 2" xfId="6588" xr:uid="{00000000-0005-0000-0000-000069010000}"/>
    <cellStyle name="20% - Accent3 2 2 7 2 2" xfId="15038" xr:uid="{8CC04690-1857-46FA-8A58-BC94B77DB03C}"/>
    <cellStyle name="20% - Accent3 2 2 7 3" xfId="10820" xr:uid="{5CFE4261-812C-4A45-A9C7-7AF12F490523}"/>
    <cellStyle name="20% - Accent3 2 2 8" xfId="4522" xr:uid="{00000000-0005-0000-0000-00006A010000}"/>
    <cellStyle name="20% - Accent3 2 2 8 2" xfId="12972" xr:uid="{23583ECB-7F86-4D6A-B568-8D741499E15B}"/>
    <cellStyle name="20% - Accent3 2 2 9" xfId="8754" xr:uid="{91C540EF-06F6-4AF7-BF15-D47B7A96744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132826E9-6134-4352-BC89-1FC0EA5B2C94}"/>
    <cellStyle name="20% - Accent3 2 3 2 2 3" xfId="11315" xr:uid="{52F05D96-FF00-4262-A006-ABAA03B1983A}"/>
    <cellStyle name="20% - Accent3 2 3 2 3" xfId="4938" xr:uid="{00000000-0005-0000-0000-00006F010000}"/>
    <cellStyle name="20% - Accent3 2 3 2 3 2" xfId="13388" xr:uid="{9EE8DF4F-E9E9-4822-B011-F618A2C5766A}"/>
    <cellStyle name="20% - Accent3 2 3 2 4" xfId="9170" xr:uid="{A2688892-F7A0-4C8E-81A3-9422D726CFC8}"/>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0A56CAB3-3D94-42E7-B171-B94F0E200F18}"/>
    <cellStyle name="20% - Accent3 2 3 3 2 3" xfId="11728" xr:uid="{EE25AA33-46A6-4F73-8017-2846CB70129C}"/>
    <cellStyle name="20% - Accent3 2 3 3 3" xfId="5351" xr:uid="{00000000-0005-0000-0000-000073010000}"/>
    <cellStyle name="20% - Accent3 2 3 3 3 2" xfId="13801" xr:uid="{B1A9440D-9F75-4827-B8F8-847D70CC7666}"/>
    <cellStyle name="20% - Accent3 2 3 3 4" xfId="9583" xr:uid="{1C5B517B-651A-4BE3-935F-C79AF942C9AD}"/>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1776B490-3663-4A13-AE53-75974DEA4518}"/>
    <cellStyle name="20% - Accent3 2 3 4 2 3" xfId="12141" xr:uid="{90EFB312-78AF-4F76-BE63-034A8D399870}"/>
    <cellStyle name="20% - Accent3 2 3 4 3" xfId="5764" xr:uid="{00000000-0005-0000-0000-000077010000}"/>
    <cellStyle name="20% - Accent3 2 3 4 3 2" xfId="14214" xr:uid="{BFDFC21F-2667-4A8D-BB5E-A1B83FFDD7A9}"/>
    <cellStyle name="20% - Accent3 2 3 4 4" xfId="9996" xr:uid="{7481F1BE-CF67-4775-982D-78FEAFCDEE6E}"/>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BEFF43CD-52EF-40E8-B44F-CB6129B4EC01}"/>
    <cellStyle name="20% - Accent3 2 3 5 2 3" xfId="12554" xr:uid="{3DFA3571-C4CF-4F80-A412-5D2DC66FCD74}"/>
    <cellStyle name="20% - Accent3 2 3 5 3" xfId="6177" xr:uid="{00000000-0005-0000-0000-00007B010000}"/>
    <cellStyle name="20% - Accent3 2 3 5 3 2" xfId="14627" xr:uid="{4CA26699-7B09-4905-BC0B-8F5B3D99A406}"/>
    <cellStyle name="20% - Accent3 2 3 5 4" xfId="10409" xr:uid="{3B1396E7-D7C2-4EDD-9B4A-4CD27988D694}"/>
    <cellStyle name="20% - Accent3 2 3 6" xfId="2284" xr:uid="{00000000-0005-0000-0000-00007C010000}"/>
    <cellStyle name="20% - Accent3 2 3 6 2" xfId="6590" xr:uid="{00000000-0005-0000-0000-00007D010000}"/>
    <cellStyle name="20% - Accent3 2 3 6 2 2" xfId="15040" xr:uid="{2DA209B1-4F47-4811-8097-69291E749827}"/>
    <cellStyle name="20% - Accent3 2 3 6 3" xfId="10822" xr:uid="{014B5B21-12FE-4E36-85A6-D186776FFAB5}"/>
    <cellStyle name="20% - Accent3 2 3 7" xfId="4524" xr:uid="{00000000-0005-0000-0000-00007E010000}"/>
    <cellStyle name="20% - Accent3 2 3 7 2" xfId="12974" xr:uid="{1FE65089-D7D0-4051-9776-EE9BB88A89C7}"/>
    <cellStyle name="20% - Accent3 2 3 8" xfId="8756" xr:uid="{8DF72A16-D12C-4D79-AB07-5281E7E5C776}"/>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AD4D64DE-8868-4C88-A924-0A595FBFFCE4}"/>
    <cellStyle name="20% - Accent3 2 4 2 3" xfId="11312" xr:uid="{7AB7C81F-4C18-4D6E-8E9C-091290FFA547}"/>
    <cellStyle name="20% - Accent3 2 4 3" xfId="4935" xr:uid="{00000000-0005-0000-0000-000082010000}"/>
    <cellStyle name="20% - Accent3 2 4 3 2" xfId="13385" xr:uid="{F11A9E7F-7021-491D-B7C0-49BB5725B7A0}"/>
    <cellStyle name="20% - Accent3 2 4 4" xfId="9167" xr:uid="{F8C0EA10-7733-49C7-B5A7-7A37628AF074}"/>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F125EC82-0502-444C-95C7-329A1BBE79B8}"/>
    <cellStyle name="20% - Accent3 2 5 2 3" xfId="11725" xr:uid="{546E97F0-EEA1-4D99-8CF7-D2110902FE02}"/>
    <cellStyle name="20% - Accent3 2 5 3" xfId="5348" xr:uid="{00000000-0005-0000-0000-000086010000}"/>
    <cellStyle name="20% - Accent3 2 5 3 2" xfId="13798" xr:uid="{5EFBBC9A-7B10-45A9-8EAE-3D649EBBAEEB}"/>
    <cellStyle name="20% - Accent3 2 5 4" xfId="9580" xr:uid="{F2DA5B80-8319-4DFC-946A-0B324989A4A9}"/>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6C7BFDDA-0138-40F6-B2C5-0DDD4B6A914B}"/>
    <cellStyle name="20% - Accent3 2 6 2 3" xfId="12138" xr:uid="{BB858693-1599-4E1B-ACC1-2D44A05DFAF4}"/>
    <cellStyle name="20% - Accent3 2 6 3" xfId="5761" xr:uid="{00000000-0005-0000-0000-00008A010000}"/>
    <cellStyle name="20% - Accent3 2 6 3 2" xfId="14211" xr:uid="{94968D0F-1021-471C-BF27-F9896CB4CF2C}"/>
    <cellStyle name="20% - Accent3 2 6 4" xfId="9993" xr:uid="{F8BE8E05-3B85-4389-8B7D-2691887847C3}"/>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8962EE86-C76D-4EF6-BEBB-F0B5C89225EF}"/>
    <cellStyle name="20% - Accent3 2 7 2 3" xfId="12551" xr:uid="{F7D0B790-B2FE-4A8F-A9D1-3DB527CDC1D2}"/>
    <cellStyle name="20% - Accent3 2 7 3" xfId="6174" xr:uid="{00000000-0005-0000-0000-00008E010000}"/>
    <cellStyle name="20% - Accent3 2 7 3 2" xfId="14624" xr:uid="{5F784B4A-BAE5-4FC8-AD10-7BE99912D6D4}"/>
    <cellStyle name="20% - Accent3 2 7 4" xfId="10406" xr:uid="{5D4C11BD-3126-4A3A-8744-6B6863EBB799}"/>
    <cellStyle name="20% - Accent3 2 8" xfId="2281" xr:uid="{00000000-0005-0000-0000-00008F010000}"/>
    <cellStyle name="20% - Accent3 2 8 2" xfId="6587" xr:uid="{00000000-0005-0000-0000-000090010000}"/>
    <cellStyle name="20% - Accent3 2 8 2 2" xfId="15037" xr:uid="{ACE4E692-79E0-4300-A40A-C42D032367EC}"/>
    <cellStyle name="20% - Accent3 2 8 3" xfId="10819" xr:uid="{20B102C0-6BB8-4653-AF76-26B725FD184E}"/>
    <cellStyle name="20% - Accent3 2 9" xfId="4521" xr:uid="{00000000-0005-0000-0000-000091010000}"/>
    <cellStyle name="20% - Accent3 2 9 2" xfId="12971" xr:uid="{3F0EBA3F-9AD5-4C6E-B0BE-07472835EACA}"/>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FE7851FC-BCE4-4A09-A224-EABFED867D04}"/>
    <cellStyle name="20% - Accent3 3 2 2 2 3" xfId="11317" xr:uid="{6F9CEE27-B34B-4E52-998C-9751966888A2}"/>
    <cellStyle name="20% - Accent3 3 2 2 3" xfId="4940" xr:uid="{00000000-0005-0000-0000-000097010000}"/>
    <cellStyle name="20% - Accent3 3 2 2 3 2" xfId="13390" xr:uid="{0B9496FA-E04D-4C43-86F3-9935C9E72713}"/>
    <cellStyle name="20% - Accent3 3 2 2 4" xfId="9172" xr:uid="{CDCE5FA9-978D-420C-92AD-639D06DA414E}"/>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6C7D6561-FB30-4A79-84EB-C089A09552A7}"/>
    <cellStyle name="20% - Accent3 3 2 3 2 3" xfId="11730" xr:uid="{803D2661-43CA-4B9D-81A0-3EA2D6195E7B}"/>
    <cellStyle name="20% - Accent3 3 2 3 3" xfId="5353" xr:uid="{00000000-0005-0000-0000-00009B010000}"/>
    <cellStyle name="20% - Accent3 3 2 3 3 2" xfId="13803" xr:uid="{758674D2-A197-417B-B6D6-42B8F06C7412}"/>
    <cellStyle name="20% - Accent3 3 2 3 4" xfId="9585" xr:uid="{556D3C74-F6DF-4487-90E9-57C5EFAAB3BC}"/>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7CFCEEFC-5F01-4E74-B045-202BE011064F}"/>
    <cellStyle name="20% - Accent3 3 2 4 2 3" xfId="12143" xr:uid="{69CAF1EB-E080-4CD5-A5CE-71EA1D5C5E94}"/>
    <cellStyle name="20% - Accent3 3 2 4 3" xfId="5766" xr:uid="{00000000-0005-0000-0000-00009F010000}"/>
    <cellStyle name="20% - Accent3 3 2 4 3 2" xfId="14216" xr:uid="{1A63A5FA-C043-45F1-902D-4491BD053DB3}"/>
    <cellStyle name="20% - Accent3 3 2 4 4" xfId="9998" xr:uid="{69E3B1B9-6A34-4A0C-9A7B-327102BB30E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EE514D5C-F007-4BC5-A0E4-40C7FE58DFD7}"/>
    <cellStyle name="20% - Accent3 3 2 5 2 3" xfId="12556" xr:uid="{4B0BEC94-5D2E-4B93-9A7B-A1EF1350CAE6}"/>
    <cellStyle name="20% - Accent3 3 2 5 3" xfId="6179" xr:uid="{00000000-0005-0000-0000-0000A3010000}"/>
    <cellStyle name="20% - Accent3 3 2 5 3 2" xfId="14629" xr:uid="{8E2E4E83-1EA2-40B5-8211-0773ACD397F8}"/>
    <cellStyle name="20% - Accent3 3 2 5 4" xfId="10411" xr:uid="{CC20EC81-7278-4E35-987E-A4FC308D7E9D}"/>
    <cellStyle name="20% - Accent3 3 2 6" xfId="2286" xr:uid="{00000000-0005-0000-0000-0000A4010000}"/>
    <cellStyle name="20% - Accent3 3 2 6 2" xfId="6592" xr:uid="{00000000-0005-0000-0000-0000A5010000}"/>
    <cellStyle name="20% - Accent3 3 2 6 2 2" xfId="15042" xr:uid="{8F088494-3899-488E-8767-BA49491E522F}"/>
    <cellStyle name="20% - Accent3 3 2 6 3" xfId="10824" xr:uid="{9473EF4A-3141-475F-8181-461D92556850}"/>
    <cellStyle name="20% - Accent3 3 2 7" xfId="4526" xr:uid="{00000000-0005-0000-0000-0000A6010000}"/>
    <cellStyle name="20% - Accent3 3 2 7 2" xfId="12976" xr:uid="{1286F07B-2CCB-4663-B916-1C0D6C927A9B}"/>
    <cellStyle name="20% - Accent3 3 2 8" xfId="8758" xr:uid="{323C55F6-92C4-489F-8295-621F37B5FF26}"/>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9418C7A0-95AB-4C71-9293-EF20FDE3E815}"/>
    <cellStyle name="20% - Accent3 3 3 2 3" xfId="11316" xr:uid="{0F228A49-B62F-4CE5-AD8C-DF4B125DE911}"/>
    <cellStyle name="20% - Accent3 3 3 3" xfId="4939" xr:uid="{00000000-0005-0000-0000-0000AA010000}"/>
    <cellStyle name="20% - Accent3 3 3 3 2" xfId="13389" xr:uid="{7F72B0A0-1ED9-4321-9280-21DF329B9914}"/>
    <cellStyle name="20% - Accent3 3 3 4" xfId="9171" xr:uid="{C0198A1D-976D-450F-A1E2-EBC1873F0648}"/>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0AD3F9CB-2676-4DC9-B0F6-050E058975F9}"/>
    <cellStyle name="20% - Accent3 3 4 2 3" xfId="11729" xr:uid="{3D7CE2AE-D5DA-438A-826E-2185ACBB1948}"/>
    <cellStyle name="20% - Accent3 3 4 3" xfId="5352" xr:uid="{00000000-0005-0000-0000-0000AE010000}"/>
    <cellStyle name="20% - Accent3 3 4 3 2" xfId="13802" xr:uid="{0712BB07-3FC1-411A-8D21-3CCD6468ABA2}"/>
    <cellStyle name="20% - Accent3 3 4 4" xfId="9584" xr:uid="{4095C87C-59A5-4DBC-9C9C-91607AB7717D}"/>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0B8059B7-B17F-4EFA-9629-0227F2163DC5}"/>
    <cellStyle name="20% - Accent3 3 5 2 3" xfId="12142" xr:uid="{DBDEA118-44B6-4FA0-98A0-4A53F83CC806}"/>
    <cellStyle name="20% - Accent3 3 5 3" xfId="5765" xr:uid="{00000000-0005-0000-0000-0000B2010000}"/>
    <cellStyle name="20% - Accent3 3 5 3 2" xfId="14215" xr:uid="{399B801F-6C6C-46E5-B941-AEA050D232B1}"/>
    <cellStyle name="20% - Accent3 3 5 4" xfId="9997" xr:uid="{09DC9518-A787-4F32-8BAB-842E04D1BEE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7131031E-D7AB-4F2B-8FD2-4D5A0E99E6BF}"/>
    <cellStyle name="20% - Accent3 3 6 2 3" xfId="12555" xr:uid="{C2BAA348-277B-4210-8FF7-9EB93DAC5D96}"/>
    <cellStyle name="20% - Accent3 3 6 3" xfId="6178" xr:uid="{00000000-0005-0000-0000-0000B6010000}"/>
    <cellStyle name="20% - Accent3 3 6 3 2" xfId="14628" xr:uid="{D949D599-3BCB-4DFC-96A2-B22946E1037B}"/>
    <cellStyle name="20% - Accent3 3 6 4" xfId="10410" xr:uid="{460B4C84-7A82-4A9D-A25D-D0A99FA6A6AA}"/>
    <cellStyle name="20% - Accent3 3 7" xfId="2285" xr:uid="{00000000-0005-0000-0000-0000B7010000}"/>
    <cellStyle name="20% - Accent3 3 7 2" xfId="6591" xr:uid="{00000000-0005-0000-0000-0000B8010000}"/>
    <cellStyle name="20% - Accent3 3 7 2 2" xfId="15041" xr:uid="{19F72029-20CE-4364-B4EC-3F93EADE5EF6}"/>
    <cellStyle name="20% - Accent3 3 7 3" xfId="10823" xr:uid="{0A54D25E-86AD-4852-BA09-67CDEC992039}"/>
    <cellStyle name="20% - Accent3 3 8" xfId="4525" xr:uid="{00000000-0005-0000-0000-0000B9010000}"/>
    <cellStyle name="20% - Accent3 3 8 2" xfId="12975" xr:uid="{156AA119-D4C6-490B-B257-ACD8F01FAC11}"/>
    <cellStyle name="20% - Accent3 3 9" xfId="8757" xr:uid="{C409D529-1801-454A-83A9-59848056B594}"/>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A411B204-C1A8-4F40-B24C-43295BB24F35}"/>
    <cellStyle name="20% - Accent3 4 2 2 3" xfId="11318" xr:uid="{04E10F6C-1438-4290-BCE4-368DB060DE0D}"/>
    <cellStyle name="20% - Accent3 4 2 3" xfId="4941" xr:uid="{00000000-0005-0000-0000-0000BE010000}"/>
    <cellStyle name="20% - Accent3 4 2 3 2" xfId="13391" xr:uid="{C9FE7813-DF21-448F-BD1D-DC385EB7BD2D}"/>
    <cellStyle name="20% - Accent3 4 2 4" xfId="9173" xr:uid="{B99242B9-8554-4B68-BC63-4E6573EEAD00}"/>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2AEE6B60-799B-4FA9-A39B-80AF1C9D23F1}"/>
    <cellStyle name="20% - Accent3 4 3 2 3" xfId="11731" xr:uid="{4A932314-91F9-40AC-B627-32435C004041}"/>
    <cellStyle name="20% - Accent3 4 3 3" xfId="5354" xr:uid="{00000000-0005-0000-0000-0000C2010000}"/>
    <cellStyle name="20% - Accent3 4 3 3 2" xfId="13804" xr:uid="{7B353D65-D823-4714-A8D3-38CF745BAB11}"/>
    <cellStyle name="20% - Accent3 4 3 4" xfId="9586" xr:uid="{1FA5E510-5656-42E8-9AFF-DF9C556FC761}"/>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289DE7C0-26C8-49CA-AF5A-E171FFDEFB25}"/>
    <cellStyle name="20% - Accent3 4 4 2 3" xfId="12144" xr:uid="{8E3CE396-7BCF-4D51-A6E8-9AF8B5A45CCD}"/>
    <cellStyle name="20% - Accent3 4 4 3" xfId="5767" xr:uid="{00000000-0005-0000-0000-0000C6010000}"/>
    <cellStyle name="20% - Accent3 4 4 3 2" xfId="14217" xr:uid="{1FB79055-4F35-41D4-B644-DBF97D08241C}"/>
    <cellStyle name="20% - Accent3 4 4 4" xfId="9999" xr:uid="{B31D181F-9D34-49C4-ACF6-7505541787FC}"/>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2E5BD230-CF70-4B67-A2DC-74FED2B5650F}"/>
    <cellStyle name="20% - Accent3 4 5 2 3" xfId="12557" xr:uid="{CCF30FB3-0396-4D2E-933D-D3A0B9C3545E}"/>
    <cellStyle name="20% - Accent3 4 5 3" xfId="6180" xr:uid="{00000000-0005-0000-0000-0000CA010000}"/>
    <cellStyle name="20% - Accent3 4 5 3 2" xfId="14630" xr:uid="{CB1A4DD9-5D51-4986-BCDD-28E7C3EAEA0C}"/>
    <cellStyle name="20% - Accent3 4 5 4" xfId="10412" xr:uid="{53AA3F47-6ADF-47B0-A9C3-6CEDD38DBD60}"/>
    <cellStyle name="20% - Accent3 4 6" xfId="2287" xr:uid="{00000000-0005-0000-0000-0000CB010000}"/>
    <cellStyle name="20% - Accent3 4 6 2" xfId="6593" xr:uid="{00000000-0005-0000-0000-0000CC010000}"/>
    <cellStyle name="20% - Accent3 4 6 2 2" xfId="15043" xr:uid="{66B65199-F330-42CE-A197-E82829C3EDE6}"/>
    <cellStyle name="20% - Accent3 4 6 3" xfId="10825" xr:uid="{C3DCF94B-30C7-4150-9D59-F54A870E135D}"/>
    <cellStyle name="20% - Accent3 4 7" xfId="4527" xr:uid="{00000000-0005-0000-0000-0000CD010000}"/>
    <cellStyle name="20% - Accent3 4 7 2" xfId="12977" xr:uid="{4CD72BA6-B4D6-4ACC-8A37-4E8CC12CCD3B}"/>
    <cellStyle name="20% - Accent3 4 8" xfId="8759" xr:uid="{9177E27A-75FA-4B9A-A07E-D0EB788D9D09}"/>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F259940F-E466-4066-B290-82F81CFB327C}"/>
    <cellStyle name="20% - Accent3 5 2 3" xfId="11311" xr:uid="{94057C1F-71B0-4E2D-B35C-C505EAADC243}"/>
    <cellStyle name="20% - Accent3 5 3" xfId="4934" xr:uid="{00000000-0005-0000-0000-0000D1010000}"/>
    <cellStyle name="20% - Accent3 5 3 2" xfId="13384" xr:uid="{934D6A2F-E4B4-4CF9-9592-545AA437BF91}"/>
    <cellStyle name="20% - Accent3 5 4" xfId="9166" xr:uid="{A2AE481A-A8A5-4A74-AFF8-D5DC041E39D5}"/>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2078F210-3A54-4F0A-A0CD-DAAF7F116A5D}"/>
    <cellStyle name="20% - Accent3 6 2 3" xfId="11724" xr:uid="{EB6A6034-746C-46AF-96E6-646DFB0551EA}"/>
    <cellStyle name="20% - Accent3 6 3" xfId="5347" xr:uid="{00000000-0005-0000-0000-0000D5010000}"/>
    <cellStyle name="20% - Accent3 6 3 2" xfId="13797" xr:uid="{DDE0F531-66C8-4B2E-A17A-19F0269DB035}"/>
    <cellStyle name="20% - Accent3 6 4" xfId="9579" xr:uid="{BB22C71C-0904-4E74-A9A4-0FC5DADEA1DF}"/>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D7C13875-5798-461E-BEE8-3F5527853056}"/>
    <cellStyle name="20% - Accent3 7 2 3" xfId="12137" xr:uid="{65CBF2E6-7BD7-4571-ACB7-8D2DD10C907B}"/>
    <cellStyle name="20% - Accent3 7 3" xfId="5760" xr:uid="{00000000-0005-0000-0000-0000D9010000}"/>
    <cellStyle name="20% - Accent3 7 3 2" xfId="14210" xr:uid="{CD42F149-776A-4C46-AEFB-2A480CEDB95A}"/>
    <cellStyle name="20% - Accent3 7 4" xfId="9992" xr:uid="{763D9CAE-EAAE-44DD-A1C6-5242DBB4675B}"/>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0B364380-D8D8-4A97-9BFD-90E340D5904A}"/>
    <cellStyle name="20% - Accent3 8 2 3" xfId="12550" xr:uid="{09FA76A7-6CF6-40F8-A8B0-97305BFCBE3B}"/>
    <cellStyle name="20% - Accent3 8 3" xfId="6173" xr:uid="{00000000-0005-0000-0000-0000DD010000}"/>
    <cellStyle name="20% - Accent3 8 3 2" xfId="14623" xr:uid="{C58E700B-23B1-4728-9C05-FEE8CB9612D2}"/>
    <cellStyle name="20% - Accent3 8 4" xfId="10405" xr:uid="{3FB881FA-2596-4A6D-9483-7EE69355739C}"/>
    <cellStyle name="20% - Accent3 9" xfId="2280" xr:uid="{00000000-0005-0000-0000-0000DE010000}"/>
    <cellStyle name="20% - Accent3 9 2" xfId="6586" xr:uid="{00000000-0005-0000-0000-0000DF010000}"/>
    <cellStyle name="20% - Accent3 9 2 2" xfId="15036" xr:uid="{C4B10A68-9273-494A-B2D7-3C5696E92664}"/>
    <cellStyle name="20% - Accent3 9 3" xfId="10818" xr:uid="{CC9D9AA0-84C8-4D2B-AAEF-8499C194A8FB}"/>
    <cellStyle name="20% - Accent4" xfId="25" builtinId="42" customBuiltin="1"/>
    <cellStyle name="20% - Accent4 10" xfId="4528" xr:uid="{00000000-0005-0000-0000-0000E1010000}"/>
    <cellStyle name="20% - Accent4 10 2" xfId="12978" xr:uid="{392C3728-5868-4D99-836A-1E9AD5E2871A}"/>
    <cellStyle name="20% - Accent4 11" xfId="8760" xr:uid="{1A08BFC0-0F93-47CA-A5B6-6E26CF78422C}"/>
    <cellStyle name="20% - Accent4 2" xfId="26" xr:uid="{00000000-0005-0000-0000-0000E2010000}"/>
    <cellStyle name="20% - Accent4 2 10" xfId="8761" xr:uid="{E77ED5BF-1F78-4EE1-AA11-7D7139788BFE}"/>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674D210A-C125-428E-B1DF-BD22F39517B0}"/>
    <cellStyle name="20% - Accent4 2 2 2 2 2 3" xfId="11322" xr:uid="{31A118CB-60BC-476B-A546-1EB5F12559DD}"/>
    <cellStyle name="20% - Accent4 2 2 2 2 3" xfId="4945" xr:uid="{00000000-0005-0000-0000-0000E8010000}"/>
    <cellStyle name="20% - Accent4 2 2 2 2 3 2" xfId="13395" xr:uid="{606052B1-233D-4D43-A743-F96E4A0AEA7B}"/>
    <cellStyle name="20% - Accent4 2 2 2 2 4" xfId="9177" xr:uid="{BED9E82D-1CF3-4458-B05D-14B0EA7AED8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3A3AF1A8-FA01-4F73-A0EB-D4A79F107124}"/>
    <cellStyle name="20% - Accent4 2 2 2 3 2 3" xfId="11735" xr:uid="{69F18952-92C8-4947-B59E-1A886A9602FB}"/>
    <cellStyle name="20% - Accent4 2 2 2 3 3" xfId="5358" xr:uid="{00000000-0005-0000-0000-0000EC010000}"/>
    <cellStyle name="20% - Accent4 2 2 2 3 3 2" xfId="13808" xr:uid="{CF452748-2F34-42A5-A2FD-9E52A68A935F}"/>
    <cellStyle name="20% - Accent4 2 2 2 3 4" xfId="9590" xr:uid="{BFF6E7E7-9291-45F6-A847-CAB9A440E7AB}"/>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59BE7D73-1A2A-48C2-BE29-C5331BEC555E}"/>
    <cellStyle name="20% - Accent4 2 2 2 4 2 3" xfId="12148" xr:uid="{04CC4AA2-B571-4EA9-AFA9-560B954741F1}"/>
    <cellStyle name="20% - Accent4 2 2 2 4 3" xfId="5771" xr:uid="{00000000-0005-0000-0000-0000F0010000}"/>
    <cellStyle name="20% - Accent4 2 2 2 4 3 2" xfId="14221" xr:uid="{00B5601A-C6D2-475F-A0F5-F89447F07F2B}"/>
    <cellStyle name="20% - Accent4 2 2 2 4 4" xfId="10003" xr:uid="{995083A3-CC2C-4E43-87C1-83A4D30BB347}"/>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0F1398D-88B8-47B0-805D-54BE9D8D9576}"/>
    <cellStyle name="20% - Accent4 2 2 2 5 2 3" xfId="12561" xr:uid="{B408940E-6E5F-49F5-80D8-4FDE17FA88ED}"/>
    <cellStyle name="20% - Accent4 2 2 2 5 3" xfId="6184" xr:uid="{00000000-0005-0000-0000-0000F4010000}"/>
    <cellStyle name="20% - Accent4 2 2 2 5 3 2" xfId="14634" xr:uid="{5C419DF6-93C3-4D26-B5A0-3FD951354762}"/>
    <cellStyle name="20% - Accent4 2 2 2 5 4" xfId="10416" xr:uid="{1890BD9A-C775-4E13-9BAF-3AE6B24E7ACC}"/>
    <cellStyle name="20% - Accent4 2 2 2 6" xfId="2291" xr:uid="{00000000-0005-0000-0000-0000F5010000}"/>
    <cellStyle name="20% - Accent4 2 2 2 6 2" xfId="6597" xr:uid="{00000000-0005-0000-0000-0000F6010000}"/>
    <cellStyle name="20% - Accent4 2 2 2 6 2 2" xfId="15047" xr:uid="{04433D78-6800-4AC5-920C-BD763710B3EF}"/>
    <cellStyle name="20% - Accent4 2 2 2 6 3" xfId="10829" xr:uid="{47EB330E-FF5C-4D98-A9C4-A1F58D4ACBA7}"/>
    <cellStyle name="20% - Accent4 2 2 2 7" xfId="4531" xr:uid="{00000000-0005-0000-0000-0000F7010000}"/>
    <cellStyle name="20% - Accent4 2 2 2 7 2" xfId="12981" xr:uid="{777E8C7F-4319-4CF1-B846-6D04AF58DC05}"/>
    <cellStyle name="20% - Accent4 2 2 2 8" xfId="8763" xr:uid="{2619C52F-A210-4794-94EF-15C6C7A339B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F31D112A-AAAD-4FCF-B1BD-57BB84BF5BF2}"/>
    <cellStyle name="20% - Accent4 2 2 3 2 3" xfId="11321" xr:uid="{963DDF6A-27CE-46C9-A6EC-BE955F140BC4}"/>
    <cellStyle name="20% - Accent4 2 2 3 3" xfId="4944" xr:uid="{00000000-0005-0000-0000-0000FB010000}"/>
    <cellStyle name="20% - Accent4 2 2 3 3 2" xfId="13394" xr:uid="{47E0C296-BA06-4369-AC55-AFA082B991D2}"/>
    <cellStyle name="20% - Accent4 2 2 3 4" xfId="9176" xr:uid="{D480DAAF-1D32-4DD0-847D-60AE663FA2D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F0D123C7-6406-40C6-AEB3-35D4A10EE7D9}"/>
    <cellStyle name="20% - Accent4 2 2 4 2 3" xfId="11734" xr:uid="{1D732ECA-0E64-465F-89AF-163A45D4D8A1}"/>
    <cellStyle name="20% - Accent4 2 2 4 3" xfId="5357" xr:uid="{00000000-0005-0000-0000-0000FF010000}"/>
    <cellStyle name="20% - Accent4 2 2 4 3 2" xfId="13807" xr:uid="{718E3616-42FE-4E25-B0D1-E57C5AADAE46}"/>
    <cellStyle name="20% - Accent4 2 2 4 4" xfId="9589" xr:uid="{910355E8-06FF-42F9-AF86-6DADFBBDF39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00902FA9-0CD0-4CE7-9015-442B0BD80660}"/>
    <cellStyle name="20% - Accent4 2 2 5 2 3" xfId="12147" xr:uid="{C28AECF4-3160-41C6-9CD4-4A4AC294E9FF}"/>
    <cellStyle name="20% - Accent4 2 2 5 3" xfId="5770" xr:uid="{00000000-0005-0000-0000-000003020000}"/>
    <cellStyle name="20% - Accent4 2 2 5 3 2" xfId="14220" xr:uid="{92A1A1AB-93B8-4C14-BD10-0E908C58E647}"/>
    <cellStyle name="20% - Accent4 2 2 5 4" xfId="10002" xr:uid="{3955CEFA-91AF-4558-8CF0-506664B5C309}"/>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94DB477E-998E-49BD-B430-48CD0A87A467}"/>
    <cellStyle name="20% - Accent4 2 2 6 2 3" xfId="12560" xr:uid="{503B2CD0-D4B3-4574-B8E8-881C76D8EDF3}"/>
    <cellStyle name="20% - Accent4 2 2 6 3" xfId="6183" xr:uid="{00000000-0005-0000-0000-000007020000}"/>
    <cellStyle name="20% - Accent4 2 2 6 3 2" xfId="14633" xr:uid="{562F5A81-A05B-474F-A66E-A11BD21ED9CF}"/>
    <cellStyle name="20% - Accent4 2 2 6 4" xfId="10415" xr:uid="{EFE802A0-4C9C-46A3-8A13-4230F2899F84}"/>
    <cellStyle name="20% - Accent4 2 2 7" xfId="2290" xr:uid="{00000000-0005-0000-0000-000008020000}"/>
    <cellStyle name="20% - Accent4 2 2 7 2" xfId="6596" xr:uid="{00000000-0005-0000-0000-000009020000}"/>
    <cellStyle name="20% - Accent4 2 2 7 2 2" xfId="15046" xr:uid="{3D0D8BE6-CF6F-4B6E-8D6C-6B245427E605}"/>
    <cellStyle name="20% - Accent4 2 2 7 3" xfId="10828" xr:uid="{270CAF49-5B53-47D6-9E11-B5AA3DC386BE}"/>
    <cellStyle name="20% - Accent4 2 2 8" xfId="4530" xr:uid="{00000000-0005-0000-0000-00000A020000}"/>
    <cellStyle name="20% - Accent4 2 2 8 2" xfId="12980" xr:uid="{0EC4C4E6-652F-46DA-B120-78AEFB163CDC}"/>
    <cellStyle name="20% - Accent4 2 2 9" xfId="8762" xr:uid="{E47EB1F7-AB53-49B7-9821-04B0542E0079}"/>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F333EF14-905C-4C4F-B475-8F3DA9BC9790}"/>
    <cellStyle name="20% - Accent4 2 3 2 2 3" xfId="11323" xr:uid="{965569DC-7A74-4E97-AF49-EB0E73460CD4}"/>
    <cellStyle name="20% - Accent4 2 3 2 3" xfId="4946" xr:uid="{00000000-0005-0000-0000-00000F020000}"/>
    <cellStyle name="20% - Accent4 2 3 2 3 2" xfId="13396" xr:uid="{0210745C-9E91-464F-8D2B-C7F1198084ED}"/>
    <cellStyle name="20% - Accent4 2 3 2 4" xfId="9178" xr:uid="{4CA97CF3-7501-4893-90B2-2CEDBA3C9F2B}"/>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86CEDB52-82AA-455D-A717-6F7CD9691E33}"/>
    <cellStyle name="20% - Accent4 2 3 3 2 3" xfId="11736" xr:uid="{F208B355-F8C5-4B31-9664-390B18D32B15}"/>
    <cellStyle name="20% - Accent4 2 3 3 3" xfId="5359" xr:uid="{00000000-0005-0000-0000-000013020000}"/>
    <cellStyle name="20% - Accent4 2 3 3 3 2" xfId="13809" xr:uid="{EACFCB11-C6CB-463E-8D42-CE5277CE1818}"/>
    <cellStyle name="20% - Accent4 2 3 3 4" xfId="9591" xr:uid="{83734EE5-7F8D-4F8F-9496-E5FBB534425C}"/>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854CDF9A-38C1-43BD-B151-CC5E7C214EDE}"/>
    <cellStyle name="20% - Accent4 2 3 4 2 3" xfId="12149" xr:uid="{34898BDA-EBC8-41C0-A360-3C8F0DC23EC4}"/>
    <cellStyle name="20% - Accent4 2 3 4 3" xfId="5772" xr:uid="{00000000-0005-0000-0000-000017020000}"/>
    <cellStyle name="20% - Accent4 2 3 4 3 2" xfId="14222" xr:uid="{D94D3701-5414-4E76-A5CA-706A6A86F210}"/>
    <cellStyle name="20% - Accent4 2 3 4 4" xfId="10004" xr:uid="{1801FB46-DEB4-4879-8F23-CD8AF64C9B3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49AEA5BE-370C-4FB5-B607-7DF266BC796D}"/>
    <cellStyle name="20% - Accent4 2 3 5 2 3" xfId="12562" xr:uid="{347C6649-5E97-40E8-8A8A-77CF9522A14B}"/>
    <cellStyle name="20% - Accent4 2 3 5 3" xfId="6185" xr:uid="{00000000-0005-0000-0000-00001B020000}"/>
    <cellStyle name="20% - Accent4 2 3 5 3 2" xfId="14635" xr:uid="{77455083-9467-4D12-8AE2-9027571A9C03}"/>
    <cellStyle name="20% - Accent4 2 3 5 4" xfId="10417" xr:uid="{93A65A17-C5A9-4FA5-B731-7D45D7405762}"/>
    <cellStyle name="20% - Accent4 2 3 6" xfId="2292" xr:uid="{00000000-0005-0000-0000-00001C020000}"/>
    <cellStyle name="20% - Accent4 2 3 6 2" xfId="6598" xr:uid="{00000000-0005-0000-0000-00001D020000}"/>
    <cellStyle name="20% - Accent4 2 3 6 2 2" xfId="15048" xr:uid="{F0ED94E1-15E5-4DC9-86B5-58C4E371FA81}"/>
    <cellStyle name="20% - Accent4 2 3 6 3" xfId="10830" xr:uid="{FCE2E71E-2DA8-46E7-BB26-B792CDDE493A}"/>
    <cellStyle name="20% - Accent4 2 3 7" xfId="4532" xr:uid="{00000000-0005-0000-0000-00001E020000}"/>
    <cellStyle name="20% - Accent4 2 3 7 2" xfId="12982" xr:uid="{46573BAB-10FD-45D4-A48D-2BF4E47BA382}"/>
    <cellStyle name="20% - Accent4 2 3 8" xfId="8764" xr:uid="{885745E3-3FDB-42AF-B7F8-C38C860E2931}"/>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00DA42E5-CD1E-44DC-A4DA-62270BB00DF5}"/>
    <cellStyle name="20% - Accent4 2 4 2 3" xfId="11320" xr:uid="{B6AD1B1B-F478-4005-BFB1-3A5AB472F372}"/>
    <cellStyle name="20% - Accent4 2 4 3" xfId="4943" xr:uid="{00000000-0005-0000-0000-000022020000}"/>
    <cellStyle name="20% - Accent4 2 4 3 2" xfId="13393" xr:uid="{5464A4D3-5B97-4613-BA43-7C2F4E4F921C}"/>
    <cellStyle name="20% - Accent4 2 4 4" xfId="9175" xr:uid="{18899A4F-131E-4657-8934-C482C4C4D7A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751FCDD9-A6E2-47E3-963B-6987F1D4B0E6}"/>
    <cellStyle name="20% - Accent4 2 5 2 3" xfId="11733" xr:uid="{912F2AD6-4ADE-4596-8D12-F28D3C32CF01}"/>
    <cellStyle name="20% - Accent4 2 5 3" xfId="5356" xr:uid="{00000000-0005-0000-0000-000026020000}"/>
    <cellStyle name="20% - Accent4 2 5 3 2" xfId="13806" xr:uid="{9023A44B-0FB6-4048-8136-5BCD7F4C399D}"/>
    <cellStyle name="20% - Accent4 2 5 4" xfId="9588" xr:uid="{FA2739F8-E073-458F-857D-8BFE36200462}"/>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4AAAE8E3-093E-4647-9FB4-3734DD80D575}"/>
    <cellStyle name="20% - Accent4 2 6 2 3" xfId="12146" xr:uid="{4DEFE3BB-4B40-4730-8528-9E03A49B0FA3}"/>
    <cellStyle name="20% - Accent4 2 6 3" xfId="5769" xr:uid="{00000000-0005-0000-0000-00002A020000}"/>
    <cellStyle name="20% - Accent4 2 6 3 2" xfId="14219" xr:uid="{74193CE3-7D8C-4988-A863-F9B464EB1E8A}"/>
    <cellStyle name="20% - Accent4 2 6 4" xfId="10001" xr:uid="{EA52B295-E796-4061-850C-B2E9D330C73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583F8EA1-F35A-431D-8E83-75E8D5C75948}"/>
    <cellStyle name="20% - Accent4 2 7 2 3" xfId="12559" xr:uid="{332EE8D3-B2FC-4438-8077-B4BE84EFBF0A}"/>
    <cellStyle name="20% - Accent4 2 7 3" xfId="6182" xr:uid="{00000000-0005-0000-0000-00002E020000}"/>
    <cellStyle name="20% - Accent4 2 7 3 2" xfId="14632" xr:uid="{2690A254-2C72-401A-AD69-4E930036E1DC}"/>
    <cellStyle name="20% - Accent4 2 7 4" xfId="10414" xr:uid="{27E8B5A7-69D6-4A74-BD87-8E908ADB1BC5}"/>
    <cellStyle name="20% - Accent4 2 8" xfId="2289" xr:uid="{00000000-0005-0000-0000-00002F020000}"/>
    <cellStyle name="20% - Accent4 2 8 2" xfId="6595" xr:uid="{00000000-0005-0000-0000-000030020000}"/>
    <cellStyle name="20% - Accent4 2 8 2 2" xfId="15045" xr:uid="{01EA1E36-3679-4594-998D-852D39700BF7}"/>
    <cellStyle name="20% - Accent4 2 8 3" xfId="10827" xr:uid="{C3243439-284B-414E-8C54-74993CB23E6F}"/>
    <cellStyle name="20% - Accent4 2 9" xfId="4529" xr:uid="{00000000-0005-0000-0000-000031020000}"/>
    <cellStyle name="20% - Accent4 2 9 2" xfId="12979" xr:uid="{ECA72E25-015E-4B2A-8EA3-B52A9C6C59CB}"/>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957B298D-FF1B-42F4-9870-897941736F08}"/>
    <cellStyle name="20% - Accent4 3 2 2 2 3" xfId="11325" xr:uid="{A14AF906-322D-432C-96C2-892EE7D6109C}"/>
    <cellStyle name="20% - Accent4 3 2 2 3" xfId="4948" xr:uid="{00000000-0005-0000-0000-000037020000}"/>
    <cellStyle name="20% - Accent4 3 2 2 3 2" xfId="13398" xr:uid="{1F1B8A65-3858-41E4-BBCC-42628548BDBB}"/>
    <cellStyle name="20% - Accent4 3 2 2 4" xfId="9180" xr:uid="{0ABB0B6F-05E4-47D4-8E73-D57094AA3894}"/>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19C06CCD-8477-452F-96F1-5055AAB6C9FC}"/>
    <cellStyle name="20% - Accent4 3 2 3 2 3" xfId="11738" xr:uid="{A7C7EEA0-B140-49C0-A864-3DC9BDD296F3}"/>
    <cellStyle name="20% - Accent4 3 2 3 3" xfId="5361" xr:uid="{00000000-0005-0000-0000-00003B020000}"/>
    <cellStyle name="20% - Accent4 3 2 3 3 2" xfId="13811" xr:uid="{551B96FB-9F4A-4998-963C-E7BD381D872A}"/>
    <cellStyle name="20% - Accent4 3 2 3 4" xfId="9593" xr:uid="{2CD2F651-D7EA-4718-A4DF-F4CBF9D1972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EE941739-B9F3-4A9E-8D87-E5969986FC56}"/>
    <cellStyle name="20% - Accent4 3 2 4 2 3" xfId="12151" xr:uid="{BE02C548-0FBC-48C1-BE2D-CB7309F3DBD3}"/>
    <cellStyle name="20% - Accent4 3 2 4 3" xfId="5774" xr:uid="{00000000-0005-0000-0000-00003F020000}"/>
    <cellStyle name="20% - Accent4 3 2 4 3 2" xfId="14224" xr:uid="{4EEB9B0F-BD93-4C50-9A6D-83264984D26B}"/>
    <cellStyle name="20% - Accent4 3 2 4 4" xfId="10006" xr:uid="{302A3C53-C461-4EAA-BFBE-935192C4172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ABD5BB63-DC4D-4CE2-882C-29C3A87449E1}"/>
    <cellStyle name="20% - Accent4 3 2 5 2 3" xfId="12564" xr:uid="{B20EBDE4-A600-42CA-880A-FDA91164EAFD}"/>
    <cellStyle name="20% - Accent4 3 2 5 3" xfId="6187" xr:uid="{00000000-0005-0000-0000-000043020000}"/>
    <cellStyle name="20% - Accent4 3 2 5 3 2" xfId="14637" xr:uid="{7F6AA118-7DA2-4005-BF9E-30602C444B51}"/>
    <cellStyle name="20% - Accent4 3 2 5 4" xfId="10419" xr:uid="{361DAF8D-AEF1-437F-8790-381EC41331E9}"/>
    <cellStyle name="20% - Accent4 3 2 6" xfId="2294" xr:uid="{00000000-0005-0000-0000-000044020000}"/>
    <cellStyle name="20% - Accent4 3 2 6 2" xfId="6600" xr:uid="{00000000-0005-0000-0000-000045020000}"/>
    <cellStyle name="20% - Accent4 3 2 6 2 2" xfId="15050" xr:uid="{2D3A9C2B-2552-4AEF-BF4E-8BFEE1F7E0FE}"/>
    <cellStyle name="20% - Accent4 3 2 6 3" xfId="10832" xr:uid="{999294E0-4250-4F2E-8B23-CA7FB4C33F86}"/>
    <cellStyle name="20% - Accent4 3 2 7" xfId="4534" xr:uid="{00000000-0005-0000-0000-000046020000}"/>
    <cellStyle name="20% - Accent4 3 2 7 2" xfId="12984" xr:uid="{BE13BCFF-A5DF-493B-BAA8-B08102CFE3C4}"/>
    <cellStyle name="20% - Accent4 3 2 8" xfId="8766" xr:uid="{549892E3-CA9F-460F-B302-73C20E6D0F2F}"/>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6BC13BFA-6713-400F-B638-B0EEA02862FA}"/>
    <cellStyle name="20% - Accent4 3 3 2 3" xfId="11324" xr:uid="{0402BAA9-B041-47DD-A4ED-633197AEF6B2}"/>
    <cellStyle name="20% - Accent4 3 3 3" xfId="4947" xr:uid="{00000000-0005-0000-0000-00004A020000}"/>
    <cellStyle name="20% - Accent4 3 3 3 2" xfId="13397" xr:uid="{60921A4D-4F63-4D5B-84F6-566CEFE2DAC2}"/>
    <cellStyle name="20% - Accent4 3 3 4" xfId="9179" xr:uid="{81E17A8B-2ED1-42B0-A9E6-8551D8673557}"/>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334865E7-2E82-496B-BFAF-013DEBCC3A2D}"/>
    <cellStyle name="20% - Accent4 3 4 2 3" xfId="11737" xr:uid="{CFC18140-81F1-4CB8-8CCC-C8DB6768D181}"/>
    <cellStyle name="20% - Accent4 3 4 3" xfId="5360" xr:uid="{00000000-0005-0000-0000-00004E020000}"/>
    <cellStyle name="20% - Accent4 3 4 3 2" xfId="13810" xr:uid="{A45995F7-ECC7-4DAF-801F-949874E78F5C}"/>
    <cellStyle name="20% - Accent4 3 4 4" xfId="9592" xr:uid="{87B2AB62-551B-4370-8018-1777FCFB2138}"/>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D61EFE5E-1853-48DE-9958-429EE30A9873}"/>
    <cellStyle name="20% - Accent4 3 5 2 3" xfId="12150" xr:uid="{F954075E-29D3-4089-AB4E-247BD0C21758}"/>
    <cellStyle name="20% - Accent4 3 5 3" xfId="5773" xr:uid="{00000000-0005-0000-0000-000052020000}"/>
    <cellStyle name="20% - Accent4 3 5 3 2" xfId="14223" xr:uid="{4E6FDC5F-14BF-4030-8CD4-0BB1CC203118}"/>
    <cellStyle name="20% - Accent4 3 5 4" xfId="10005" xr:uid="{08AB4744-D69A-4208-AF31-17CA77BABA98}"/>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31E47FD4-57CA-4700-9AB0-024B3376CB76}"/>
    <cellStyle name="20% - Accent4 3 6 2 3" xfId="12563" xr:uid="{7DA4A3B6-D9F7-43F8-BB53-1D2F353CDAF0}"/>
    <cellStyle name="20% - Accent4 3 6 3" xfId="6186" xr:uid="{00000000-0005-0000-0000-000056020000}"/>
    <cellStyle name="20% - Accent4 3 6 3 2" xfId="14636" xr:uid="{1714018D-3248-4837-98DD-A59D5F1ACA8B}"/>
    <cellStyle name="20% - Accent4 3 6 4" xfId="10418" xr:uid="{06447127-2E63-4969-B7E7-11CB1939C1DE}"/>
    <cellStyle name="20% - Accent4 3 7" xfId="2293" xr:uid="{00000000-0005-0000-0000-000057020000}"/>
    <cellStyle name="20% - Accent4 3 7 2" xfId="6599" xr:uid="{00000000-0005-0000-0000-000058020000}"/>
    <cellStyle name="20% - Accent4 3 7 2 2" xfId="15049" xr:uid="{6E832F83-F80A-45B3-8AA3-59B4A7AD0AC3}"/>
    <cellStyle name="20% - Accent4 3 7 3" xfId="10831" xr:uid="{A4E340F4-172B-496D-926C-DDA8ABFBF988}"/>
    <cellStyle name="20% - Accent4 3 8" xfId="4533" xr:uid="{00000000-0005-0000-0000-000059020000}"/>
    <cellStyle name="20% - Accent4 3 8 2" xfId="12983" xr:uid="{99974CC2-0691-4BC3-AD98-FE93F699899E}"/>
    <cellStyle name="20% - Accent4 3 9" xfId="8765" xr:uid="{50C8C1DD-4657-4A67-BEC4-CD265E6E69F5}"/>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6506BEA3-CAA1-4256-B4EC-72181F34F78D}"/>
    <cellStyle name="20% - Accent4 4 2 2 3" xfId="11326" xr:uid="{4A7E3D41-2C7F-416C-A3EF-AE040BAFC675}"/>
    <cellStyle name="20% - Accent4 4 2 3" xfId="4949" xr:uid="{00000000-0005-0000-0000-00005E020000}"/>
    <cellStyle name="20% - Accent4 4 2 3 2" xfId="13399" xr:uid="{42CC2A5E-3E2E-4167-912F-CBF592A8D3A7}"/>
    <cellStyle name="20% - Accent4 4 2 4" xfId="9181" xr:uid="{CCF9D7F3-0D04-4F5F-A2FA-34DA25D9038D}"/>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32DD7A20-730B-4764-B70E-E8B8498A0B1C}"/>
    <cellStyle name="20% - Accent4 4 3 2 3" xfId="11739" xr:uid="{55B70FBC-2FB0-4B75-A966-99B8968FA9BE}"/>
    <cellStyle name="20% - Accent4 4 3 3" xfId="5362" xr:uid="{00000000-0005-0000-0000-000062020000}"/>
    <cellStyle name="20% - Accent4 4 3 3 2" xfId="13812" xr:uid="{1104EF66-30C0-44F7-9E73-B6C96F0B8C60}"/>
    <cellStyle name="20% - Accent4 4 3 4" xfId="9594" xr:uid="{1D5A0AED-C3E6-4F34-9432-E9BA91628E5E}"/>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7A2F39CA-7D65-420B-84EA-0B1C3A8844D4}"/>
    <cellStyle name="20% - Accent4 4 4 2 3" xfId="12152" xr:uid="{DA92B01E-51DE-412C-80F6-4520D20106AF}"/>
    <cellStyle name="20% - Accent4 4 4 3" xfId="5775" xr:uid="{00000000-0005-0000-0000-000066020000}"/>
    <cellStyle name="20% - Accent4 4 4 3 2" xfId="14225" xr:uid="{EC5F20B2-76F8-40AE-B6EC-45EA9313E417}"/>
    <cellStyle name="20% - Accent4 4 4 4" xfId="10007" xr:uid="{A70A0E7C-6D74-44F3-A8FB-596B3BB8EA5D}"/>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59C74642-21D7-473B-9044-37C7456E672F}"/>
    <cellStyle name="20% - Accent4 4 5 2 3" xfId="12565" xr:uid="{512A5070-5A77-4EA6-8390-3D910201DE3F}"/>
    <cellStyle name="20% - Accent4 4 5 3" xfId="6188" xr:uid="{00000000-0005-0000-0000-00006A020000}"/>
    <cellStyle name="20% - Accent4 4 5 3 2" xfId="14638" xr:uid="{F82B285E-9492-4F5D-BD42-C997CCABE2AF}"/>
    <cellStyle name="20% - Accent4 4 5 4" xfId="10420" xr:uid="{BBC5CD9E-1D5C-443F-83E0-DA5AC3ABB800}"/>
    <cellStyle name="20% - Accent4 4 6" xfId="2295" xr:uid="{00000000-0005-0000-0000-00006B020000}"/>
    <cellStyle name="20% - Accent4 4 6 2" xfId="6601" xr:uid="{00000000-0005-0000-0000-00006C020000}"/>
    <cellStyle name="20% - Accent4 4 6 2 2" xfId="15051" xr:uid="{1B1BA02E-AB69-4F2F-9B06-935E99F4AC2F}"/>
    <cellStyle name="20% - Accent4 4 6 3" xfId="10833" xr:uid="{39011463-C7A8-408B-84F3-E7F57663C096}"/>
    <cellStyle name="20% - Accent4 4 7" xfId="4535" xr:uid="{00000000-0005-0000-0000-00006D020000}"/>
    <cellStyle name="20% - Accent4 4 7 2" xfId="12985" xr:uid="{A095AEC7-274A-4827-8BA2-CC166DB2C4ED}"/>
    <cellStyle name="20% - Accent4 4 8" xfId="8767" xr:uid="{919DA4B0-6B42-490B-BD8F-729385E138BD}"/>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1BA6C943-E3CA-4532-9FD0-FD1FFAD7FF14}"/>
    <cellStyle name="20% - Accent4 5 2 3" xfId="11319" xr:uid="{19CB4A8F-5B4D-4247-8218-AD97A2AA453D}"/>
    <cellStyle name="20% - Accent4 5 3" xfId="4942" xr:uid="{00000000-0005-0000-0000-000071020000}"/>
    <cellStyle name="20% - Accent4 5 3 2" xfId="13392" xr:uid="{40C6B875-0079-4524-8B17-B4B4D61D3DDD}"/>
    <cellStyle name="20% - Accent4 5 4" xfId="9174" xr:uid="{902FD8E3-F70A-49E7-B115-10B609DCDDA2}"/>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6C9E56E6-B158-4048-B19A-B9F07B2FB301}"/>
    <cellStyle name="20% - Accent4 6 2 3" xfId="11732" xr:uid="{7A205E13-4ACE-4AF0-9B43-911E6596EFC2}"/>
    <cellStyle name="20% - Accent4 6 3" xfId="5355" xr:uid="{00000000-0005-0000-0000-000075020000}"/>
    <cellStyle name="20% - Accent4 6 3 2" xfId="13805" xr:uid="{B0D6D10A-5017-4E39-BFB4-49E69E23C027}"/>
    <cellStyle name="20% - Accent4 6 4" xfId="9587" xr:uid="{F748630F-FEA9-4B13-8CF2-7885B6834B3F}"/>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12EA310E-D08F-449D-BE24-8CD1A0FE130E}"/>
    <cellStyle name="20% - Accent4 7 2 3" xfId="12145" xr:uid="{0DE5E88F-A1A7-40D9-A8CF-D4C493A7AA58}"/>
    <cellStyle name="20% - Accent4 7 3" xfId="5768" xr:uid="{00000000-0005-0000-0000-000079020000}"/>
    <cellStyle name="20% - Accent4 7 3 2" xfId="14218" xr:uid="{A25F5766-48DE-4573-87DF-9BA58EC74342}"/>
    <cellStyle name="20% - Accent4 7 4" xfId="10000" xr:uid="{1CF77739-B243-4D78-AB55-89E2C2CBF30C}"/>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43A512AC-4DE0-40BF-ACFB-8BDB495BB0EF}"/>
    <cellStyle name="20% - Accent4 8 2 3" xfId="12558" xr:uid="{A7B0DD14-B64E-46AA-B45A-37D9676E83D9}"/>
    <cellStyle name="20% - Accent4 8 3" xfId="6181" xr:uid="{00000000-0005-0000-0000-00007D020000}"/>
    <cellStyle name="20% - Accent4 8 3 2" xfId="14631" xr:uid="{2B373B8F-B0EF-4B05-AB5F-98809289FEFC}"/>
    <cellStyle name="20% - Accent4 8 4" xfId="10413" xr:uid="{E0697859-0A01-4230-AF83-EF8EF64F77BF}"/>
    <cellStyle name="20% - Accent4 9" xfId="2288" xr:uid="{00000000-0005-0000-0000-00007E020000}"/>
    <cellStyle name="20% - Accent4 9 2" xfId="6594" xr:uid="{00000000-0005-0000-0000-00007F020000}"/>
    <cellStyle name="20% - Accent4 9 2 2" xfId="15044" xr:uid="{3119FDFB-77B6-46F5-9CC0-3203CAA50C4B}"/>
    <cellStyle name="20% - Accent4 9 3" xfId="10826" xr:uid="{57B73AB7-AE3A-47CC-AA4F-55916D3224A3}"/>
    <cellStyle name="20% - Accent5" xfId="33" builtinId="46" customBuiltin="1"/>
    <cellStyle name="20% - Accent5 10" xfId="4536" xr:uid="{00000000-0005-0000-0000-000081020000}"/>
    <cellStyle name="20% - Accent5 10 2" xfId="12986" xr:uid="{B675E90A-01FC-4077-8B4A-68C178A12CA9}"/>
    <cellStyle name="20% - Accent5 11" xfId="8768" xr:uid="{8EA3C756-E494-482D-AAC4-3A62730A107B}"/>
    <cellStyle name="20% - Accent5 2" xfId="34" xr:uid="{00000000-0005-0000-0000-000082020000}"/>
    <cellStyle name="20% - Accent5 2 10" xfId="8769" xr:uid="{21CD0E6E-9DD6-4101-945D-11B8F56AE66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9E45CE21-A3B6-46A5-AA8A-618612B363C5}"/>
    <cellStyle name="20% - Accent5 2 2 2 2 2 3" xfId="11330" xr:uid="{BDED92CC-108D-4F3C-A17D-C1F659AB150A}"/>
    <cellStyle name="20% - Accent5 2 2 2 2 3" xfId="4953" xr:uid="{00000000-0005-0000-0000-000088020000}"/>
    <cellStyle name="20% - Accent5 2 2 2 2 3 2" xfId="13403" xr:uid="{B92F6576-F126-4B9C-B471-0FB23B70BE95}"/>
    <cellStyle name="20% - Accent5 2 2 2 2 4" xfId="9185" xr:uid="{C7AD5507-2384-4516-8916-43EF34895D6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242CF20F-749E-48BD-8950-865371155834}"/>
    <cellStyle name="20% - Accent5 2 2 2 3 2 3" xfId="11743" xr:uid="{F1C57376-2EA0-42F0-ADB8-E0EE8BA42F4D}"/>
    <cellStyle name="20% - Accent5 2 2 2 3 3" xfId="5366" xr:uid="{00000000-0005-0000-0000-00008C020000}"/>
    <cellStyle name="20% - Accent5 2 2 2 3 3 2" xfId="13816" xr:uid="{B6A0C26A-68F8-493F-B3CB-EC188875A7DB}"/>
    <cellStyle name="20% - Accent5 2 2 2 3 4" xfId="9598" xr:uid="{C21F9A61-8332-48E1-BFBF-DC0B79A47847}"/>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C9ECF656-10D7-432D-A581-6EE9551A508C}"/>
    <cellStyle name="20% - Accent5 2 2 2 4 2 3" xfId="12156" xr:uid="{9CE0C386-59A7-4826-96D4-AB435C82E408}"/>
    <cellStyle name="20% - Accent5 2 2 2 4 3" xfId="5779" xr:uid="{00000000-0005-0000-0000-000090020000}"/>
    <cellStyle name="20% - Accent5 2 2 2 4 3 2" xfId="14229" xr:uid="{4E4CC14B-536D-4B35-B317-3C163000C457}"/>
    <cellStyle name="20% - Accent5 2 2 2 4 4" xfId="10011" xr:uid="{EC550D90-FEF4-49F9-AD2E-8E96D3A78B9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672DFF94-8488-4BF0-8172-FB46E8FE10C4}"/>
    <cellStyle name="20% - Accent5 2 2 2 5 2 3" xfId="12569" xr:uid="{AB5C4231-9471-4437-AAFB-55DE96DC598E}"/>
    <cellStyle name="20% - Accent5 2 2 2 5 3" xfId="6192" xr:uid="{00000000-0005-0000-0000-000094020000}"/>
    <cellStyle name="20% - Accent5 2 2 2 5 3 2" xfId="14642" xr:uid="{A13104FB-16C7-4B70-97B9-6723C8A02C4C}"/>
    <cellStyle name="20% - Accent5 2 2 2 5 4" xfId="10424" xr:uid="{650F5C3A-7B6B-4BD3-898C-3176A8E0192D}"/>
    <cellStyle name="20% - Accent5 2 2 2 6" xfId="2299" xr:uid="{00000000-0005-0000-0000-000095020000}"/>
    <cellStyle name="20% - Accent5 2 2 2 6 2" xfId="6605" xr:uid="{00000000-0005-0000-0000-000096020000}"/>
    <cellStyle name="20% - Accent5 2 2 2 6 2 2" xfId="15055" xr:uid="{63E63CEE-5B03-4373-944B-69CC31B19D74}"/>
    <cellStyle name="20% - Accent5 2 2 2 6 3" xfId="10837" xr:uid="{829B0BDA-03F1-46F3-8128-2B23924101CC}"/>
    <cellStyle name="20% - Accent5 2 2 2 7" xfId="4539" xr:uid="{00000000-0005-0000-0000-000097020000}"/>
    <cellStyle name="20% - Accent5 2 2 2 7 2" xfId="12989" xr:uid="{20A0AA0B-8061-4625-9C91-D2E04754D261}"/>
    <cellStyle name="20% - Accent5 2 2 2 8" xfId="8771" xr:uid="{61AD74A1-8EFB-459E-B479-784603F6D87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A3D1D5E6-2AB5-4391-8A11-3DD1244FB70D}"/>
    <cellStyle name="20% - Accent5 2 2 3 2 3" xfId="11329" xr:uid="{F8AAEDF8-0E86-4308-AD48-DCF0C035E565}"/>
    <cellStyle name="20% - Accent5 2 2 3 3" xfId="4952" xr:uid="{00000000-0005-0000-0000-00009B020000}"/>
    <cellStyle name="20% - Accent5 2 2 3 3 2" xfId="13402" xr:uid="{DFDB09C8-A7A2-48A0-BA7C-9C3F9C2C3151}"/>
    <cellStyle name="20% - Accent5 2 2 3 4" xfId="9184" xr:uid="{A310A21E-00E6-4BCA-9B7B-200F0EB798D8}"/>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46B5F52B-8C16-4C75-A826-DC15F9AD5ABB}"/>
    <cellStyle name="20% - Accent5 2 2 4 2 3" xfId="11742" xr:uid="{05329441-B059-402F-B15E-846BF9BEB588}"/>
    <cellStyle name="20% - Accent5 2 2 4 3" xfId="5365" xr:uid="{00000000-0005-0000-0000-00009F020000}"/>
    <cellStyle name="20% - Accent5 2 2 4 3 2" xfId="13815" xr:uid="{830D1D1D-14BD-49BF-98BC-43E757AE5F93}"/>
    <cellStyle name="20% - Accent5 2 2 4 4" xfId="9597" xr:uid="{BAD821DF-40D8-4C23-98C7-8ADBB37A50C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0463F71E-4D81-44B1-8813-DB82277B4817}"/>
    <cellStyle name="20% - Accent5 2 2 5 2 3" xfId="12155" xr:uid="{4EA1DCDB-962E-4752-9311-98E10E435FF5}"/>
    <cellStyle name="20% - Accent5 2 2 5 3" xfId="5778" xr:uid="{00000000-0005-0000-0000-0000A3020000}"/>
    <cellStyle name="20% - Accent5 2 2 5 3 2" xfId="14228" xr:uid="{2274C5E0-C7EE-4CE4-A7DB-36E547B7CCFA}"/>
    <cellStyle name="20% - Accent5 2 2 5 4" xfId="10010" xr:uid="{EC241358-473E-4C53-B007-AF91D769F20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9D745FE0-456D-4D2F-99F2-5C41C9848A79}"/>
    <cellStyle name="20% - Accent5 2 2 6 2 3" xfId="12568" xr:uid="{76847322-70C8-492A-82A7-A76ED5829020}"/>
    <cellStyle name="20% - Accent5 2 2 6 3" xfId="6191" xr:uid="{00000000-0005-0000-0000-0000A7020000}"/>
    <cellStyle name="20% - Accent5 2 2 6 3 2" xfId="14641" xr:uid="{6E2A3A54-C230-4FA3-A91C-226A6CAD3753}"/>
    <cellStyle name="20% - Accent5 2 2 6 4" xfId="10423" xr:uid="{F2267A32-A21D-4AAC-8EB6-FA47AADA4A5E}"/>
    <cellStyle name="20% - Accent5 2 2 7" xfId="2298" xr:uid="{00000000-0005-0000-0000-0000A8020000}"/>
    <cellStyle name="20% - Accent5 2 2 7 2" xfId="6604" xr:uid="{00000000-0005-0000-0000-0000A9020000}"/>
    <cellStyle name="20% - Accent5 2 2 7 2 2" xfId="15054" xr:uid="{730E72AB-8D39-46D2-8D7E-8FA876D2C30F}"/>
    <cellStyle name="20% - Accent5 2 2 7 3" xfId="10836" xr:uid="{B6CCA275-871A-4C7E-AE8B-87E56FF0E170}"/>
    <cellStyle name="20% - Accent5 2 2 8" xfId="4538" xr:uid="{00000000-0005-0000-0000-0000AA020000}"/>
    <cellStyle name="20% - Accent5 2 2 8 2" xfId="12988" xr:uid="{D7E27395-F2EF-44E8-9B4E-2F2D0310EC35}"/>
    <cellStyle name="20% - Accent5 2 2 9" xfId="8770" xr:uid="{88A73642-B58D-4A4B-8400-91AD5294BA1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5F99D3BB-3FF7-4B72-A950-B809803DBD99}"/>
    <cellStyle name="20% - Accent5 2 3 2 2 3" xfId="11331" xr:uid="{763C9401-D05E-4614-9D0C-221A81D03268}"/>
    <cellStyle name="20% - Accent5 2 3 2 3" xfId="4954" xr:uid="{00000000-0005-0000-0000-0000AF020000}"/>
    <cellStyle name="20% - Accent5 2 3 2 3 2" xfId="13404" xr:uid="{DB4E32A2-658E-4A2E-A679-8002D62CBEE9}"/>
    <cellStyle name="20% - Accent5 2 3 2 4" xfId="9186" xr:uid="{86678B70-E35D-4075-AADE-97F5ABF89D9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5F921833-9BCB-4170-B9C2-C5E41F2AF24B}"/>
    <cellStyle name="20% - Accent5 2 3 3 2 3" xfId="11744" xr:uid="{F5DAF06B-D5FB-45B4-BCD8-FC2DD7E4BAC6}"/>
    <cellStyle name="20% - Accent5 2 3 3 3" xfId="5367" xr:uid="{00000000-0005-0000-0000-0000B3020000}"/>
    <cellStyle name="20% - Accent5 2 3 3 3 2" xfId="13817" xr:uid="{65A15C41-718F-4027-8E16-6083A268705B}"/>
    <cellStyle name="20% - Accent5 2 3 3 4" xfId="9599" xr:uid="{7F9B72F0-AFAF-492F-88A7-565D0134DB72}"/>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456AA23E-0E9A-41E5-BDA0-72EBFC8F4A16}"/>
    <cellStyle name="20% - Accent5 2 3 4 2 3" xfId="12157" xr:uid="{E346AE0E-D7D1-40F1-A99C-460237F62EB1}"/>
    <cellStyle name="20% - Accent5 2 3 4 3" xfId="5780" xr:uid="{00000000-0005-0000-0000-0000B7020000}"/>
    <cellStyle name="20% - Accent5 2 3 4 3 2" xfId="14230" xr:uid="{F700BF98-F334-4C67-8481-014A30747349}"/>
    <cellStyle name="20% - Accent5 2 3 4 4" xfId="10012" xr:uid="{667BDE04-593B-4438-922E-1C8884EF220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DBA87B05-D0DA-4FFB-92AB-FBD792A16AAA}"/>
    <cellStyle name="20% - Accent5 2 3 5 2 3" xfId="12570" xr:uid="{013DA3FA-96EC-4AA9-9633-AF1DB9046A58}"/>
    <cellStyle name="20% - Accent5 2 3 5 3" xfId="6193" xr:uid="{00000000-0005-0000-0000-0000BB020000}"/>
    <cellStyle name="20% - Accent5 2 3 5 3 2" xfId="14643" xr:uid="{A034FF6F-2ED5-4BB1-9898-8FADE1E395BA}"/>
    <cellStyle name="20% - Accent5 2 3 5 4" xfId="10425" xr:uid="{2ADC0711-0653-433D-B153-878297202859}"/>
    <cellStyle name="20% - Accent5 2 3 6" xfId="2300" xr:uid="{00000000-0005-0000-0000-0000BC020000}"/>
    <cellStyle name="20% - Accent5 2 3 6 2" xfId="6606" xr:uid="{00000000-0005-0000-0000-0000BD020000}"/>
    <cellStyle name="20% - Accent5 2 3 6 2 2" xfId="15056" xr:uid="{0A915C90-1643-424B-8E83-E2936EB07B7F}"/>
    <cellStyle name="20% - Accent5 2 3 6 3" xfId="10838" xr:uid="{71F9093A-F3CF-4E84-B99B-47F72B740417}"/>
    <cellStyle name="20% - Accent5 2 3 7" xfId="4540" xr:uid="{00000000-0005-0000-0000-0000BE020000}"/>
    <cellStyle name="20% - Accent5 2 3 7 2" xfId="12990" xr:uid="{116714CD-1A9E-43B3-898F-2EA6FC638529}"/>
    <cellStyle name="20% - Accent5 2 3 8" xfId="8772" xr:uid="{0284B741-DA8C-4C1F-9202-8F153940DA8A}"/>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014D6F45-6BA1-4CAB-896F-43EE9AB20089}"/>
    <cellStyle name="20% - Accent5 2 4 2 3" xfId="11328" xr:uid="{F206F7DB-DC28-404C-AF47-F797D3DE23ED}"/>
    <cellStyle name="20% - Accent5 2 4 3" xfId="4951" xr:uid="{00000000-0005-0000-0000-0000C2020000}"/>
    <cellStyle name="20% - Accent5 2 4 3 2" xfId="13401" xr:uid="{5FEA689D-79DA-41C2-AFE1-7D2FCCB7BCB0}"/>
    <cellStyle name="20% - Accent5 2 4 4" xfId="9183" xr:uid="{49B89766-7985-4CDE-B7B3-C4FF6AF1AD52}"/>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F427D694-AC62-48B3-B45B-1CAD7865BB4B}"/>
    <cellStyle name="20% - Accent5 2 5 2 3" xfId="11741" xr:uid="{E4E2D662-1678-4D81-AFFE-89290A044243}"/>
    <cellStyle name="20% - Accent5 2 5 3" xfId="5364" xr:uid="{00000000-0005-0000-0000-0000C6020000}"/>
    <cellStyle name="20% - Accent5 2 5 3 2" xfId="13814" xr:uid="{C2482C16-0EDD-4A9F-8B62-28474950E185}"/>
    <cellStyle name="20% - Accent5 2 5 4" xfId="9596" xr:uid="{79418479-D376-464D-B172-F1A071F53FA7}"/>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DDAE0484-3218-4BF2-A377-D946D128C639}"/>
    <cellStyle name="20% - Accent5 2 6 2 3" xfId="12154" xr:uid="{8BF5A41E-D076-4495-B0B0-5E18E5733F2C}"/>
    <cellStyle name="20% - Accent5 2 6 3" xfId="5777" xr:uid="{00000000-0005-0000-0000-0000CA020000}"/>
    <cellStyle name="20% - Accent5 2 6 3 2" xfId="14227" xr:uid="{3F375D68-5160-4866-B623-A486458B4E9F}"/>
    <cellStyle name="20% - Accent5 2 6 4" xfId="10009" xr:uid="{DC003D44-C2EA-4FBC-9752-03CB09F01899}"/>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06126D4F-7D97-47A0-B415-4A1794ED6511}"/>
    <cellStyle name="20% - Accent5 2 7 2 3" xfId="12567" xr:uid="{7DD39166-F76E-44F5-9522-8B759BA6CC74}"/>
    <cellStyle name="20% - Accent5 2 7 3" xfId="6190" xr:uid="{00000000-0005-0000-0000-0000CE020000}"/>
    <cellStyle name="20% - Accent5 2 7 3 2" xfId="14640" xr:uid="{DAEFE2BC-3897-4E02-AAE8-A3FCCB2EE0E0}"/>
    <cellStyle name="20% - Accent5 2 7 4" xfId="10422" xr:uid="{8D2AE2DE-3035-4AC4-A0E6-406921B87B17}"/>
    <cellStyle name="20% - Accent5 2 8" xfId="2297" xr:uid="{00000000-0005-0000-0000-0000CF020000}"/>
    <cellStyle name="20% - Accent5 2 8 2" xfId="6603" xr:uid="{00000000-0005-0000-0000-0000D0020000}"/>
    <cellStyle name="20% - Accent5 2 8 2 2" xfId="15053" xr:uid="{88501F92-BC4A-40A0-8FD0-249ED0E17057}"/>
    <cellStyle name="20% - Accent5 2 8 3" xfId="10835" xr:uid="{41D323CE-762F-4AB5-BE4B-268FA2F592C6}"/>
    <cellStyle name="20% - Accent5 2 9" xfId="4537" xr:uid="{00000000-0005-0000-0000-0000D1020000}"/>
    <cellStyle name="20% - Accent5 2 9 2" xfId="12987" xr:uid="{51272324-5FC1-4A4E-BA02-211153E81A2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7F45E4BB-EF0A-4946-839E-541BEE4D6CD5}"/>
    <cellStyle name="20% - Accent5 3 2 2 2 3" xfId="11333" xr:uid="{34513BBD-DBC3-4FD2-B575-F2CE78899D03}"/>
    <cellStyle name="20% - Accent5 3 2 2 3" xfId="4956" xr:uid="{00000000-0005-0000-0000-0000D7020000}"/>
    <cellStyle name="20% - Accent5 3 2 2 3 2" xfId="13406" xr:uid="{E076ED15-E94B-4A5F-A719-5536AB3D318C}"/>
    <cellStyle name="20% - Accent5 3 2 2 4" xfId="9188" xr:uid="{8DDA76D9-4E01-42FF-823B-3F456AB35F38}"/>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329632A9-E2E6-45A9-8EC6-F83574D31174}"/>
    <cellStyle name="20% - Accent5 3 2 3 2 3" xfId="11746" xr:uid="{CDFE3C84-405A-4E03-A128-9CD6E68112B2}"/>
    <cellStyle name="20% - Accent5 3 2 3 3" xfId="5369" xr:uid="{00000000-0005-0000-0000-0000DB020000}"/>
    <cellStyle name="20% - Accent5 3 2 3 3 2" xfId="13819" xr:uid="{8ACEF50A-94FA-49E8-A668-09292898AD7C}"/>
    <cellStyle name="20% - Accent5 3 2 3 4" xfId="9601" xr:uid="{525BC7E1-35D9-4135-8C03-E8327F2AF344}"/>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7D4CC9F1-8DA7-4C82-B7DA-8B50A23FFA76}"/>
    <cellStyle name="20% - Accent5 3 2 4 2 3" xfId="12159" xr:uid="{6BEC3010-A14A-44F1-871F-75E53D662314}"/>
    <cellStyle name="20% - Accent5 3 2 4 3" xfId="5782" xr:uid="{00000000-0005-0000-0000-0000DF020000}"/>
    <cellStyle name="20% - Accent5 3 2 4 3 2" xfId="14232" xr:uid="{3A3BAC86-C76A-4C28-A1E4-2EF88223EB72}"/>
    <cellStyle name="20% - Accent5 3 2 4 4" xfId="10014" xr:uid="{360AE495-2D3F-4BA8-A1A2-E2BE95ED798A}"/>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83BBC4A4-3BB3-46C2-922A-55D99371C0AD}"/>
    <cellStyle name="20% - Accent5 3 2 5 2 3" xfId="12572" xr:uid="{71908141-E5DB-465D-AF57-E0872B7505D2}"/>
    <cellStyle name="20% - Accent5 3 2 5 3" xfId="6195" xr:uid="{00000000-0005-0000-0000-0000E3020000}"/>
    <cellStyle name="20% - Accent5 3 2 5 3 2" xfId="14645" xr:uid="{E91396D7-F5C0-4CF2-BB1E-90836F09E66D}"/>
    <cellStyle name="20% - Accent5 3 2 5 4" xfId="10427" xr:uid="{59897045-1DCF-427D-89CF-61266F0CCC5E}"/>
    <cellStyle name="20% - Accent5 3 2 6" xfId="2302" xr:uid="{00000000-0005-0000-0000-0000E4020000}"/>
    <cellStyle name="20% - Accent5 3 2 6 2" xfId="6608" xr:uid="{00000000-0005-0000-0000-0000E5020000}"/>
    <cellStyle name="20% - Accent5 3 2 6 2 2" xfId="15058" xr:uid="{E6451804-7DDF-49E3-97F9-5FAF2199D926}"/>
    <cellStyle name="20% - Accent5 3 2 6 3" xfId="10840" xr:uid="{F1789196-2598-4582-9EA1-BBDDE3B8E050}"/>
    <cellStyle name="20% - Accent5 3 2 7" xfId="4542" xr:uid="{00000000-0005-0000-0000-0000E6020000}"/>
    <cellStyle name="20% - Accent5 3 2 7 2" xfId="12992" xr:uid="{55E90AAC-10BB-4914-86AF-484A451F2CB3}"/>
    <cellStyle name="20% - Accent5 3 2 8" xfId="8774" xr:uid="{40445C6C-9BCE-4A8F-98F9-773E698F1E4D}"/>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14ACBE38-A25A-4FF7-8642-5B7F5AEE35F1}"/>
    <cellStyle name="20% - Accent5 3 3 2 3" xfId="11332" xr:uid="{3B634144-E1DA-4261-88F6-95822A1214B1}"/>
    <cellStyle name="20% - Accent5 3 3 3" xfId="4955" xr:uid="{00000000-0005-0000-0000-0000EA020000}"/>
    <cellStyle name="20% - Accent5 3 3 3 2" xfId="13405" xr:uid="{1B4835D9-35CD-48EA-A502-791078E65616}"/>
    <cellStyle name="20% - Accent5 3 3 4" xfId="9187" xr:uid="{DF7E0051-6A5D-4337-9BA5-011D7F107761}"/>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5821C512-874E-4AE4-A8BC-53CDF8667F59}"/>
    <cellStyle name="20% - Accent5 3 4 2 3" xfId="11745" xr:uid="{F1C3DA19-B661-44B5-B44E-390CEEDED154}"/>
    <cellStyle name="20% - Accent5 3 4 3" xfId="5368" xr:uid="{00000000-0005-0000-0000-0000EE020000}"/>
    <cellStyle name="20% - Accent5 3 4 3 2" xfId="13818" xr:uid="{E4EDEE09-A08D-4122-9057-2DDE084C1719}"/>
    <cellStyle name="20% - Accent5 3 4 4" xfId="9600" xr:uid="{387AF1A2-3500-4B35-810D-13B40EF45167}"/>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979794B9-95E3-4CFB-84A5-9B4B536C408F}"/>
    <cellStyle name="20% - Accent5 3 5 2 3" xfId="12158" xr:uid="{EB00AA17-4198-458C-8A98-9D3270CD6395}"/>
    <cellStyle name="20% - Accent5 3 5 3" xfId="5781" xr:uid="{00000000-0005-0000-0000-0000F2020000}"/>
    <cellStyle name="20% - Accent5 3 5 3 2" xfId="14231" xr:uid="{76987A4D-111D-41D8-8016-1F03315B4D1D}"/>
    <cellStyle name="20% - Accent5 3 5 4" xfId="10013" xr:uid="{B8349481-B8FF-4C59-B3E0-E569A1CB94D5}"/>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6A835A94-5297-4C83-98AF-84330980E980}"/>
    <cellStyle name="20% - Accent5 3 6 2 3" xfId="12571" xr:uid="{46C880AA-9F61-457A-900E-F6D0749FBE8B}"/>
    <cellStyle name="20% - Accent5 3 6 3" xfId="6194" xr:uid="{00000000-0005-0000-0000-0000F6020000}"/>
    <cellStyle name="20% - Accent5 3 6 3 2" xfId="14644" xr:uid="{631D2F7B-EC84-48AD-8E69-8F826712A51D}"/>
    <cellStyle name="20% - Accent5 3 6 4" xfId="10426" xr:uid="{604CFBF8-422B-47D5-906D-18E8ABF30931}"/>
    <cellStyle name="20% - Accent5 3 7" xfId="2301" xr:uid="{00000000-0005-0000-0000-0000F7020000}"/>
    <cellStyle name="20% - Accent5 3 7 2" xfId="6607" xr:uid="{00000000-0005-0000-0000-0000F8020000}"/>
    <cellStyle name="20% - Accent5 3 7 2 2" xfId="15057" xr:uid="{4E59CC45-710F-4540-9098-E225A8D811F7}"/>
    <cellStyle name="20% - Accent5 3 7 3" xfId="10839" xr:uid="{86573C75-9CC2-494B-BFEC-55DA9CC6A10B}"/>
    <cellStyle name="20% - Accent5 3 8" xfId="4541" xr:uid="{00000000-0005-0000-0000-0000F9020000}"/>
    <cellStyle name="20% - Accent5 3 8 2" xfId="12991" xr:uid="{816CE015-1F10-4414-822F-413A0F73661B}"/>
    <cellStyle name="20% - Accent5 3 9" xfId="8773" xr:uid="{708BD456-08EC-4EBE-83FA-96139779FC0C}"/>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C1D069DF-FA56-4ADA-B303-51E9B8E36528}"/>
    <cellStyle name="20% - Accent5 4 2 2 3" xfId="11334" xr:uid="{3FB300BB-D2AD-4CAC-8FFF-97DC07C0BC45}"/>
    <cellStyle name="20% - Accent5 4 2 3" xfId="4957" xr:uid="{00000000-0005-0000-0000-0000FE020000}"/>
    <cellStyle name="20% - Accent5 4 2 3 2" xfId="13407" xr:uid="{C0ACA7B1-94BB-4C8F-AEF6-E474D9825EE9}"/>
    <cellStyle name="20% - Accent5 4 2 4" xfId="9189" xr:uid="{8FA15502-4E61-4F68-9295-CB3FF84420B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277D4675-8B53-47F4-9975-945D652C5B05}"/>
    <cellStyle name="20% - Accent5 4 3 2 3" xfId="11747" xr:uid="{D76CD812-D1CD-482E-AACD-C38E54114359}"/>
    <cellStyle name="20% - Accent5 4 3 3" xfId="5370" xr:uid="{00000000-0005-0000-0000-000002030000}"/>
    <cellStyle name="20% - Accent5 4 3 3 2" xfId="13820" xr:uid="{A539DD30-A89A-4958-AF38-B2B8BDE0D5BD}"/>
    <cellStyle name="20% - Accent5 4 3 4" xfId="9602" xr:uid="{407338DE-E9FF-4FC0-92A0-D7060B79860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898B3285-24E5-42DC-9188-9F4ACBB97B48}"/>
    <cellStyle name="20% - Accent5 4 4 2 3" xfId="12160" xr:uid="{5A6483A8-FEEF-480F-96C2-FB9E47154FB8}"/>
    <cellStyle name="20% - Accent5 4 4 3" xfId="5783" xr:uid="{00000000-0005-0000-0000-000006030000}"/>
    <cellStyle name="20% - Accent5 4 4 3 2" xfId="14233" xr:uid="{3DE0B2D1-2B10-409F-B48C-4CDA2DC6B39D}"/>
    <cellStyle name="20% - Accent5 4 4 4" xfId="10015" xr:uid="{FC80A758-831D-4513-8F41-FE2488AABF4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95F1A19E-4C4E-4A5F-8BBF-BDE74ACE85C9}"/>
    <cellStyle name="20% - Accent5 4 5 2 3" xfId="12573" xr:uid="{20DD3BF1-AA14-499F-AD38-CDB57ACB1CDA}"/>
    <cellStyle name="20% - Accent5 4 5 3" xfId="6196" xr:uid="{00000000-0005-0000-0000-00000A030000}"/>
    <cellStyle name="20% - Accent5 4 5 3 2" xfId="14646" xr:uid="{49D8C661-0D5C-4AC5-A6D8-8EE13900BE57}"/>
    <cellStyle name="20% - Accent5 4 5 4" xfId="10428" xr:uid="{8533189D-0B2B-4459-A053-F0D443226E50}"/>
    <cellStyle name="20% - Accent5 4 6" xfId="2303" xr:uid="{00000000-0005-0000-0000-00000B030000}"/>
    <cellStyle name="20% - Accent5 4 6 2" xfId="6609" xr:uid="{00000000-0005-0000-0000-00000C030000}"/>
    <cellStyle name="20% - Accent5 4 6 2 2" xfId="15059" xr:uid="{95DEFAC8-1EFA-439F-9CB1-4D659731AA5D}"/>
    <cellStyle name="20% - Accent5 4 6 3" xfId="10841" xr:uid="{D4C2725F-0057-4E1D-AF38-91310CE88B29}"/>
    <cellStyle name="20% - Accent5 4 7" xfId="4543" xr:uid="{00000000-0005-0000-0000-00000D030000}"/>
    <cellStyle name="20% - Accent5 4 7 2" xfId="12993" xr:uid="{616838C7-E78D-4B4B-9D54-1EC84598E7D2}"/>
    <cellStyle name="20% - Accent5 4 8" xfId="8775" xr:uid="{0D5AE4F6-B8B6-463B-A8E8-1F3E4D93315B}"/>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44BACFB2-6334-4B90-9C98-9F89951F09C9}"/>
    <cellStyle name="20% - Accent5 5 2 3" xfId="11327" xr:uid="{530790C3-5E58-4E66-A9EB-B83FC00C161E}"/>
    <cellStyle name="20% - Accent5 5 3" xfId="4950" xr:uid="{00000000-0005-0000-0000-000011030000}"/>
    <cellStyle name="20% - Accent5 5 3 2" xfId="13400" xr:uid="{8A2352EB-65A6-43CD-BC5D-D79CC0166BCF}"/>
    <cellStyle name="20% - Accent5 5 4" xfId="9182" xr:uid="{0AE7947E-2EB6-4212-BDD8-C564F1F01767}"/>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9DEBB9DC-DC2B-4D2C-B9E9-2832B10094B1}"/>
    <cellStyle name="20% - Accent5 6 2 3" xfId="11740" xr:uid="{A185742D-7066-4C89-BD92-6C7B3F1B2532}"/>
    <cellStyle name="20% - Accent5 6 3" xfId="5363" xr:uid="{00000000-0005-0000-0000-000015030000}"/>
    <cellStyle name="20% - Accent5 6 3 2" xfId="13813" xr:uid="{6010B57B-B7EE-4A7E-B08E-72C50B6FD84F}"/>
    <cellStyle name="20% - Accent5 6 4" xfId="9595" xr:uid="{59F73163-69D1-4030-9AFF-C29C4A79B2A4}"/>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67990C7C-89E8-4F43-9A83-7DC3F24139F8}"/>
    <cellStyle name="20% - Accent5 7 2 3" xfId="12153" xr:uid="{FC39E996-5194-4BF6-8DF2-B86A2C9FCAC6}"/>
    <cellStyle name="20% - Accent5 7 3" xfId="5776" xr:uid="{00000000-0005-0000-0000-000019030000}"/>
    <cellStyle name="20% - Accent5 7 3 2" xfId="14226" xr:uid="{3920B8CB-3196-4013-8C6F-F85F94A7E6C6}"/>
    <cellStyle name="20% - Accent5 7 4" xfId="10008" xr:uid="{336E171B-22B4-4CA3-81FF-9B01DFF2A0A8}"/>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0FE450BB-0F7C-4A3A-93A7-835DEE22A4E3}"/>
    <cellStyle name="20% - Accent5 8 2 3" xfId="12566" xr:uid="{09C30F36-2DFA-4A9F-9AD2-9515EA4D09BE}"/>
    <cellStyle name="20% - Accent5 8 3" xfId="6189" xr:uid="{00000000-0005-0000-0000-00001D030000}"/>
    <cellStyle name="20% - Accent5 8 3 2" xfId="14639" xr:uid="{BDB03A2F-2B01-4625-9BA8-BF256EEB00FB}"/>
    <cellStyle name="20% - Accent5 8 4" xfId="10421" xr:uid="{7DC164D9-7FCD-46BE-ACE7-3CE68380A0C2}"/>
    <cellStyle name="20% - Accent5 9" xfId="2296" xr:uid="{00000000-0005-0000-0000-00001E030000}"/>
    <cellStyle name="20% - Accent5 9 2" xfId="6602" xr:uid="{00000000-0005-0000-0000-00001F030000}"/>
    <cellStyle name="20% - Accent5 9 2 2" xfId="15052" xr:uid="{BDD97C84-F0F3-482E-8E35-AAD62490309A}"/>
    <cellStyle name="20% - Accent5 9 3" xfId="10834" xr:uid="{3231B928-781D-49DB-B9F7-BF1F4F4A30DE}"/>
    <cellStyle name="20% - Accent6" xfId="41" builtinId="50" customBuiltin="1"/>
    <cellStyle name="20% - Accent6 10" xfId="4544" xr:uid="{00000000-0005-0000-0000-000021030000}"/>
    <cellStyle name="20% - Accent6 10 2" xfId="12994" xr:uid="{7AB9F0B7-4912-492D-9FF1-86A783E2F627}"/>
    <cellStyle name="20% - Accent6 11" xfId="8776" xr:uid="{927E79B8-EE2B-4F17-BDD8-59785963DD56}"/>
    <cellStyle name="20% - Accent6 2" xfId="42" xr:uid="{00000000-0005-0000-0000-000022030000}"/>
    <cellStyle name="20% - Accent6 2 10" xfId="8777" xr:uid="{BA59C5BD-EF88-4DC7-AD6D-E82121D67A9B}"/>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565C6A94-21CD-4A88-A626-9D48FB347E96}"/>
    <cellStyle name="20% - Accent6 2 2 2 2 2 3" xfId="11338" xr:uid="{69FF6013-904F-4DB6-B92F-26D67D6C401A}"/>
    <cellStyle name="20% - Accent6 2 2 2 2 3" xfId="4961" xr:uid="{00000000-0005-0000-0000-000028030000}"/>
    <cellStyle name="20% - Accent6 2 2 2 2 3 2" xfId="13411" xr:uid="{29CF5F9B-B3BC-493A-B9AD-22BAFE63F49A}"/>
    <cellStyle name="20% - Accent6 2 2 2 2 4" xfId="9193" xr:uid="{15DA58FC-AFF4-43F0-B18D-1C279B0526F9}"/>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5CCD57DD-5484-42D0-8DBB-1BF285932E89}"/>
    <cellStyle name="20% - Accent6 2 2 2 3 2 3" xfId="11751" xr:uid="{8484AFD3-B5B9-45C7-95EF-0B76F19BDCD8}"/>
    <cellStyle name="20% - Accent6 2 2 2 3 3" xfId="5374" xr:uid="{00000000-0005-0000-0000-00002C030000}"/>
    <cellStyle name="20% - Accent6 2 2 2 3 3 2" xfId="13824" xr:uid="{DE2020B0-A77B-439E-B90B-7C47C3EEDDDD}"/>
    <cellStyle name="20% - Accent6 2 2 2 3 4" xfId="9606" xr:uid="{0622979F-81B4-4562-9FA8-3DFE43ABE95B}"/>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C67B9CB5-4BE3-46E5-BDEE-78409A16AC0A}"/>
    <cellStyle name="20% - Accent6 2 2 2 4 2 3" xfId="12164" xr:uid="{BB8150AD-2555-47D1-9653-0DFF97EB3BC5}"/>
    <cellStyle name="20% - Accent6 2 2 2 4 3" xfId="5787" xr:uid="{00000000-0005-0000-0000-000030030000}"/>
    <cellStyle name="20% - Accent6 2 2 2 4 3 2" xfId="14237" xr:uid="{DF974827-519D-48AA-9A20-B6D0E24DBF62}"/>
    <cellStyle name="20% - Accent6 2 2 2 4 4" xfId="10019" xr:uid="{207E6B57-1853-4B4D-84A3-CADCF2BC9D01}"/>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A35EC36B-0CEB-401A-A6D2-00F37512EEC7}"/>
    <cellStyle name="20% - Accent6 2 2 2 5 2 3" xfId="12577" xr:uid="{3989DE9C-02CF-4631-9FC6-0FC668828C5B}"/>
    <cellStyle name="20% - Accent6 2 2 2 5 3" xfId="6200" xr:uid="{00000000-0005-0000-0000-000034030000}"/>
    <cellStyle name="20% - Accent6 2 2 2 5 3 2" xfId="14650" xr:uid="{E878149C-8E97-437B-AE64-DEA7953D609D}"/>
    <cellStyle name="20% - Accent6 2 2 2 5 4" xfId="10432" xr:uid="{471F45B5-46C4-42F8-8614-E647005214EF}"/>
    <cellStyle name="20% - Accent6 2 2 2 6" xfId="2307" xr:uid="{00000000-0005-0000-0000-000035030000}"/>
    <cellStyle name="20% - Accent6 2 2 2 6 2" xfId="6613" xr:uid="{00000000-0005-0000-0000-000036030000}"/>
    <cellStyle name="20% - Accent6 2 2 2 6 2 2" xfId="15063" xr:uid="{B039BB4A-7371-46BC-8820-BA836D62EBA2}"/>
    <cellStyle name="20% - Accent6 2 2 2 6 3" xfId="10845" xr:uid="{12152C3E-A0FF-4854-BC6D-435573DAC5A1}"/>
    <cellStyle name="20% - Accent6 2 2 2 7" xfId="4547" xr:uid="{00000000-0005-0000-0000-000037030000}"/>
    <cellStyle name="20% - Accent6 2 2 2 7 2" xfId="12997" xr:uid="{322677D7-9144-44C0-86BB-A277A006B134}"/>
    <cellStyle name="20% - Accent6 2 2 2 8" xfId="8779" xr:uid="{C4BA0265-04FD-4D05-B9B8-604A140E7F1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8BD819A2-DFD2-43EF-8D0F-8AF2E0E1D759}"/>
    <cellStyle name="20% - Accent6 2 2 3 2 3" xfId="11337" xr:uid="{AADD08CA-D324-481B-8594-A08A3C07436B}"/>
    <cellStyle name="20% - Accent6 2 2 3 3" xfId="4960" xr:uid="{00000000-0005-0000-0000-00003B030000}"/>
    <cellStyle name="20% - Accent6 2 2 3 3 2" xfId="13410" xr:uid="{9BB8F6BF-091D-4ACD-8ABD-BEA29A79C7B5}"/>
    <cellStyle name="20% - Accent6 2 2 3 4" xfId="9192" xr:uid="{CA5D3B6F-2155-4F24-8A8B-A4537F2805B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63BAE83C-A83A-4328-B2F9-0B263ED6D5EB}"/>
    <cellStyle name="20% - Accent6 2 2 4 2 3" xfId="11750" xr:uid="{9095F0D0-2048-4EE4-AF39-E49188FEAF09}"/>
    <cellStyle name="20% - Accent6 2 2 4 3" xfId="5373" xr:uid="{00000000-0005-0000-0000-00003F030000}"/>
    <cellStyle name="20% - Accent6 2 2 4 3 2" xfId="13823" xr:uid="{3954BD55-36B8-4859-8E11-CB646178A6D1}"/>
    <cellStyle name="20% - Accent6 2 2 4 4" xfId="9605" xr:uid="{DB90DD2D-55DD-4D01-9ED8-6462CC99F4E6}"/>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98A12C4-2EC7-49F9-B6CD-F9E94BA5C4D7}"/>
    <cellStyle name="20% - Accent6 2 2 5 2 3" xfId="12163" xr:uid="{B43BACC7-828B-4278-B4EB-8FF16AED1028}"/>
    <cellStyle name="20% - Accent6 2 2 5 3" xfId="5786" xr:uid="{00000000-0005-0000-0000-000043030000}"/>
    <cellStyle name="20% - Accent6 2 2 5 3 2" xfId="14236" xr:uid="{3EEA3D02-93A5-40F9-A165-342B0F1A7E7E}"/>
    <cellStyle name="20% - Accent6 2 2 5 4" xfId="10018" xr:uid="{6CBF8963-6E2B-4FBA-A0C4-9ED9806AF6DD}"/>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B069D269-4E0C-4D1C-A0A8-F017E329809D}"/>
    <cellStyle name="20% - Accent6 2 2 6 2 3" xfId="12576" xr:uid="{6EA066AB-E371-4506-BA26-561F319FC618}"/>
    <cellStyle name="20% - Accent6 2 2 6 3" xfId="6199" xr:uid="{00000000-0005-0000-0000-000047030000}"/>
    <cellStyle name="20% - Accent6 2 2 6 3 2" xfId="14649" xr:uid="{B744666B-C3ED-4B93-B9B7-F2AAC8DD1FAB}"/>
    <cellStyle name="20% - Accent6 2 2 6 4" xfId="10431" xr:uid="{21E1BD24-2FB7-4DDD-B1B1-A075213ED05A}"/>
    <cellStyle name="20% - Accent6 2 2 7" xfId="2306" xr:uid="{00000000-0005-0000-0000-000048030000}"/>
    <cellStyle name="20% - Accent6 2 2 7 2" xfId="6612" xr:uid="{00000000-0005-0000-0000-000049030000}"/>
    <cellStyle name="20% - Accent6 2 2 7 2 2" xfId="15062" xr:uid="{7CE4C3A3-6A24-45D0-B92B-31CC854ACA20}"/>
    <cellStyle name="20% - Accent6 2 2 7 3" xfId="10844" xr:uid="{033E3795-52F7-4BDF-BE75-96501B25A9D2}"/>
    <cellStyle name="20% - Accent6 2 2 8" xfId="4546" xr:uid="{00000000-0005-0000-0000-00004A030000}"/>
    <cellStyle name="20% - Accent6 2 2 8 2" xfId="12996" xr:uid="{7FF14E35-CEAE-4D5E-B545-6B71B13B37B9}"/>
    <cellStyle name="20% - Accent6 2 2 9" xfId="8778" xr:uid="{44CF064B-D56D-4A2A-BC57-E33B31D11C3D}"/>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6C6B7953-2514-43AB-98E8-9BE48E39C459}"/>
    <cellStyle name="20% - Accent6 2 3 2 2 3" xfId="11339" xr:uid="{497769EF-3370-405D-B6DB-08EBA7BD721C}"/>
    <cellStyle name="20% - Accent6 2 3 2 3" xfId="4962" xr:uid="{00000000-0005-0000-0000-00004F030000}"/>
    <cellStyle name="20% - Accent6 2 3 2 3 2" xfId="13412" xr:uid="{2F74C501-A817-4FA8-B7C9-1A7879882D58}"/>
    <cellStyle name="20% - Accent6 2 3 2 4" xfId="9194" xr:uid="{E77D266F-839C-40BB-B5B8-7594D56B882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1F2C3E7F-2A90-4538-A2EE-CE768EA946DB}"/>
    <cellStyle name="20% - Accent6 2 3 3 2 3" xfId="11752" xr:uid="{9D37B414-51D1-4A3F-87DE-A5C08615AABB}"/>
    <cellStyle name="20% - Accent6 2 3 3 3" xfId="5375" xr:uid="{00000000-0005-0000-0000-000053030000}"/>
    <cellStyle name="20% - Accent6 2 3 3 3 2" xfId="13825" xr:uid="{E04D994C-B29B-4C91-BE01-9F5C8B2A817B}"/>
    <cellStyle name="20% - Accent6 2 3 3 4" xfId="9607" xr:uid="{FB576D16-D57D-4342-BEEA-12C68D3A412B}"/>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929526C4-3177-4727-AA9B-651A7919A418}"/>
    <cellStyle name="20% - Accent6 2 3 4 2 3" xfId="12165" xr:uid="{9FA5BFFD-8FFC-420A-BDEE-CB746E272540}"/>
    <cellStyle name="20% - Accent6 2 3 4 3" xfId="5788" xr:uid="{00000000-0005-0000-0000-000057030000}"/>
    <cellStyle name="20% - Accent6 2 3 4 3 2" xfId="14238" xr:uid="{082479F5-D69F-4FBF-BA21-42102CD30059}"/>
    <cellStyle name="20% - Accent6 2 3 4 4" xfId="10020" xr:uid="{83CC74C8-D6FB-40D5-A8F1-FC93DB994EB3}"/>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A7530534-210D-4915-AAF6-DA09E000C32E}"/>
    <cellStyle name="20% - Accent6 2 3 5 2 3" xfId="12578" xr:uid="{A15BCF45-9DEB-474A-A03C-2D436602131E}"/>
    <cellStyle name="20% - Accent6 2 3 5 3" xfId="6201" xr:uid="{00000000-0005-0000-0000-00005B030000}"/>
    <cellStyle name="20% - Accent6 2 3 5 3 2" xfId="14651" xr:uid="{29069B77-6DA9-472A-995E-470308D4DE59}"/>
    <cellStyle name="20% - Accent6 2 3 5 4" xfId="10433" xr:uid="{727533F1-2C15-4F15-BAAF-F6852B9F8DE4}"/>
    <cellStyle name="20% - Accent6 2 3 6" xfId="2308" xr:uid="{00000000-0005-0000-0000-00005C030000}"/>
    <cellStyle name="20% - Accent6 2 3 6 2" xfId="6614" xr:uid="{00000000-0005-0000-0000-00005D030000}"/>
    <cellStyle name="20% - Accent6 2 3 6 2 2" xfId="15064" xr:uid="{14DCCAD9-CFC7-48B8-A236-BD983996FCB3}"/>
    <cellStyle name="20% - Accent6 2 3 6 3" xfId="10846" xr:uid="{7BA4CE60-8528-4349-8288-784FBDC7CF08}"/>
    <cellStyle name="20% - Accent6 2 3 7" xfId="4548" xr:uid="{00000000-0005-0000-0000-00005E030000}"/>
    <cellStyle name="20% - Accent6 2 3 7 2" xfId="12998" xr:uid="{17D535EB-295E-4213-A2D0-2EDE435BAFB9}"/>
    <cellStyle name="20% - Accent6 2 3 8" xfId="8780" xr:uid="{5947F449-67C7-4A52-AB8C-CC266D16A235}"/>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49150865-89C0-428D-A3B8-F4E5D549FA4F}"/>
    <cellStyle name="20% - Accent6 2 4 2 3" xfId="11336" xr:uid="{01242AC9-9D09-4B41-B09F-B5DC5B4B44DF}"/>
    <cellStyle name="20% - Accent6 2 4 3" xfId="4959" xr:uid="{00000000-0005-0000-0000-000062030000}"/>
    <cellStyle name="20% - Accent6 2 4 3 2" xfId="13409" xr:uid="{DB3CFB56-35C4-432E-AA0B-43DF5AA67D42}"/>
    <cellStyle name="20% - Accent6 2 4 4" xfId="9191" xr:uid="{010E74D0-E896-4B10-B320-813DD3E34F78}"/>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B8E5CE7B-56DB-4C1E-A337-E4C156220A71}"/>
    <cellStyle name="20% - Accent6 2 5 2 3" xfId="11749" xr:uid="{C130DE17-E5AA-40CB-8827-199D80F52054}"/>
    <cellStyle name="20% - Accent6 2 5 3" xfId="5372" xr:uid="{00000000-0005-0000-0000-000066030000}"/>
    <cellStyle name="20% - Accent6 2 5 3 2" xfId="13822" xr:uid="{F13F6FE7-309E-4EE1-870E-345B1D12A036}"/>
    <cellStyle name="20% - Accent6 2 5 4" xfId="9604" xr:uid="{A8B622ED-0862-4CBA-A410-D7E51966F1C1}"/>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040FECC0-FC8B-4F8C-9DE4-F31BECA0D5DD}"/>
    <cellStyle name="20% - Accent6 2 6 2 3" xfId="12162" xr:uid="{485EFC43-686C-47B5-8063-97146FDE68F5}"/>
    <cellStyle name="20% - Accent6 2 6 3" xfId="5785" xr:uid="{00000000-0005-0000-0000-00006A030000}"/>
    <cellStyle name="20% - Accent6 2 6 3 2" xfId="14235" xr:uid="{3E6EE85B-DC03-4C5F-96E8-C1501EC0AF65}"/>
    <cellStyle name="20% - Accent6 2 6 4" xfId="10017" xr:uid="{5D2968B2-87AF-4182-B164-F115B9095E9A}"/>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D37E2FC5-AA7D-42C8-BBF7-ED5FE3B5A2A2}"/>
    <cellStyle name="20% - Accent6 2 7 2 3" xfId="12575" xr:uid="{EE88607A-1148-4BEF-8DD8-B8B7225B80F6}"/>
    <cellStyle name="20% - Accent6 2 7 3" xfId="6198" xr:uid="{00000000-0005-0000-0000-00006E030000}"/>
    <cellStyle name="20% - Accent6 2 7 3 2" xfId="14648" xr:uid="{D4C59B2E-8976-4F36-B0C0-05AB5A52D2F1}"/>
    <cellStyle name="20% - Accent6 2 7 4" xfId="10430" xr:uid="{0B6C0767-015D-4549-8674-04B1564DECC7}"/>
    <cellStyle name="20% - Accent6 2 8" xfId="2305" xr:uid="{00000000-0005-0000-0000-00006F030000}"/>
    <cellStyle name="20% - Accent6 2 8 2" xfId="6611" xr:uid="{00000000-0005-0000-0000-000070030000}"/>
    <cellStyle name="20% - Accent6 2 8 2 2" xfId="15061" xr:uid="{C4CAD9DE-9619-49AD-988B-41F09A180692}"/>
    <cellStyle name="20% - Accent6 2 8 3" xfId="10843" xr:uid="{2D1B80B5-CF42-4746-BEE0-24D1C1C9D90F}"/>
    <cellStyle name="20% - Accent6 2 9" xfId="4545" xr:uid="{00000000-0005-0000-0000-000071030000}"/>
    <cellStyle name="20% - Accent6 2 9 2" xfId="12995" xr:uid="{29D78941-A5D3-4E5F-AE65-D475FACD00E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0DA3AA96-F08C-445D-A437-2E4CB6C415B6}"/>
    <cellStyle name="20% - Accent6 3 2 2 2 3" xfId="11341" xr:uid="{27C42EC6-EBAC-4CAB-9648-252BE95DA465}"/>
    <cellStyle name="20% - Accent6 3 2 2 3" xfId="4964" xr:uid="{00000000-0005-0000-0000-000077030000}"/>
    <cellStyle name="20% - Accent6 3 2 2 3 2" xfId="13414" xr:uid="{6333130D-7D76-4267-9E6C-8F24F40A6F07}"/>
    <cellStyle name="20% - Accent6 3 2 2 4" xfId="9196" xr:uid="{59C8DC24-7601-46EA-B69D-33BD33ED08E4}"/>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204F9CE5-DC2A-49AB-B5B8-A4753F08EB62}"/>
    <cellStyle name="20% - Accent6 3 2 3 2 3" xfId="11754" xr:uid="{B9240D96-D6A0-4020-937B-312D0D8E661B}"/>
    <cellStyle name="20% - Accent6 3 2 3 3" xfId="5377" xr:uid="{00000000-0005-0000-0000-00007B030000}"/>
    <cellStyle name="20% - Accent6 3 2 3 3 2" xfId="13827" xr:uid="{1B53043B-99C6-489E-919B-52AF56604B52}"/>
    <cellStyle name="20% - Accent6 3 2 3 4" xfId="9609" xr:uid="{55A36081-87CB-45BC-B398-04C125DC518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9F2BCF37-C568-4101-B147-DED1C4090401}"/>
    <cellStyle name="20% - Accent6 3 2 4 2 3" xfId="12167" xr:uid="{5E8396B4-0E8F-4282-81B2-338096D9189A}"/>
    <cellStyle name="20% - Accent6 3 2 4 3" xfId="5790" xr:uid="{00000000-0005-0000-0000-00007F030000}"/>
    <cellStyle name="20% - Accent6 3 2 4 3 2" xfId="14240" xr:uid="{D43ED1D8-A091-4256-9A55-1569297F56FD}"/>
    <cellStyle name="20% - Accent6 3 2 4 4" xfId="10022" xr:uid="{9338CCD1-444B-4F06-8E06-A5322FEFAF34}"/>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AF2B381F-BFBC-4723-AD65-0EA853BA9CE8}"/>
    <cellStyle name="20% - Accent6 3 2 5 2 3" xfId="12580" xr:uid="{17B101A1-0E21-4459-B0BF-8AA5E0A8B3F1}"/>
    <cellStyle name="20% - Accent6 3 2 5 3" xfId="6203" xr:uid="{00000000-0005-0000-0000-000083030000}"/>
    <cellStyle name="20% - Accent6 3 2 5 3 2" xfId="14653" xr:uid="{0C23AE1A-4739-42F2-ADDB-3E5C8AC9AE60}"/>
    <cellStyle name="20% - Accent6 3 2 5 4" xfId="10435" xr:uid="{011DFA86-BE81-46BE-BC21-D416F4FFFDFB}"/>
    <cellStyle name="20% - Accent6 3 2 6" xfId="2310" xr:uid="{00000000-0005-0000-0000-000084030000}"/>
    <cellStyle name="20% - Accent6 3 2 6 2" xfId="6616" xr:uid="{00000000-0005-0000-0000-000085030000}"/>
    <cellStyle name="20% - Accent6 3 2 6 2 2" xfId="15066" xr:uid="{4B3BE8D2-9607-42D5-8AFF-8CEC6CB3E346}"/>
    <cellStyle name="20% - Accent6 3 2 6 3" xfId="10848" xr:uid="{88D3CC90-9366-4212-B543-CF78D0DC257E}"/>
    <cellStyle name="20% - Accent6 3 2 7" xfId="4550" xr:uid="{00000000-0005-0000-0000-000086030000}"/>
    <cellStyle name="20% - Accent6 3 2 7 2" xfId="13000" xr:uid="{10253B48-47C4-4589-9202-9C47A455B745}"/>
    <cellStyle name="20% - Accent6 3 2 8" xfId="8782" xr:uid="{34E4BA8F-B605-4BD3-BAF0-E7B8EA485700}"/>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F3B5AE85-B843-4450-BF51-587633BD5FC0}"/>
    <cellStyle name="20% - Accent6 3 3 2 3" xfId="11340" xr:uid="{BC4298FB-411C-45F5-9147-CFDDA6821B9C}"/>
    <cellStyle name="20% - Accent6 3 3 3" xfId="4963" xr:uid="{00000000-0005-0000-0000-00008A030000}"/>
    <cellStyle name="20% - Accent6 3 3 3 2" xfId="13413" xr:uid="{4FABB9C1-CD84-47DF-85A6-A14CD25488A9}"/>
    <cellStyle name="20% - Accent6 3 3 4" xfId="9195" xr:uid="{37E0D0ED-4B4F-4E8E-B955-D2BE6668CB9A}"/>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26781C9C-AEB0-4F3A-95FC-9C66FD893C99}"/>
    <cellStyle name="20% - Accent6 3 4 2 3" xfId="11753" xr:uid="{8E1C6BAA-5280-4D2D-8153-2F75CFC275AD}"/>
    <cellStyle name="20% - Accent6 3 4 3" xfId="5376" xr:uid="{00000000-0005-0000-0000-00008E030000}"/>
    <cellStyle name="20% - Accent6 3 4 3 2" xfId="13826" xr:uid="{8BFD6B97-62A6-4196-94F1-14D9499372CD}"/>
    <cellStyle name="20% - Accent6 3 4 4" xfId="9608" xr:uid="{2E72EAC9-0777-4A33-930D-B2CA139B1553}"/>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3E27D745-79AC-4ABF-B5BD-BF4012B2F07E}"/>
    <cellStyle name="20% - Accent6 3 5 2 3" xfId="12166" xr:uid="{8E9E2CE7-0A4A-48B3-B835-884F59442D5F}"/>
    <cellStyle name="20% - Accent6 3 5 3" xfId="5789" xr:uid="{00000000-0005-0000-0000-000092030000}"/>
    <cellStyle name="20% - Accent6 3 5 3 2" xfId="14239" xr:uid="{1C0B53F2-2E3F-414E-A8ED-286AC6CA9657}"/>
    <cellStyle name="20% - Accent6 3 5 4" xfId="10021" xr:uid="{3BE900B0-1183-48FC-95A7-4321D6DF541E}"/>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C26A781C-1237-4453-9DA7-ADBCA037A425}"/>
    <cellStyle name="20% - Accent6 3 6 2 3" xfId="12579" xr:uid="{EBE87736-1F93-4A5E-94CE-D60728D017C6}"/>
    <cellStyle name="20% - Accent6 3 6 3" xfId="6202" xr:uid="{00000000-0005-0000-0000-000096030000}"/>
    <cellStyle name="20% - Accent6 3 6 3 2" xfId="14652" xr:uid="{0B23700A-9FB5-46C3-A581-D072440C8A91}"/>
    <cellStyle name="20% - Accent6 3 6 4" xfId="10434" xr:uid="{E369ECD9-431B-463B-8A5D-8E896601E477}"/>
    <cellStyle name="20% - Accent6 3 7" xfId="2309" xr:uid="{00000000-0005-0000-0000-000097030000}"/>
    <cellStyle name="20% - Accent6 3 7 2" xfId="6615" xr:uid="{00000000-0005-0000-0000-000098030000}"/>
    <cellStyle name="20% - Accent6 3 7 2 2" xfId="15065" xr:uid="{DC1F8470-77C9-4968-8BDC-B403C0B2B3B8}"/>
    <cellStyle name="20% - Accent6 3 7 3" xfId="10847" xr:uid="{A86F7165-8155-49F6-9817-6996FFB07CDD}"/>
    <cellStyle name="20% - Accent6 3 8" xfId="4549" xr:uid="{00000000-0005-0000-0000-000099030000}"/>
    <cellStyle name="20% - Accent6 3 8 2" xfId="12999" xr:uid="{36791993-7E06-4679-83DE-9327BD50A0C5}"/>
    <cellStyle name="20% - Accent6 3 9" xfId="8781" xr:uid="{017EECB3-C720-4E24-84AE-CAACF12912E6}"/>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FEC47518-8620-4AB5-8301-C8D28319D4F1}"/>
    <cellStyle name="20% - Accent6 4 2 2 3" xfId="11342" xr:uid="{EF965133-C96F-4821-8473-7A039EE49194}"/>
    <cellStyle name="20% - Accent6 4 2 3" xfId="4965" xr:uid="{00000000-0005-0000-0000-00009E030000}"/>
    <cellStyle name="20% - Accent6 4 2 3 2" xfId="13415" xr:uid="{E0EA3ABA-0968-4B73-87D1-5046233E7FE8}"/>
    <cellStyle name="20% - Accent6 4 2 4" xfId="9197" xr:uid="{F10B7BCE-4668-4E50-B98D-E38C4AADA694}"/>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3D0378AE-7D51-4882-88AB-38E584216B0A}"/>
    <cellStyle name="20% - Accent6 4 3 2 3" xfId="11755" xr:uid="{422111B1-1B04-49F7-9F75-AFC2A8673606}"/>
    <cellStyle name="20% - Accent6 4 3 3" xfId="5378" xr:uid="{00000000-0005-0000-0000-0000A2030000}"/>
    <cellStyle name="20% - Accent6 4 3 3 2" xfId="13828" xr:uid="{C1FF36C5-BBF8-41D6-B284-7766E441F808}"/>
    <cellStyle name="20% - Accent6 4 3 4" xfId="9610" xr:uid="{A3101CC7-59EE-4991-BCB7-F12351DA49EB}"/>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9982D54B-B9BB-4710-862D-D2E6C5AB1BF5}"/>
    <cellStyle name="20% - Accent6 4 4 2 3" xfId="12168" xr:uid="{9C89A662-513B-429E-B22A-6D0574084433}"/>
    <cellStyle name="20% - Accent6 4 4 3" xfId="5791" xr:uid="{00000000-0005-0000-0000-0000A6030000}"/>
    <cellStyle name="20% - Accent6 4 4 3 2" xfId="14241" xr:uid="{2E653794-E91A-41D8-AE9B-D0A86FA92CF6}"/>
    <cellStyle name="20% - Accent6 4 4 4" xfId="10023" xr:uid="{F30D0190-CE17-4A5F-8C4B-83932C25330F}"/>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E700E616-F87A-47B2-8B33-C3A3B2C2A18F}"/>
    <cellStyle name="20% - Accent6 4 5 2 3" xfId="12581" xr:uid="{6712F5D5-79D6-425F-B35C-077A7F19ECDA}"/>
    <cellStyle name="20% - Accent6 4 5 3" xfId="6204" xr:uid="{00000000-0005-0000-0000-0000AA030000}"/>
    <cellStyle name="20% - Accent6 4 5 3 2" xfId="14654" xr:uid="{543CE5AE-6F53-4154-9BE2-2A45A4825F91}"/>
    <cellStyle name="20% - Accent6 4 5 4" xfId="10436" xr:uid="{DDCA18E6-46D8-4BF1-8DCB-2F9DA7072ED4}"/>
    <cellStyle name="20% - Accent6 4 6" xfId="2311" xr:uid="{00000000-0005-0000-0000-0000AB030000}"/>
    <cellStyle name="20% - Accent6 4 6 2" xfId="6617" xr:uid="{00000000-0005-0000-0000-0000AC030000}"/>
    <cellStyle name="20% - Accent6 4 6 2 2" xfId="15067" xr:uid="{381AE677-31C3-4D41-9572-2673C155ADF8}"/>
    <cellStyle name="20% - Accent6 4 6 3" xfId="10849" xr:uid="{850E6FAA-0956-4144-8976-1FEA64380019}"/>
    <cellStyle name="20% - Accent6 4 7" xfId="4551" xr:uid="{00000000-0005-0000-0000-0000AD030000}"/>
    <cellStyle name="20% - Accent6 4 7 2" xfId="13001" xr:uid="{71696880-F736-4D08-9ECE-9CF8E224BA7E}"/>
    <cellStyle name="20% - Accent6 4 8" xfId="8783" xr:uid="{4426BDCD-66F1-45C7-8FAA-A04BA99A1400}"/>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FE36A7A4-673C-425F-A730-1468E9C65B46}"/>
    <cellStyle name="20% - Accent6 5 2 3" xfId="11335" xr:uid="{DB78C509-0B80-46FB-879D-2E0D396167B8}"/>
    <cellStyle name="20% - Accent6 5 3" xfId="4958" xr:uid="{00000000-0005-0000-0000-0000B1030000}"/>
    <cellStyle name="20% - Accent6 5 3 2" xfId="13408" xr:uid="{A2B0B297-48A7-4357-BBE1-0D9D526C74C3}"/>
    <cellStyle name="20% - Accent6 5 4" xfId="9190" xr:uid="{9DA6E227-31E6-4EDF-9503-88834D48D973}"/>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D6006926-E125-46C1-824D-0056E226E5D3}"/>
    <cellStyle name="20% - Accent6 6 2 3" xfId="11748" xr:uid="{F3D6B643-63EB-4307-B738-78F3BE069044}"/>
    <cellStyle name="20% - Accent6 6 3" xfId="5371" xr:uid="{00000000-0005-0000-0000-0000B5030000}"/>
    <cellStyle name="20% - Accent6 6 3 2" xfId="13821" xr:uid="{87E34CFA-E57E-443D-9411-58DCAA644E06}"/>
    <cellStyle name="20% - Accent6 6 4" xfId="9603" xr:uid="{1C7796F9-D340-4E6C-BFD8-DD4C92F9E1CB}"/>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CCC767C0-BAC0-48C0-9C87-756D0ED6BEB5}"/>
    <cellStyle name="20% - Accent6 7 2 3" xfId="12161" xr:uid="{C3C1F489-C8DF-4C4A-B742-D7FF698AD74F}"/>
    <cellStyle name="20% - Accent6 7 3" xfId="5784" xr:uid="{00000000-0005-0000-0000-0000B9030000}"/>
    <cellStyle name="20% - Accent6 7 3 2" xfId="14234" xr:uid="{3E9AE807-0F97-4050-B820-4366EACA960D}"/>
    <cellStyle name="20% - Accent6 7 4" xfId="10016" xr:uid="{3822C687-A654-49F1-9B4A-89FB29855A5B}"/>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10014EFB-FCF2-4FC3-947B-6475A002FA89}"/>
    <cellStyle name="20% - Accent6 8 2 3" xfId="12574" xr:uid="{9C29887C-44A5-40C0-AACE-4054079E40F6}"/>
    <cellStyle name="20% - Accent6 8 3" xfId="6197" xr:uid="{00000000-0005-0000-0000-0000BD030000}"/>
    <cellStyle name="20% - Accent6 8 3 2" xfId="14647" xr:uid="{438FB04A-EADF-46DB-842B-DDF5724D7868}"/>
    <cellStyle name="20% - Accent6 8 4" xfId="10429" xr:uid="{772DD15C-687C-462B-9E4B-31F3708480C4}"/>
    <cellStyle name="20% - Accent6 9" xfId="2304" xr:uid="{00000000-0005-0000-0000-0000BE030000}"/>
    <cellStyle name="20% - Accent6 9 2" xfId="6610" xr:uid="{00000000-0005-0000-0000-0000BF030000}"/>
    <cellStyle name="20% - Accent6 9 2 2" xfId="15060" xr:uid="{476014C1-938D-49DB-9357-05D85C336DBB}"/>
    <cellStyle name="20% - Accent6 9 3" xfId="10842" xr:uid="{2DB25CDF-3A4C-47BF-A6A2-860166FB52C8}"/>
    <cellStyle name="40% - Accent1" xfId="49" builtinId="31" customBuiltin="1"/>
    <cellStyle name="40% - Accent1 10" xfId="4552" xr:uid="{00000000-0005-0000-0000-0000C1030000}"/>
    <cellStyle name="40% - Accent1 10 2" xfId="13002" xr:uid="{3F3F572B-1F2E-4FF8-A913-0E33C16B0E1D}"/>
    <cellStyle name="40% - Accent1 11" xfId="8784" xr:uid="{4378CAC3-3D35-456E-B109-04438459F8C8}"/>
    <cellStyle name="40% - Accent1 2" xfId="50" xr:uid="{00000000-0005-0000-0000-0000C2030000}"/>
    <cellStyle name="40% - Accent1 2 10" xfId="8785" xr:uid="{8E5E72BC-B7DA-4326-8A73-9147BFB3BFE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2B312C66-4B1D-4AFE-98DB-B54D9D2D98D8}"/>
    <cellStyle name="40% - Accent1 2 2 2 2 2 3" xfId="11346" xr:uid="{A57A38D2-A29F-4B8D-AC57-D75A004C3829}"/>
    <cellStyle name="40% - Accent1 2 2 2 2 3" xfId="4969" xr:uid="{00000000-0005-0000-0000-0000C8030000}"/>
    <cellStyle name="40% - Accent1 2 2 2 2 3 2" xfId="13419" xr:uid="{1B333D48-9AC4-4ED3-84B6-962D57DBC000}"/>
    <cellStyle name="40% - Accent1 2 2 2 2 4" xfId="9201" xr:uid="{80D3E9AB-CBA6-4B79-82AB-9361D4B68C0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725DFF9F-09EA-4794-89FD-06C1B834429B}"/>
    <cellStyle name="40% - Accent1 2 2 2 3 2 3" xfId="11759" xr:uid="{F1E45E71-B44A-485D-B54A-3D353F4695AE}"/>
    <cellStyle name="40% - Accent1 2 2 2 3 3" xfId="5382" xr:uid="{00000000-0005-0000-0000-0000CC030000}"/>
    <cellStyle name="40% - Accent1 2 2 2 3 3 2" xfId="13832" xr:uid="{D5CF5221-BF61-4D5A-9325-92CC9CB4B4BB}"/>
    <cellStyle name="40% - Accent1 2 2 2 3 4" xfId="9614" xr:uid="{4A1372B7-6EBE-4784-905F-C1D2033A91D8}"/>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C5D815CB-6A44-4211-8839-219C3FF2217C}"/>
    <cellStyle name="40% - Accent1 2 2 2 4 2 3" xfId="12172" xr:uid="{CE0A2BBF-5201-4FF7-A8D3-98F8DE7D9AB1}"/>
    <cellStyle name="40% - Accent1 2 2 2 4 3" xfId="5795" xr:uid="{00000000-0005-0000-0000-0000D0030000}"/>
    <cellStyle name="40% - Accent1 2 2 2 4 3 2" xfId="14245" xr:uid="{470D1B68-9A03-400F-AB55-1FBC385246A6}"/>
    <cellStyle name="40% - Accent1 2 2 2 4 4" xfId="10027" xr:uid="{B5F17F1F-5208-43A5-8060-DC600BCA9EA1}"/>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F429B6EB-7FAB-43FB-BB4D-46CAF91F7E54}"/>
    <cellStyle name="40% - Accent1 2 2 2 5 2 3" xfId="12585" xr:uid="{79963CE0-47F7-4B00-9A7B-37DA93C2EA4E}"/>
    <cellStyle name="40% - Accent1 2 2 2 5 3" xfId="6208" xr:uid="{00000000-0005-0000-0000-0000D4030000}"/>
    <cellStyle name="40% - Accent1 2 2 2 5 3 2" xfId="14658" xr:uid="{B054D259-CAC5-4B80-B35D-BD159FA4B1B5}"/>
    <cellStyle name="40% - Accent1 2 2 2 5 4" xfId="10440" xr:uid="{0E173E34-A7AA-406D-8739-405F1EF312CC}"/>
    <cellStyle name="40% - Accent1 2 2 2 6" xfId="2315" xr:uid="{00000000-0005-0000-0000-0000D5030000}"/>
    <cellStyle name="40% - Accent1 2 2 2 6 2" xfId="6621" xr:uid="{00000000-0005-0000-0000-0000D6030000}"/>
    <cellStyle name="40% - Accent1 2 2 2 6 2 2" xfId="15071" xr:uid="{E8E6DA44-AA3D-425F-8AE0-E6709DDAFAE2}"/>
    <cellStyle name="40% - Accent1 2 2 2 6 3" xfId="10853" xr:uid="{F3C10C11-F4A0-4DFA-8820-023DF77D20A5}"/>
    <cellStyle name="40% - Accent1 2 2 2 7" xfId="4555" xr:uid="{00000000-0005-0000-0000-0000D7030000}"/>
    <cellStyle name="40% - Accent1 2 2 2 7 2" xfId="13005" xr:uid="{C1BB8374-7310-4B72-AB53-8A4F700A1CF6}"/>
    <cellStyle name="40% - Accent1 2 2 2 8" xfId="8787" xr:uid="{94CE2265-E70B-4809-ACA5-AEEF21DFB38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0E025815-E59C-496A-BB23-27E2395093D4}"/>
    <cellStyle name="40% - Accent1 2 2 3 2 3" xfId="11345" xr:uid="{F70C6963-34B5-4300-B5C9-C2C640E51F43}"/>
    <cellStyle name="40% - Accent1 2 2 3 3" xfId="4968" xr:uid="{00000000-0005-0000-0000-0000DB030000}"/>
    <cellStyle name="40% - Accent1 2 2 3 3 2" xfId="13418" xr:uid="{2542DE97-0D8D-4663-9445-017DF6337B3B}"/>
    <cellStyle name="40% - Accent1 2 2 3 4" xfId="9200" xr:uid="{2301B0CE-9985-44CD-BBDE-694574E20F21}"/>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0FD903C7-1DB1-4C34-8DAB-B5709FBBD206}"/>
    <cellStyle name="40% - Accent1 2 2 4 2 3" xfId="11758" xr:uid="{7EEC90D5-1A5F-46A9-B4D5-93A5EE0F84B6}"/>
    <cellStyle name="40% - Accent1 2 2 4 3" xfId="5381" xr:uid="{00000000-0005-0000-0000-0000DF030000}"/>
    <cellStyle name="40% - Accent1 2 2 4 3 2" xfId="13831" xr:uid="{CE9950D8-2D42-4223-B831-FDA1A56851E7}"/>
    <cellStyle name="40% - Accent1 2 2 4 4" xfId="9613" xr:uid="{2AAD1669-AC3C-4AA4-B7F8-D330F4B1792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17B332C9-0425-473B-BF2E-19113060649D}"/>
    <cellStyle name="40% - Accent1 2 2 5 2 3" xfId="12171" xr:uid="{15732E47-BD91-40BF-91FA-487028C87088}"/>
    <cellStyle name="40% - Accent1 2 2 5 3" xfId="5794" xr:uid="{00000000-0005-0000-0000-0000E3030000}"/>
    <cellStyle name="40% - Accent1 2 2 5 3 2" xfId="14244" xr:uid="{38B36476-2C39-4EB4-BB9B-5E50A51E64CF}"/>
    <cellStyle name="40% - Accent1 2 2 5 4" xfId="10026" xr:uid="{BB2087CE-F67C-4A48-BE88-2D4C9E9FD968}"/>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938950E9-B786-44BB-A580-0799C1AD87FD}"/>
    <cellStyle name="40% - Accent1 2 2 6 2 3" xfId="12584" xr:uid="{5582ECF8-267B-4ACC-A2D7-520FED8FDF02}"/>
    <cellStyle name="40% - Accent1 2 2 6 3" xfId="6207" xr:uid="{00000000-0005-0000-0000-0000E7030000}"/>
    <cellStyle name="40% - Accent1 2 2 6 3 2" xfId="14657" xr:uid="{25958A71-50AE-463E-9A99-20502ACFBEC0}"/>
    <cellStyle name="40% - Accent1 2 2 6 4" xfId="10439" xr:uid="{E48AC29E-48A8-4AD3-8193-BEDA3814B046}"/>
    <cellStyle name="40% - Accent1 2 2 7" xfId="2314" xr:uid="{00000000-0005-0000-0000-0000E8030000}"/>
    <cellStyle name="40% - Accent1 2 2 7 2" xfId="6620" xr:uid="{00000000-0005-0000-0000-0000E9030000}"/>
    <cellStyle name="40% - Accent1 2 2 7 2 2" xfId="15070" xr:uid="{5F09E97E-18A2-4E01-B5BB-43B1718E32C5}"/>
    <cellStyle name="40% - Accent1 2 2 7 3" xfId="10852" xr:uid="{FB2B818D-02AD-40E2-B075-F24C334A8668}"/>
    <cellStyle name="40% - Accent1 2 2 8" xfId="4554" xr:uid="{00000000-0005-0000-0000-0000EA030000}"/>
    <cellStyle name="40% - Accent1 2 2 8 2" xfId="13004" xr:uid="{37644169-D820-4412-ADF3-791537F9C5E4}"/>
    <cellStyle name="40% - Accent1 2 2 9" xfId="8786" xr:uid="{0560650D-C218-4AC8-82AB-E1D5C53D1304}"/>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20FFCFAD-F479-4136-B7CA-A635D85A2831}"/>
    <cellStyle name="40% - Accent1 2 3 2 2 3" xfId="11347" xr:uid="{203E9DEA-772C-4AEC-A7C8-64EE2AFD0B17}"/>
    <cellStyle name="40% - Accent1 2 3 2 3" xfId="4970" xr:uid="{00000000-0005-0000-0000-0000EF030000}"/>
    <cellStyle name="40% - Accent1 2 3 2 3 2" xfId="13420" xr:uid="{89C3DA18-FA38-48FE-BA62-6DE3499AEFA5}"/>
    <cellStyle name="40% - Accent1 2 3 2 4" xfId="9202" xr:uid="{956B7714-34CC-45D3-9C33-2627DF35FF72}"/>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9017F5D3-6B84-4442-B9DF-D7AE136F677C}"/>
    <cellStyle name="40% - Accent1 2 3 3 2 3" xfId="11760" xr:uid="{91058693-13D0-4903-8DE2-9ED0D57584CC}"/>
    <cellStyle name="40% - Accent1 2 3 3 3" xfId="5383" xr:uid="{00000000-0005-0000-0000-0000F3030000}"/>
    <cellStyle name="40% - Accent1 2 3 3 3 2" xfId="13833" xr:uid="{5E1E7880-F02E-42DF-AD5C-4F06B9D4C809}"/>
    <cellStyle name="40% - Accent1 2 3 3 4" xfId="9615" xr:uid="{538BF5DA-D912-458E-B5BB-0B7A2957A505}"/>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09876ADD-C293-436F-B89C-65BC85CE77E5}"/>
    <cellStyle name="40% - Accent1 2 3 4 2 3" xfId="12173" xr:uid="{3CA0C879-BD43-48F6-A0DB-D566C374CC64}"/>
    <cellStyle name="40% - Accent1 2 3 4 3" xfId="5796" xr:uid="{00000000-0005-0000-0000-0000F7030000}"/>
    <cellStyle name="40% - Accent1 2 3 4 3 2" xfId="14246" xr:uid="{606F14A9-17B7-4B7D-8873-7444CC102CD4}"/>
    <cellStyle name="40% - Accent1 2 3 4 4" xfId="10028" xr:uid="{16F7DBF8-686F-4B26-A7A8-CD8530333254}"/>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D02CC815-FE6E-49C6-9B3C-5C3BAAC51F11}"/>
    <cellStyle name="40% - Accent1 2 3 5 2 3" xfId="12586" xr:uid="{BE18FDFA-B0E4-41FD-BDD7-6AAF8A526C08}"/>
    <cellStyle name="40% - Accent1 2 3 5 3" xfId="6209" xr:uid="{00000000-0005-0000-0000-0000FB030000}"/>
    <cellStyle name="40% - Accent1 2 3 5 3 2" xfId="14659" xr:uid="{AE65AF8E-A738-47E2-BC3F-2CD3954A3FFB}"/>
    <cellStyle name="40% - Accent1 2 3 5 4" xfId="10441" xr:uid="{34A7777C-0653-458C-9FD4-51121F7D2FB8}"/>
    <cellStyle name="40% - Accent1 2 3 6" xfId="2316" xr:uid="{00000000-0005-0000-0000-0000FC030000}"/>
    <cellStyle name="40% - Accent1 2 3 6 2" xfId="6622" xr:uid="{00000000-0005-0000-0000-0000FD030000}"/>
    <cellStyle name="40% - Accent1 2 3 6 2 2" xfId="15072" xr:uid="{F8BAB018-F934-48BE-9DDD-2ADAE9E221FA}"/>
    <cellStyle name="40% - Accent1 2 3 6 3" xfId="10854" xr:uid="{E0A48A0D-2416-47F9-82D7-18D93067F5F5}"/>
    <cellStyle name="40% - Accent1 2 3 7" xfId="4556" xr:uid="{00000000-0005-0000-0000-0000FE030000}"/>
    <cellStyle name="40% - Accent1 2 3 7 2" xfId="13006" xr:uid="{6D41EE4E-3AA1-4377-B7FF-DF63D064E865}"/>
    <cellStyle name="40% - Accent1 2 3 8" xfId="8788" xr:uid="{50241FE5-2063-4191-A3BF-1030337C2499}"/>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C9BFB4D0-C2EF-459F-B43B-0E8011300147}"/>
    <cellStyle name="40% - Accent1 2 4 2 3" xfId="11344" xr:uid="{AB837F09-1076-47C8-9505-9665FE3223A9}"/>
    <cellStyle name="40% - Accent1 2 4 3" xfId="4967" xr:uid="{00000000-0005-0000-0000-000002040000}"/>
    <cellStyle name="40% - Accent1 2 4 3 2" xfId="13417" xr:uid="{612F6584-6F56-48EF-BC27-B9F0AB644A7C}"/>
    <cellStyle name="40% - Accent1 2 4 4" xfId="9199" xr:uid="{56A111F0-FD5C-4540-B33D-82DB9BC39235}"/>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9AF3CD47-3058-4158-B5F7-0DBF3E09CAEC}"/>
    <cellStyle name="40% - Accent1 2 5 2 3" xfId="11757" xr:uid="{61D9A57E-C4DD-4373-ACE7-B15AFA4FC353}"/>
    <cellStyle name="40% - Accent1 2 5 3" xfId="5380" xr:uid="{00000000-0005-0000-0000-000006040000}"/>
    <cellStyle name="40% - Accent1 2 5 3 2" xfId="13830" xr:uid="{2629A694-7190-4893-86C0-BC8D36911287}"/>
    <cellStyle name="40% - Accent1 2 5 4" xfId="9612" xr:uid="{362D25F6-ABA5-469A-87BE-C51EBEA0A866}"/>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F53A0D6D-CDD1-4A6E-82A6-B04728C486C5}"/>
    <cellStyle name="40% - Accent1 2 6 2 3" xfId="12170" xr:uid="{DF5FEFD8-C384-47E1-93D2-ED0EE3B12D64}"/>
    <cellStyle name="40% - Accent1 2 6 3" xfId="5793" xr:uid="{00000000-0005-0000-0000-00000A040000}"/>
    <cellStyle name="40% - Accent1 2 6 3 2" xfId="14243" xr:uid="{D7508544-2E2B-4E1C-8502-E8161FFAF657}"/>
    <cellStyle name="40% - Accent1 2 6 4" xfId="10025" xr:uid="{CB4F1C87-A3B1-446E-BEB3-3614BA311BDB}"/>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8C7CB87D-AFE9-4BEA-AA29-6D4996DA64A2}"/>
    <cellStyle name="40% - Accent1 2 7 2 3" xfId="12583" xr:uid="{0888F7D7-C8B0-43C9-8E5A-FEC165B69F10}"/>
    <cellStyle name="40% - Accent1 2 7 3" xfId="6206" xr:uid="{00000000-0005-0000-0000-00000E040000}"/>
    <cellStyle name="40% - Accent1 2 7 3 2" xfId="14656" xr:uid="{58F531DA-C34D-4CB8-91B4-E1B412265E0D}"/>
    <cellStyle name="40% - Accent1 2 7 4" xfId="10438" xr:uid="{BFD4B3E8-388F-44D1-90FA-4076D48FA3A4}"/>
    <cellStyle name="40% - Accent1 2 8" xfId="2313" xr:uid="{00000000-0005-0000-0000-00000F040000}"/>
    <cellStyle name="40% - Accent1 2 8 2" xfId="6619" xr:uid="{00000000-0005-0000-0000-000010040000}"/>
    <cellStyle name="40% - Accent1 2 8 2 2" xfId="15069" xr:uid="{94152954-16D1-4EDB-B3F3-8E4BBAACF277}"/>
    <cellStyle name="40% - Accent1 2 8 3" xfId="10851" xr:uid="{7BEA92B4-7CB9-4D6C-AD35-F0B24229C4C1}"/>
    <cellStyle name="40% - Accent1 2 9" xfId="4553" xr:uid="{00000000-0005-0000-0000-000011040000}"/>
    <cellStyle name="40% - Accent1 2 9 2" xfId="13003" xr:uid="{ADC15FFA-8A48-4EBB-9048-56770B8A4992}"/>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1CADB13F-59E5-41FA-A07F-9DCCED04FB7E}"/>
    <cellStyle name="40% - Accent1 3 2 2 2 3" xfId="11349" xr:uid="{FC612EE3-DAD5-4A92-A940-4098BAEA9FF0}"/>
    <cellStyle name="40% - Accent1 3 2 2 3" xfId="4972" xr:uid="{00000000-0005-0000-0000-000017040000}"/>
    <cellStyle name="40% - Accent1 3 2 2 3 2" xfId="13422" xr:uid="{DBD7C8F5-B62D-4F62-84F0-321B675F35C7}"/>
    <cellStyle name="40% - Accent1 3 2 2 4" xfId="9204" xr:uid="{6E4C8B27-3391-4574-A1DF-D9D52A7A5062}"/>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85C0D497-C6C7-402B-9AB7-26658557FAA4}"/>
    <cellStyle name="40% - Accent1 3 2 3 2 3" xfId="11762" xr:uid="{945B065B-C5E2-4BA6-ADF7-5584588EC909}"/>
    <cellStyle name="40% - Accent1 3 2 3 3" xfId="5385" xr:uid="{00000000-0005-0000-0000-00001B040000}"/>
    <cellStyle name="40% - Accent1 3 2 3 3 2" xfId="13835" xr:uid="{93D62081-391B-474B-94E4-8D47E1EFC549}"/>
    <cellStyle name="40% - Accent1 3 2 3 4" xfId="9617" xr:uid="{7E93E316-51E3-403B-92C3-0F0B1853F31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3899F226-10D2-4032-AA00-E34F25633094}"/>
    <cellStyle name="40% - Accent1 3 2 4 2 3" xfId="12175" xr:uid="{E6341108-F358-4AD3-BA3B-931F156CA7F2}"/>
    <cellStyle name="40% - Accent1 3 2 4 3" xfId="5798" xr:uid="{00000000-0005-0000-0000-00001F040000}"/>
    <cellStyle name="40% - Accent1 3 2 4 3 2" xfId="14248" xr:uid="{4187DF83-54F6-42D1-8477-ABC823225579}"/>
    <cellStyle name="40% - Accent1 3 2 4 4" xfId="10030" xr:uid="{C09F5370-40F3-451E-AA14-A4389D9C7566}"/>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A0CC09C7-A8D8-4FA6-80D5-BC5335F56AE9}"/>
    <cellStyle name="40% - Accent1 3 2 5 2 3" xfId="12588" xr:uid="{0FE69EFF-AE1C-480D-B023-4A37B51CDE1D}"/>
    <cellStyle name="40% - Accent1 3 2 5 3" xfId="6211" xr:uid="{00000000-0005-0000-0000-000023040000}"/>
    <cellStyle name="40% - Accent1 3 2 5 3 2" xfId="14661" xr:uid="{2FCC3DC2-C7FD-4FC0-AFA4-C335F630C712}"/>
    <cellStyle name="40% - Accent1 3 2 5 4" xfId="10443" xr:uid="{282F1B34-66F9-411C-8494-3262CE0753C3}"/>
    <cellStyle name="40% - Accent1 3 2 6" xfId="2318" xr:uid="{00000000-0005-0000-0000-000024040000}"/>
    <cellStyle name="40% - Accent1 3 2 6 2" xfId="6624" xr:uid="{00000000-0005-0000-0000-000025040000}"/>
    <cellStyle name="40% - Accent1 3 2 6 2 2" xfId="15074" xr:uid="{12B0750E-E782-4EBA-A28E-238E1E9F67F1}"/>
    <cellStyle name="40% - Accent1 3 2 6 3" xfId="10856" xr:uid="{5FE8B2BF-B441-4BCB-9507-C1368D3CC404}"/>
    <cellStyle name="40% - Accent1 3 2 7" xfId="4558" xr:uid="{00000000-0005-0000-0000-000026040000}"/>
    <cellStyle name="40% - Accent1 3 2 7 2" xfId="13008" xr:uid="{EC965B88-A719-4EF9-8A36-10E0F4E30EC4}"/>
    <cellStyle name="40% - Accent1 3 2 8" xfId="8790" xr:uid="{ABE8E9E6-E512-4B04-A636-22DA0DB71362}"/>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4A7B472C-6F45-460E-806C-64FCC9391E90}"/>
    <cellStyle name="40% - Accent1 3 3 2 3" xfId="11348" xr:uid="{10A9DEFE-4A2F-448A-92B8-07DCDD829CB6}"/>
    <cellStyle name="40% - Accent1 3 3 3" xfId="4971" xr:uid="{00000000-0005-0000-0000-00002A040000}"/>
    <cellStyle name="40% - Accent1 3 3 3 2" xfId="13421" xr:uid="{6EB626C7-3032-46A0-B81C-E8A4512E1EE8}"/>
    <cellStyle name="40% - Accent1 3 3 4" xfId="9203" xr:uid="{E73B6E0F-C3D5-4246-BA7B-B881B1841F17}"/>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7DB6A0E9-27DE-47A3-8694-AF11C66A599F}"/>
    <cellStyle name="40% - Accent1 3 4 2 3" xfId="11761" xr:uid="{40256F2B-3516-4CA8-ABAF-29D4C66ABD4F}"/>
    <cellStyle name="40% - Accent1 3 4 3" xfId="5384" xr:uid="{00000000-0005-0000-0000-00002E040000}"/>
    <cellStyle name="40% - Accent1 3 4 3 2" xfId="13834" xr:uid="{0624FA2A-C24C-49F6-B97C-CF315108F6A8}"/>
    <cellStyle name="40% - Accent1 3 4 4" xfId="9616" xr:uid="{D26B5551-46B3-4084-8D29-58C20B8968F0}"/>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9988B56F-6240-4416-9466-C32850B81263}"/>
    <cellStyle name="40% - Accent1 3 5 2 3" xfId="12174" xr:uid="{DA876197-FB5F-4A91-A2C7-9E5A4818C760}"/>
    <cellStyle name="40% - Accent1 3 5 3" xfId="5797" xr:uid="{00000000-0005-0000-0000-000032040000}"/>
    <cellStyle name="40% - Accent1 3 5 3 2" xfId="14247" xr:uid="{4A824835-3B11-4264-97DD-50B6C7F2E0E0}"/>
    <cellStyle name="40% - Accent1 3 5 4" xfId="10029" xr:uid="{70C22AB0-AA4F-4CD2-91A8-0BAB62D97CE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315C9EC3-5A60-44C3-9497-6C961E297BA1}"/>
    <cellStyle name="40% - Accent1 3 6 2 3" xfId="12587" xr:uid="{8CB892BB-BD93-47C3-86E2-8B25346F3DEE}"/>
    <cellStyle name="40% - Accent1 3 6 3" xfId="6210" xr:uid="{00000000-0005-0000-0000-000036040000}"/>
    <cellStyle name="40% - Accent1 3 6 3 2" xfId="14660" xr:uid="{38D6050C-F2D1-4B87-B744-2CB8F474FF29}"/>
    <cellStyle name="40% - Accent1 3 6 4" xfId="10442" xr:uid="{83BD46FE-95C0-4A81-A396-958043977930}"/>
    <cellStyle name="40% - Accent1 3 7" xfId="2317" xr:uid="{00000000-0005-0000-0000-000037040000}"/>
    <cellStyle name="40% - Accent1 3 7 2" xfId="6623" xr:uid="{00000000-0005-0000-0000-000038040000}"/>
    <cellStyle name="40% - Accent1 3 7 2 2" xfId="15073" xr:uid="{F3BA1390-1BF7-47CE-871D-26E18975FBCC}"/>
    <cellStyle name="40% - Accent1 3 7 3" xfId="10855" xr:uid="{551AE063-161F-4DAA-9A4A-DBD69ADE3F8F}"/>
    <cellStyle name="40% - Accent1 3 8" xfId="4557" xr:uid="{00000000-0005-0000-0000-000039040000}"/>
    <cellStyle name="40% - Accent1 3 8 2" xfId="13007" xr:uid="{CD273C88-AD61-4259-BE77-10743B9A8B1E}"/>
    <cellStyle name="40% - Accent1 3 9" xfId="8789" xr:uid="{097376D8-7887-41A7-880A-A5D9A28FC9ED}"/>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9BBF2814-B5F7-4938-A718-FF857B4EA95D}"/>
    <cellStyle name="40% - Accent1 4 2 2 3" xfId="11350" xr:uid="{A670FE32-3C2E-47A5-B90C-47DAB55D74D2}"/>
    <cellStyle name="40% - Accent1 4 2 3" xfId="4973" xr:uid="{00000000-0005-0000-0000-00003E040000}"/>
    <cellStyle name="40% - Accent1 4 2 3 2" xfId="13423" xr:uid="{9B51C6FE-8DA1-49BA-A974-C3A98C493FE7}"/>
    <cellStyle name="40% - Accent1 4 2 4" xfId="9205" xr:uid="{25751990-BB87-4FA8-9978-0BFB1E469C08}"/>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ACA81831-C307-4A81-A5B1-131F4C4BE9B5}"/>
    <cellStyle name="40% - Accent1 4 3 2 3" xfId="11763" xr:uid="{630C852B-4546-4859-8743-B459072D49B4}"/>
    <cellStyle name="40% - Accent1 4 3 3" xfId="5386" xr:uid="{00000000-0005-0000-0000-000042040000}"/>
    <cellStyle name="40% - Accent1 4 3 3 2" xfId="13836" xr:uid="{42773D4F-B971-481D-9116-80AD0A5A4477}"/>
    <cellStyle name="40% - Accent1 4 3 4" xfId="9618" xr:uid="{1642FEEB-7B19-40BD-A9AA-7462F34D347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6A20A222-A746-49FD-9B9E-67910202FF84}"/>
    <cellStyle name="40% - Accent1 4 4 2 3" xfId="12176" xr:uid="{766626A4-073A-45CC-A4AD-BFCDF0E2CBAF}"/>
    <cellStyle name="40% - Accent1 4 4 3" xfId="5799" xr:uid="{00000000-0005-0000-0000-000046040000}"/>
    <cellStyle name="40% - Accent1 4 4 3 2" xfId="14249" xr:uid="{4D624521-3EE6-4FF6-8495-3A93AC0504D6}"/>
    <cellStyle name="40% - Accent1 4 4 4" xfId="10031" xr:uid="{EB07EE27-A113-4680-A674-ACE1D1AC8009}"/>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B901ABC0-5B78-4D14-8939-833B3735C1C4}"/>
    <cellStyle name="40% - Accent1 4 5 2 3" xfId="12589" xr:uid="{C08D379E-E49B-494F-A195-8CB200040A41}"/>
    <cellStyle name="40% - Accent1 4 5 3" xfId="6212" xr:uid="{00000000-0005-0000-0000-00004A040000}"/>
    <cellStyle name="40% - Accent1 4 5 3 2" xfId="14662" xr:uid="{8BF4FD03-AAE7-4A58-BAC2-D70120804971}"/>
    <cellStyle name="40% - Accent1 4 5 4" xfId="10444" xr:uid="{38C23C33-1C4E-4EF7-9C1E-36A6748A97BC}"/>
    <cellStyle name="40% - Accent1 4 6" xfId="2319" xr:uid="{00000000-0005-0000-0000-00004B040000}"/>
    <cellStyle name="40% - Accent1 4 6 2" xfId="6625" xr:uid="{00000000-0005-0000-0000-00004C040000}"/>
    <cellStyle name="40% - Accent1 4 6 2 2" xfId="15075" xr:uid="{47CB8A7E-3E38-4C93-94A3-5D391CB6720A}"/>
    <cellStyle name="40% - Accent1 4 6 3" xfId="10857" xr:uid="{A40E2621-A8DE-4799-89EE-04377E97D84F}"/>
    <cellStyle name="40% - Accent1 4 7" xfId="4559" xr:uid="{00000000-0005-0000-0000-00004D040000}"/>
    <cellStyle name="40% - Accent1 4 7 2" xfId="13009" xr:uid="{9C3CDE3A-2722-40D8-A3C7-8E96BEE799D9}"/>
    <cellStyle name="40% - Accent1 4 8" xfId="8791" xr:uid="{B1339B88-04D9-43D8-97F9-E3B04F46BFB0}"/>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53317E0D-D260-4ED8-8822-AA129DABD814}"/>
    <cellStyle name="40% - Accent1 5 2 3" xfId="11343" xr:uid="{890BD372-DE8A-4F7D-B329-ECFD3A5D7C1C}"/>
    <cellStyle name="40% - Accent1 5 3" xfId="4966" xr:uid="{00000000-0005-0000-0000-000051040000}"/>
    <cellStyle name="40% - Accent1 5 3 2" xfId="13416" xr:uid="{7C675FAA-DCCC-4E7A-A440-0599A37A31AF}"/>
    <cellStyle name="40% - Accent1 5 4" xfId="9198" xr:uid="{D05F981C-1499-4025-8D4B-B77AC0AC732D}"/>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105012E4-4A29-4F5C-B192-2F6A8AD63785}"/>
    <cellStyle name="40% - Accent1 6 2 3" xfId="11756" xr:uid="{B3D85644-6053-4540-AA5F-4C7040D78294}"/>
    <cellStyle name="40% - Accent1 6 3" xfId="5379" xr:uid="{00000000-0005-0000-0000-000055040000}"/>
    <cellStyle name="40% - Accent1 6 3 2" xfId="13829" xr:uid="{45EA1512-8CCF-4CBE-8F30-8A22BC88EEE6}"/>
    <cellStyle name="40% - Accent1 6 4" xfId="9611" xr:uid="{7E796D23-B5CE-4241-BC21-58042770E285}"/>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E24B4B7C-89C6-43DE-840D-4282351A2401}"/>
    <cellStyle name="40% - Accent1 7 2 3" xfId="12169" xr:uid="{A239DB2C-893B-4790-8179-FF1B26113B82}"/>
    <cellStyle name="40% - Accent1 7 3" xfId="5792" xr:uid="{00000000-0005-0000-0000-000059040000}"/>
    <cellStyle name="40% - Accent1 7 3 2" xfId="14242" xr:uid="{084B35F9-E3B9-4DF0-AAD4-E2D1F63CB21C}"/>
    <cellStyle name="40% - Accent1 7 4" xfId="10024" xr:uid="{B129D638-BBB9-4C45-8B81-572F690E1BC1}"/>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C73BCBE0-32A0-4B74-A1B2-451F654F95D2}"/>
    <cellStyle name="40% - Accent1 8 2 3" xfId="12582" xr:uid="{660157D4-6BBC-4137-8037-4D3B713DA384}"/>
    <cellStyle name="40% - Accent1 8 3" xfId="6205" xr:uid="{00000000-0005-0000-0000-00005D040000}"/>
    <cellStyle name="40% - Accent1 8 3 2" xfId="14655" xr:uid="{C0FD07EF-6CED-47EA-941C-D671C5F08F24}"/>
    <cellStyle name="40% - Accent1 8 4" xfId="10437" xr:uid="{FC5A85FC-B785-4CD3-A6D6-F63F5F142F51}"/>
    <cellStyle name="40% - Accent1 9" xfId="2312" xr:uid="{00000000-0005-0000-0000-00005E040000}"/>
    <cellStyle name="40% - Accent1 9 2" xfId="6618" xr:uid="{00000000-0005-0000-0000-00005F040000}"/>
    <cellStyle name="40% - Accent1 9 2 2" xfId="15068" xr:uid="{173122C9-B5D0-4336-8BD0-D62527468F42}"/>
    <cellStyle name="40% - Accent1 9 3" xfId="10850" xr:uid="{C58842D2-521B-4D89-8325-5571A77271AD}"/>
    <cellStyle name="40% - Accent2" xfId="57" builtinId="35" customBuiltin="1"/>
    <cellStyle name="40% - Accent2 10" xfId="4560" xr:uid="{00000000-0005-0000-0000-000061040000}"/>
    <cellStyle name="40% - Accent2 10 2" xfId="13010" xr:uid="{90AD3FB7-DC2F-4434-8BEF-F42CAA7007CD}"/>
    <cellStyle name="40% - Accent2 11" xfId="8792" xr:uid="{95A9F42F-0ADD-4D10-9314-1353E58B857C}"/>
    <cellStyle name="40% - Accent2 2" xfId="58" xr:uid="{00000000-0005-0000-0000-000062040000}"/>
    <cellStyle name="40% - Accent2 2 10" xfId="8793" xr:uid="{52072802-D165-4A57-8208-EB411939771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31E14F00-8FAF-4997-AB26-4710C2FB5953}"/>
    <cellStyle name="40% - Accent2 2 2 2 2 2 3" xfId="11354" xr:uid="{22670B38-83B1-4EE4-AC7F-4CCAB09F884C}"/>
    <cellStyle name="40% - Accent2 2 2 2 2 3" xfId="4977" xr:uid="{00000000-0005-0000-0000-000068040000}"/>
    <cellStyle name="40% - Accent2 2 2 2 2 3 2" xfId="13427" xr:uid="{6AE7741C-C266-4420-9B6A-510FFA388930}"/>
    <cellStyle name="40% - Accent2 2 2 2 2 4" xfId="9209" xr:uid="{DFE70C2C-7F01-4D6F-BDE0-79B3F8FAD3A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C4AFFD1D-B57A-45B3-BE27-8DDD3AD4C5E3}"/>
    <cellStyle name="40% - Accent2 2 2 2 3 2 3" xfId="11767" xr:uid="{31A9F8D5-7B4B-4827-8B13-55EFD51F6F02}"/>
    <cellStyle name="40% - Accent2 2 2 2 3 3" xfId="5390" xr:uid="{00000000-0005-0000-0000-00006C040000}"/>
    <cellStyle name="40% - Accent2 2 2 2 3 3 2" xfId="13840" xr:uid="{A3CA2B28-D8AA-41BB-96E2-B68FDBA093B9}"/>
    <cellStyle name="40% - Accent2 2 2 2 3 4" xfId="9622" xr:uid="{145F0D04-703C-4190-90DC-39DFDD371935}"/>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E5A17963-4815-4AB3-A219-86FC90811B97}"/>
    <cellStyle name="40% - Accent2 2 2 2 4 2 3" xfId="12180" xr:uid="{FDF1F71C-6CA7-47E9-8BE8-5D404C2B9D13}"/>
    <cellStyle name="40% - Accent2 2 2 2 4 3" xfId="5803" xr:uid="{00000000-0005-0000-0000-000070040000}"/>
    <cellStyle name="40% - Accent2 2 2 2 4 3 2" xfId="14253" xr:uid="{C501A143-DD34-4F2B-9EE1-D33E2AE222B4}"/>
    <cellStyle name="40% - Accent2 2 2 2 4 4" xfId="10035" xr:uid="{95B57D82-2C8A-4B67-861C-5B3E2AF604C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8B28CBA9-3DC1-4255-AE55-DD964921D912}"/>
    <cellStyle name="40% - Accent2 2 2 2 5 2 3" xfId="12593" xr:uid="{E2DF11C9-FEE0-4A13-B5AF-7D1AD4166726}"/>
    <cellStyle name="40% - Accent2 2 2 2 5 3" xfId="6216" xr:uid="{00000000-0005-0000-0000-000074040000}"/>
    <cellStyle name="40% - Accent2 2 2 2 5 3 2" xfId="14666" xr:uid="{A73FEEBA-5376-4D9E-9262-BCBDA4B24A18}"/>
    <cellStyle name="40% - Accent2 2 2 2 5 4" xfId="10448" xr:uid="{FFFFB577-5505-4659-B733-C5188156A794}"/>
    <cellStyle name="40% - Accent2 2 2 2 6" xfId="2323" xr:uid="{00000000-0005-0000-0000-000075040000}"/>
    <cellStyle name="40% - Accent2 2 2 2 6 2" xfId="6629" xr:uid="{00000000-0005-0000-0000-000076040000}"/>
    <cellStyle name="40% - Accent2 2 2 2 6 2 2" xfId="15079" xr:uid="{E8A1A04E-0E5A-488E-9566-6BE701C1016A}"/>
    <cellStyle name="40% - Accent2 2 2 2 6 3" xfId="10861" xr:uid="{FE64116A-FA0D-46A8-B2FA-CFB013C8A715}"/>
    <cellStyle name="40% - Accent2 2 2 2 7" xfId="4563" xr:uid="{00000000-0005-0000-0000-000077040000}"/>
    <cellStyle name="40% - Accent2 2 2 2 7 2" xfId="13013" xr:uid="{C3236665-A389-414A-BDDD-6C69C6D3304C}"/>
    <cellStyle name="40% - Accent2 2 2 2 8" xfId="8795" xr:uid="{9EB4360F-65FC-4127-8E90-4102B85D2943}"/>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F98AA093-3384-46A9-9117-A6DA8B9E2675}"/>
    <cellStyle name="40% - Accent2 2 2 3 2 3" xfId="11353" xr:uid="{3BD1B69E-42B1-4E96-BB4A-817595E55D3F}"/>
    <cellStyle name="40% - Accent2 2 2 3 3" xfId="4976" xr:uid="{00000000-0005-0000-0000-00007B040000}"/>
    <cellStyle name="40% - Accent2 2 2 3 3 2" xfId="13426" xr:uid="{8ED1F574-019C-43DD-BC22-4FEFC5E5DA15}"/>
    <cellStyle name="40% - Accent2 2 2 3 4" xfId="9208" xr:uid="{1816E271-25EA-44E2-B891-B94AF7C9D7A3}"/>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51ECCFE5-A87B-4775-84F8-FA4BFAD52486}"/>
    <cellStyle name="40% - Accent2 2 2 4 2 3" xfId="11766" xr:uid="{82F1142D-E0E0-4A57-B680-99CA44E11173}"/>
    <cellStyle name="40% - Accent2 2 2 4 3" xfId="5389" xr:uid="{00000000-0005-0000-0000-00007F040000}"/>
    <cellStyle name="40% - Accent2 2 2 4 3 2" xfId="13839" xr:uid="{410C317C-0FA6-4A9E-9B1E-43688AA3022F}"/>
    <cellStyle name="40% - Accent2 2 2 4 4" xfId="9621" xr:uid="{414A3094-D349-46A0-BB9B-F6564E19878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E3EFBDF0-30CE-418A-BC4D-9C6EB4F9AFCD}"/>
    <cellStyle name="40% - Accent2 2 2 5 2 3" xfId="12179" xr:uid="{8EF7B5A9-9634-4828-9EC5-A09642968FF6}"/>
    <cellStyle name="40% - Accent2 2 2 5 3" xfId="5802" xr:uid="{00000000-0005-0000-0000-000083040000}"/>
    <cellStyle name="40% - Accent2 2 2 5 3 2" xfId="14252" xr:uid="{CE13FC01-7061-4F7D-A572-81FF1AC041A2}"/>
    <cellStyle name="40% - Accent2 2 2 5 4" xfId="10034" xr:uid="{592D9841-56A3-4861-BEFA-9D3176BB4870}"/>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BA97662-2F53-4ADD-B2F9-3EF87B897079}"/>
    <cellStyle name="40% - Accent2 2 2 6 2 3" xfId="12592" xr:uid="{99CC4780-7F4E-4FE0-9F1E-7638FF7268C5}"/>
    <cellStyle name="40% - Accent2 2 2 6 3" xfId="6215" xr:uid="{00000000-0005-0000-0000-000087040000}"/>
    <cellStyle name="40% - Accent2 2 2 6 3 2" xfId="14665" xr:uid="{16535457-C0CF-439E-9452-180BD514E140}"/>
    <cellStyle name="40% - Accent2 2 2 6 4" xfId="10447" xr:uid="{9A4B15D2-8AA7-460E-ACC5-80EB5A547D4F}"/>
    <cellStyle name="40% - Accent2 2 2 7" xfId="2322" xr:uid="{00000000-0005-0000-0000-000088040000}"/>
    <cellStyle name="40% - Accent2 2 2 7 2" xfId="6628" xr:uid="{00000000-0005-0000-0000-000089040000}"/>
    <cellStyle name="40% - Accent2 2 2 7 2 2" xfId="15078" xr:uid="{5D8397C8-6073-4959-B247-4F3D67F79B01}"/>
    <cellStyle name="40% - Accent2 2 2 7 3" xfId="10860" xr:uid="{336C99AE-26D5-47EB-8ABB-24EABAB1834D}"/>
    <cellStyle name="40% - Accent2 2 2 8" xfId="4562" xr:uid="{00000000-0005-0000-0000-00008A040000}"/>
    <cellStyle name="40% - Accent2 2 2 8 2" xfId="13012" xr:uid="{6495AE27-8707-4C3A-BACD-3449D17E1484}"/>
    <cellStyle name="40% - Accent2 2 2 9" xfId="8794" xr:uid="{D9967D13-BFEC-4F07-8D3E-813C17FB5B48}"/>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1B6E1043-87E8-4304-A2CE-931DBB4AA602}"/>
    <cellStyle name="40% - Accent2 2 3 2 2 3" xfId="11355" xr:uid="{DAAFABDF-8E1C-49F3-ACB9-43560FEB9C4B}"/>
    <cellStyle name="40% - Accent2 2 3 2 3" xfId="4978" xr:uid="{00000000-0005-0000-0000-00008F040000}"/>
    <cellStyle name="40% - Accent2 2 3 2 3 2" xfId="13428" xr:uid="{B8C82470-812D-4981-A932-791B5ED41908}"/>
    <cellStyle name="40% - Accent2 2 3 2 4" xfId="9210" xr:uid="{82B59D56-49C8-4C58-8CD4-3C4378F3011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CEDC9F61-B0E8-4D83-BC25-A3FB36373674}"/>
    <cellStyle name="40% - Accent2 2 3 3 2 3" xfId="11768" xr:uid="{AC74CCD1-2C2F-4C33-8053-614D0C79793D}"/>
    <cellStyle name="40% - Accent2 2 3 3 3" xfId="5391" xr:uid="{00000000-0005-0000-0000-000093040000}"/>
    <cellStyle name="40% - Accent2 2 3 3 3 2" xfId="13841" xr:uid="{968566DA-A2ED-4A5C-88F9-243F4617A509}"/>
    <cellStyle name="40% - Accent2 2 3 3 4" xfId="9623" xr:uid="{74C8E711-1F2A-421E-8ACA-7B516B4CEF94}"/>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B745F344-8E5A-41B1-B15C-319F68DAA946}"/>
    <cellStyle name="40% - Accent2 2 3 4 2 3" xfId="12181" xr:uid="{ED1C3F0F-E2DC-4287-AAC8-36A55360D2AB}"/>
    <cellStyle name="40% - Accent2 2 3 4 3" xfId="5804" xr:uid="{00000000-0005-0000-0000-000097040000}"/>
    <cellStyle name="40% - Accent2 2 3 4 3 2" xfId="14254" xr:uid="{F635B76D-53E7-4A8C-B34F-D43587E3A552}"/>
    <cellStyle name="40% - Accent2 2 3 4 4" xfId="10036" xr:uid="{0FD59157-BAB4-4571-81CD-8D3C9F6C2260}"/>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97185BA0-943F-41E2-B436-50F45797664A}"/>
    <cellStyle name="40% - Accent2 2 3 5 2 3" xfId="12594" xr:uid="{B96D9338-D8E3-4E97-9047-176AA900A1BA}"/>
    <cellStyle name="40% - Accent2 2 3 5 3" xfId="6217" xr:uid="{00000000-0005-0000-0000-00009B040000}"/>
    <cellStyle name="40% - Accent2 2 3 5 3 2" xfId="14667" xr:uid="{F1E72977-F0A4-459E-A34D-6D9F80FEB62F}"/>
    <cellStyle name="40% - Accent2 2 3 5 4" xfId="10449" xr:uid="{4C726EF0-9FF5-4727-8BB7-497526969D80}"/>
    <cellStyle name="40% - Accent2 2 3 6" xfId="2324" xr:uid="{00000000-0005-0000-0000-00009C040000}"/>
    <cellStyle name="40% - Accent2 2 3 6 2" xfId="6630" xr:uid="{00000000-0005-0000-0000-00009D040000}"/>
    <cellStyle name="40% - Accent2 2 3 6 2 2" xfId="15080" xr:uid="{82E707D5-E757-48B4-8FFC-D49691B6A73C}"/>
    <cellStyle name="40% - Accent2 2 3 6 3" xfId="10862" xr:uid="{8DD22440-2863-423B-92FD-6315CA6441D3}"/>
    <cellStyle name="40% - Accent2 2 3 7" xfId="4564" xr:uid="{00000000-0005-0000-0000-00009E040000}"/>
    <cellStyle name="40% - Accent2 2 3 7 2" xfId="13014" xr:uid="{C44B09B3-5F8A-48C4-8FC0-33F8BBE3FB73}"/>
    <cellStyle name="40% - Accent2 2 3 8" xfId="8796" xr:uid="{5A6E3D60-E02F-4D1C-B232-F1A8F4593687}"/>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D6829077-B0AB-4CE3-81A8-99BE11CD5269}"/>
    <cellStyle name="40% - Accent2 2 4 2 3" xfId="11352" xr:uid="{A66AB14E-B797-4379-A71F-BC8D6702CDFE}"/>
    <cellStyle name="40% - Accent2 2 4 3" xfId="4975" xr:uid="{00000000-0005-0000-0000-0000A2040000}"/>
    <cellStyle name="40% - Accent2 2 4 3 2" xfId="13425" xr:uid="{5092737B-B0C9-40CB-9084-3F7B8B28AA8D}"/>
    <cellStyle name="40% - Accent2 2 4 4" xfId="9207" xr:uid="{F70EF724-11FB-4710-A577-A5C4B7DB1796}"/>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21B36C86-4468-4532-BBE0-584E1006217B}"/>
    <cellStyle name="40% - Accent2 2 5 2 3" xfId="11765" xr:uid="{5A8A445B-87B7-44A9-AFB5-9FA777C60400}"/>
    <cellStyle name="40% - Accent2 2 5 3" xfId="5388" xr:uid="{00000000-0005-0000-0000-0000A6040000}"/>
    <cellStyle name="40% - Accent2 2 5 3 2" xfId="13838" xr:uid="{3CA83CAF-0072-4260-8C39-BC76355D796A}"/>
    <cellStyle name="40% - Accent2 2 5 4" xfId="9620" xr:uid="{48CD7CF0-981F-4B7A-B322-C2CB1A85DB6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DEE0D63D-08F7-4A72-8A46-13D7FD14F09B}"/>
    <cellStyle name="40% - Accent2 2 6 2 3" xfId="12178" xr:uid="{CFC66967-3707-4A15-B334-29F008311F07}"/>
    <cellStyle name="40% - Accent2 2 6 3" xfId="5801" xr:uid="{00000000-0005-0000-0000-0000AA040000}"/>
    <cellStyle name="40% - Accent2 2 6 3 2" xfId="14251" xr:uid="{3F64162E-1C6B-4BCD-AC39-294581590DC5}"/>
    <cellStyle name="40% - Accent2 2 6 4" xfId="10033" xr:uid="{279560D0-687E-4D9D-99A1-8B89D55BA5CE}"/>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92B50D89-56EB-409A-8064-1FA79BF720F1}"/>
    <cellStyle name="40% - Accent2 2 7 2 3" xfId="12591" xr:uid="{186FF452-0D9F-4E86-B420-27DC6DED5BC3}"/>
    <cellStyle name="40% - Accent2 2 7 3" xfId="6214" xr:uid="{00000000-0005-0000-0000-0000AE040000}"/>
    <cellStyle name="40% - Accent2 2 7 3 2" xfId="14664" xr:uid="{7BEDE1A3-358A-401A-BAA7-C58DB036FC32}"/>
    <cellStyle name="40% - Accent2 2 7 4" xfId="10446" xr:uid="{887053DA-7E9E-4717-A8B4-261DBB09B607}"/>
    <cellStyle name="40% - Accent2 2 8" xfId="2321" xr:uid="{00000000-0005-0000-0000-0000AF040000}"/>
    <cellStyle name="40% - Accent2 2 8 2" xfId="6627" xr:uid="{00000000-0005-0000-0000-0000B0040000}"/>
    <cellStyle name="40% - Accent2 2 8 2 2" xfId="15077" xr:uid="{8C9BA883-D79A-48E9-8738-03D599F238D9}"/>
    <cellStyle name="40% - Accent2 2 8 3" xfId="10859" xr:uid="{1FA70FBF-6E9D-40CD-9AD5-17CC32609087}"/>
    <cellStyle name="40% - Accent2 2 9" xfId="4561" xr:uid="{00000000-0005-0000-0000-0000B1040000}"/>
    <cellStyle name="40% - Accent2 2 9 2" xfId="13011" xr:uid="{BE5474AB-487F-4914-8CFA-5B70533CDADD}"/>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3BF29EAE-FCD7-4A73-9420-77C1353073EB}"/>
    <cellStyle name="40% - Accent2 3 2 2 2 3" xfId="11357" xr:uid="{F13C0CFB-4A3C-4C33-8698-E7D3BF209D07}"/>
    <cellStyle name="40% - Accent2 3 2 2 3" xfId="4980" xr:uid="{00000000-0005-0000-0000-0000B7040000}"/>
    <cellStyle name="40% - Accent2 3 2 2 3 2" xfId="13430" xr:uid="{EA1D2D9A-41A3-453E-94D6-A0671AF71637}"/>
    <cellStyle name="40% - Accent2 3 2 2 4" xfId="9212" xr:uid="{9E0C4C7E-46C4-4C41-AC23-8CF3D6788EC7}"/>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E7C1AB99-EC1E-49A0-AE9A-69114F113D21}"/>
    <cellStyle name="40% - Accent2 3 2 3 2 3" xfId="11770" xr:uid="{00CA4C0A-AC1E-4445-BD55-8D4D9BFCF021}"/>
    <cellStyle name="40% - Accent2 3 2 3 3" xfId="5393" xr:uid="{00000000-0005-0000-0000-0000BB040000}"/>
    <cellStyle name="40% - Accent2 3 2 3 3 2" xfId="13843" xr:uid="{C53D6B2E-766B-4612-A5F7-F6843439287B}"/>
    <cellStyle name="40% - Accent2 3 2 3 4" xfId="9625" xr:uid="{BEE1F04C-7520-4F71-9B2F-78DCBCBE7EC8}"/>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A0AB0E7D-3941-435C-80AB-B1671EC2E27C}"/>
    <cellStyle name="40% - Accent2 3 2 4 2 3" xfId="12183" xr:uid="{5063A1D3-1E72-4142-86F3-D3F7E7359EAE}"/>
    <cellStyle name="40% - Accent2 3 2 4 3" xfId="5806" xr:uid="{00000000-0005-0000-0000-0000BF040000}"/>
    <cellStyle name="40% - Accent2 3 2 4 3 2" xfId="14256" xr:uid="{57D86EE7-117A-482C-A97F-93BDC585BAAD}"/>
    <cellStyle name="40% - Accent2 3 2 4 4" xfId="10038" xr:uid="{EB262E99-408D-47ED-BD23-3A2A77E9BDF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B36A10D1-98B2-4623-877D-BF9DD16D099D}"/>
    <cellStyle name="40% - Accent2 3 2 5 2 3" xfId="12596" xr:uid="{844FBA6F-1A87-413B-B30D-E64C50AAB6DC}"/>
    <cellStyle name="40% - Accent2 3 2 5 3" xfId="6219" xr:uid="{00000000-0005-0000-0000-0000C3040000}"/>
    <cellStyle name="40% - Accent2 3 2 5 3 2" xfId="14669" xr:uid="{26419DEC-CD8E-4D88-A12F-909AB2BD4BF8}"/>
    <cellStyle name="40% - Accent2 3 2 5 4" xfId="10451" xr:uid="{FA986778-FDFE-465E-A0CB-EA3AFEBE487A}"/>
    <cellStyle name="40% - Accent2 3 2 6" xfId="2326" xr:uid="{00000000-0005-0000-0000-0000C4040000}"/>
    <cellStyle name="40% - Accent2 3 2 6 2" xfId="6632" xr:uid="{00000000-0005-0000-0000-0000C5040000}"/>
    <cellStyle name="40% - Accent2 3 2 6 2 2" xfId="15082" xr:uid="{0145AFEC-8133-4B27-A2ED-56AAFBDDB83A}"/>
    <cellStyle name="40% - Accent2 3 2 6 3" xfId="10864" xr:uid="{A3CBA34A-895C-486D-B2F7-9CBABB9E9B39}"/>
    <cellStyle name="40% - Accent2 3 2 7" xfId="4566" xr:uid="{00000000-0005-0000-0000-0000C6040000}"/>
    <cellStyle name="40% - Accent2 3 2 7 2" xfId="13016" xr:uid="{C09DFDEA-8774-4F75-9376-B144DC401DC9}"/>
    <cellStyle name="40% - Accent2 3 2 8" xfId="8798" xr:uid="{0D0D19AD-3AB7-437F-888A-E418FD270556}"/>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CA333EF3-719E-4EF9-9DCE-BE8AB1E9964B}"/>
    <cellStyle name="40% - Accent2 3 3 2 3" xfId="11356" xr:uid="{A26EBE5F-8192-43A0-9ABA-99B0CF406E31}"/>
    <cellStyle name="40% - Accent2 3 3 3" xfId="4979" xr:uid="{00000000-0005-0000-0000-0000CA040000}"/>
    <cellStyle name="40% - Accent2 3 3 3 2" xfId="13429" xr:uid="{1C835469-682D-4B4D-A45F-CCFC919285D4}"/>
    <cellStyle name="40% - Accent2 3 3 4" xfId="9211" xr:uid="{4F821317-ACD6-4710-A428-695969883D49}"/>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3150E581-B1E9-491D-A64C-D7056594B784}"/>
    <cellStyle name="40% - Accent2 3 4 2 3" xfId="11769" xr:uid="{7EF12FCF-12F1-48E3-B245-4BE0F0CE50B8}"/>
    <cellStyle name="40% - Accent2 3 4 3" xfId="5392" xr:uid="{00000000-0005-0000-0000-0000CE040000}"/>
    <cellStyle name="40% - Accent2 3 4 3 2" xfId="13842" xr:uid="{04656983-E876-4444-BDA5-F931CA7C2480}"/>
    <cellStyle name="40% - Accent2 3 4 4" xfId="9624" xr:uid="{EAB2A5D8-C48C-445B-91CD-EBF025A2F07E}"/>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7E6707C6-7FEE-4FB2-A824-70D8ECE4A7DD}"/>
    <cellStyle name="40% - Accent2 3 5 2 3" xfId="12182" xr:uid="{9DDE6F5D-8576-4D27-B457-CBE7240C81AC}"/>
    <cellStyle name="40% - Accent2 3 5 3" xfId="5805" xr:uid="{00000000-0005-0000-0000-0000D2040000}"/>
    <cellStyle name="40% - Accent2 3 5 3 2" xfId="14255" xr:uid="{1B584A46-E8F2-4FC4-8189-AE9B07EA2938}"/>
    <cellStyle name="40% - Accent2 3 5 4" xfId="10037" xr:uid="{0B9E43DB-39E9-412C-8097-DBBFA81BB237}"/>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5F299C97-2A24-44EC-9D8C-F3222BBF5ABD}"/>
    <cellStyle name="40% - Accent2 3 6 2 3" xfId="12595" xr:uid="{52CA90AC-3D9A-41B6-BEF2-AE60C9111FF7}"/>
    <cellStyle name="40% - Accent2 3 6 3" xfId="6218" xr:uid="{00000000-0005-0000-0000-0000D6040000}"/>
    <cellStyle name="40% - Accent2 3 6 3 2" xfId="14668" xr:uid="{1519BC13-AA84-47C6-82D2-4B3BA0018A15}"/>
    <cellStyle name="40% - Accent2 3 6 4" xfId="10450" xr:uid="{D72A3B40-CA5D-4B4D-8DB3-29BE13AA22CF}"/>
    <cellStyle name="40% - Accent2 3 7" xfId="2325" xr:uid="{00000000-0005-0000-0000-0000D7040000}"/>
    <cellStyle name="40% - Accent2 3 7 2" xfId="6631" xr:uid="{00000000-0005-0000-0000-0000D8040000}"/>
    <cellStyle name="40% - Accent2 3 7 2 2" xfId="15081" xr:uid="{42354A55-D575-478C-90FB-5EEF021BA5EB}"/>
    <cellStyle name="40% - Accent2 3 7 3" xfId="10863" xr:uid="{4A34F5A5-ED4D-442B-A714-682ABADD487E}"/>
    <cellStyle name="40% - Accent2 3 8" xfId="4565" xr:uid="{00000000-0005-0000-0000-0000D9040000}"/>
    <cellStyle name="40% - Accent2 3 8 2" xfId="13015" xr:uid="{761B8A90-0F1C-4DEF-A091-D4E397B97FCA}"/>
    <cellStyle name="40% - Accent2 3 9" xfId="8797" xr:uid="{AB7765C6-DBF7-4102-A064-D0935EC8E24D}"/>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38C9D5B6-0138-4B58-8BD8-0FBCF6C662D3}"/>
    <cellStyle name="40% - Accent2 4 2 2 3" xfId="11358" xr:uid="{767F91CD-BF8C-4813-826F-AB5962612E35}"/>
    <cellStyle name="40% - Accent2 4 2 3" xfId="4981" xr:uid="{00000000-0005-0000-0000-0000DE040000}"/>
    <cellStyle name="40% - Accent2 4 2 3 2" xfId="13431" xr:uid="{0160A0E1-E8A4-434E-BAA3-17A66E750E48}"/>
    <cellStyle name="40% - Accent2 4 2 4" xfId="9213" xr:uid="{812CB7AB-9324-4570-AF1A-DD03D299108D}"/>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E4509DE6-2D8A-4885-AAA9-360A96DDC192}"/>
    <cellStyle name="40% - Accent2 4 3 2 3" xfId="11771" xr:uid="{348ECB24-AA8F-45EA-AC03-5BAEA1DCD4F1}"/>
    <cellStyle name="40% - Accent2 4 3 3" xfId="5394" xr:uid="{00000000-0005-0000-0000-0000E2040000}"/>
    <cellStyle name="40% - Accent2 4 3 3 2" xfId="13844" xr:uid="{26F778E0-2ABB-4E1E-82DA-A81195FAD8F7}"/>
    <cellStyle name="40% - Accent2 4 3 4" xfId="9626" xr:uid="{9BA86CD7-921F-4551-B02C-0C4717CFD9F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E8093995-82B5-47A2-B5BB-C3FF0944FC97}"/>
    <cellStyle name="40% - Accent2 4 4 2 3" xfId="12184" xr:uid="{F60823E3-CABA-4E17-9A1F-4451BD97BE11}"/>
    <cellStyle name="40% - Accent2 4 4 3" xfId="5807" xr:uid="{00000000-0005-0000-0000-0000E6040000}"/>
    <cellStyle name="40% - Accent2 4 4 3 2" xfId="14257" xr:uid="{8C4669D8-D216-4D7B-8B82-F755F7FF9F2E}"/>
    <cellStyle name="40% - Accent2 4 4 4" xfId="10039" xr:uid="{1A8BE5CD-D64A-4E23-A0F8-763F9B69CD8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10D71FC9-71E1-4EEC-A341-CE31CD4608AB}"/>
    <cellStyle name="40% - Accent2 4 5 2 3" xfId="12597" xr:uid="{567A0018-B199-4918-9099-DAF2802D55A0}"/>
    <cellStyle name="40% - Accent2 4 5 3" xfId="6220" xr:uid="{00000000-0005-0000-0000-0000EA040000}"/>
    <cellStyle name="40% - Accent2 4 5 3 2" xfId="14670" xr:uid="{CCEA0E07-0555-4AE4-A702-7E20FBE73679}"/>
    <cellStyle name="40% - Accent2 4 5 4" xfId="10452" xr:uid="{6F4094D6-1F86-4183-A90C-198AE40E7923}"/>
    <cellStyle name="40% - Accent2 4 6" xfId="2327" xr:uid="{00000000-0005-0000-0000-0000EB040000}"/>
    <cellStyle name="40% - Accent2 4 6 2" xfId="6633" xr:uid="{00000000-0005-0000-0000-0000EC040000}"/>
    <cellStyle name="40% - Accent2 4 6 2 2" xfId="15083" xr:uid="{AD86CF6F-4B74-46F4-AD17-3FB496592F66}"/>
    <cellStyle name="40% - Accent2 4 6 3" xfId="10865" xr:uid="{70E5D047-2F23-40A9-A712-BE61863D609F}"/>
    <cellStyle name="40% - Accent2 4 7" xfId="4567" xr:uid="{00000000-0005-0000-0000-0000ED040000}"/>
    <cellStyle name="40% - Accent2 4 7 2" xfId="13017" xr:uid="{78A1267F-E29E-4899-9CA0-7F19B49F440A}"/>
    <cellStyle name="40% - Accent2 4 8" xfId="8799" xr:uid="{555AC09E-D9A8-473D-85AE-60CF71C33E8A}"/>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45604C13-CBD5-42B0-BEA7-721E8C7BC2A1}"/>
    <cellStyle name="40% - Accent2 5 2 3" xfId="11351" xr:uid="{2115B930-04C6-4BEB-9D75-225E9527FD38}"/>
    <cellStyle name="40% - Accent2 5 3" xfId="4974" xr:uid="{00000000-0005-0000-0000-0000F1040000}"/>
    <cellStyle name="40% - Accent2 5 3 2" xfId="13424" xr:uid="{049527BB-45E9-404C-8504-1861B47CFA8D}"/>
    <cellStyle name="40% - Accent2 5 4" xfId="9206" xr:uid="{C1CCA248-CBD9-4887-AE12-C658552C9250}"/>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D103C9FA-7EC5-46AE-8BF4-BE33C289991F}"/>
    <cellStyle name="40% - Accent2 6 2 3" xfId="11764" xr:uid="{9F2DFCF0-49A8-4B19-A967-0484FB1AAC82}"/>
    <cellStyle name="40% - Accent2 6 3" xfId="5387" xr:uid="{00000000-0005-0000-0000-0000F5040000}"/>
    <cellStyle name="40% - Accent2 6 3 2" xfId="13837" xr:uid="{1FB94A45-7D46-4775-8589-0CAF5E3A4C60}"/>
    <cellStyle name="40% - Accent2 6 4" xfId="9619" xr:uid="{AB124326-3BB6-494F-9B66-E7BADCF66EBA}"/>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C9EFF7E7-4A25-48CA-9F62-707732BE649F}"/>
    <cellStyle name="40% - Accent2 7 2 3" xfId="12177" xr:uid="{1662D791-1AC4-4E98-8DE5-CB6F39EE3264}"/>
    <cellStyle name="40% - Accent2 7 3" xfId="5800" xr:uid="{00000000-0005-0000-0000-0000F9040000}"/>
    <cellStyle name="40% - Accent2 7 3 2" xfId="14250" xr:uid="{42C0C230-89E9-414D-A096-B947B1454026}"/>
    <cellStyle name="40% - Accent2 7 4" xfId="10032" xr:uid="{0C0CE203-95C5-4242-A612-41FF89FC4797}"/>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70E2545F-BB91-4025-BD22-3FA5B015D915}"/>
    <cellStyle name="40% - Accent2 8 2 3" xfId="12590" xr:uid="{1FC56DFD-18CD-436C-AAF0-1F84402D530F}"/>
    <cellStyle name="40% - Accent2 8 3" xfId="6213" xr:uid="{00000000-0005-0000-0000-0000FD040000}"/>
    <cellStyle name="40% - Accent2 8 3 2" xfId="14663" xr:uid="{B6520279-96B1-4A8E-9AF3-D4587E6DC14C}"/>
    <cellStyle name="40% - Accent2 8 4" xfId="10445" xr:uid="{2EA6D2F1-786E-4FD4-9197-F659362E0756}"/>
    <cellStyle name="40% - Accent2 9" xfId="2320" xr:uid="{00000000-0005-0000-0000-0000FE040000}"/>
    <cellStyle name="40% - Accent2 9 2" xfId="6626" xr:uid="{00000000-0005-0000-0000-0000FF040000}"/>
    <cellStyle name="40% - Accent2 9 2 2" xfId="15076" xr:uid="{2C2B652C-2F2D-4727-8CA7-116DAB85F1B6}"/>
    <cellStyle name="40% - Accent2 9 3" xfId="10858" xr:uid="{54B80304-7802-45BC-BF92-3EC510D572E3}"/>
    <cellStyle name="40% - Accent3" xfId="65" builtinId="39" customBuiltin="1"/>
    <cellStyle name="40% - Accent3 10" xfId="4568" xr:uid="{00000000-0005-0000-0000-000001050000}"/>
    <cellStyle name="40% - Accent3 10 2" xfId="13018" xr:uid="{276ED250-8D8B-475D-A1C0-103058081355}"/>
    <cellStyle name="40% - Accent3 11" xfId="8800" xr:uid="{D284E423-9FB5-4773-9496-9586EC2D5604}"/>
    <cellStyle name="40% - Accent3 2" xfId="66" xr:uid="{00000000-0005-0000-0000-000002050000}"/>
    <cellStyle name="40% - Accent3 2 10" xfId="8801" xr:uid="{B039678D-4397-4F6E-B518-BCA516FD54E4}"/>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1F1BE90E-0457-48CF-921F-16D97A7CC0C3}"/>
    <cellStyle name="40% - Accent3 2 2 2 2 2 3" xfId="11362" xr:uid="{22AA02F1-FA3D-4601-8F96-0E123042EFD8}"/>
    <cellStyle name="40% - Accent3 2 2 2 2 3" xfId="4985" xr:uid="{00000000-0005-0000-0000-000008050000}"/>
    <cellStyle name="40% - Accent3 2 2 2 2 3 2" xfId="13435" xr:uid="{105B5569-549C-47B9-ADEB-B4DCF8A5C039}"/>
    <cellStyle name="40% - Accent3 2 2 2 2 4" xfId="9217" xr:uid="{184413E2-C4E0-4164-BD7A-9A4E5C8BF1F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450AB111-8095-46FB-838C-A33DC6EB2DF1}"/>
    <cellStyle name="40% - Accent3 2 2 2 3 2 3" xfId="11775" xr:uid="{F9CB068C-C2FD-4427-BB14-BD0B3AF9D425}"/>
    <cellStyle name="40% - Accent3 2 2 2 3 3" xfId="5398" xr:uid="{00000000-0005-0000-0000-00000C050000}"/>
    <cellStyle name="40% - Accent3 2 2 2 3 3 2" xfId="13848" xr:uid="{6E91CEEF-B905-4202-AAFB-565FFAE9233B}"/>
    <cellStyle name="40% - Accent3 2 2 2 3 4" xfId="9630" xr:uid="{B5A5A2E5-2056-4972-9CAF-C800CAB8C6BF}"/>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E5FD5CF4-BA55-413C-8B36-30CA78CECE03}"/>
    <cellStyle name="40% - Accent3 2 2 2 4 2 3" xfId="12188" xr:uid="{62B2968A-9AC8-4CE4-9943-BC6D22BE39B4}"/>
    <cellStyle name="40% - Accent3 2 2 2 4 3" xfId="5811" xr:uid="{00000000-0005-0000-0000-000010050000}"/>
    <cellStyle name="40% - Accent3 2 2 2 4 3 2" xfId="14261" xr:uid="{A6E45ED9-BD01-4415-96B8-F3F3F54409F0}"/>
    <cellStyle name="40% - Accent3 2 2 2 4 4" xfId="10043" xr:uid="{EB92E701-E482-4A37-9D98-8EEFE282F623}"/>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9F2FF05C-0CA9-4338-8118-5E37C0C7B856}"/>
    <cellStyle name="40% - Accent3 2 2 2 5 2 3" xfId="12601" xr:uid="{2F890EB6-FC55-41C0-8AFB-709A2B8C074E}"/>
    <cellStyle name="40% - Accent3 2 2 2 5 3" xfId="6224" xr:uid="{00000000-0005-0000-0000-000014050000}"/>
    <cellStyle name="40% - Accent3 2 2 2 5 3 2" xfId="14674" xr:uid="{D526C7BD-6B4F-4414-A33C-3331BC607962}"/>
    <cellStyle name="40% - Accent3 2 2 2 5 4" xfId="10456" xr:uid="{10342293-637A-44A9-8F67-0C9045DF85A2}"/>
    <cellStyle name="40% - Accent3 2 2 2 6" xfId="2331" xr:uid="{00000000-0005-0000-0000-000015050000}"/>
    <cellStyle name="40% - Accent3 2 2 2 6 2" xfId="6637" xr:uid="{00000000-0005-0000-0000-000016050000}"/>
    <cellStyle name="40% - Accent3 2 2 2 6 2 2" xfId="15087" xr:uid="{5D86EB01-D46F-4EF2-8179-BF39513331E7}"/>
    <cellStyle name="40% - Accent3 2 2 2 6 3" xfId="10869" xr:uid="{9B6D9159-AD3C-46C7-83B0-17C8B4426214}"/>
    <cellStyle name="40% - Accent3 2 2 2 7" xfId="4571" xr:uid="{00000000-0005-0000-0000-000017050000}"/>
    <cellStyle name="40% - Accent3 2 2 2 7 2" xfId="13021" xr:uid="{972789A1-A965-454E-839A-41D0E1D6DE32}"/>
    <cellStyle name="40% - Accent3 2 2 2 8" xfId="8803" xr:uid="{61F5A49A-980B-4226-998F-10533D5B6B8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A207D6FE-BA5D-46A3-8116-461C2DFDFC93}"/>
    <cellStyle name="40% - Accent3 2 2 3 2 3" xfId="11361" xr:uid="{B435EE21-57B4-4E4F-9BAB-3B0280E9AD09}"/>
    <cellStyle name="40% - Accent3 2 2 3 3" xfId="4984" xr:uid="{00000000-0005-0000-0000-00001B050000}"/>
    <cellStyle name="40% - Accent3 2 2 3 3 2" xfId="13434" xr:uid="{B4A1D559-4E8D-491B-BC0F-05670BA84FB4}"/>
    <cellStyle name="40% - Accent3 2 2 3 4" xfId="9216" xr:uid="{89A30D25-DE38-4D3A-8F32-D0DDCF3A2930}"/>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98404EBB-8C15-470D-BD0C-5CD01450004D}"/>
    <cellStyle name="40% - Accent3 2 2 4 2 3" xfId="11774" xr:uid="{2AAE7BA4-C599-45CE-89E6-8E0E39FCB68C}"/>
    <cellStyle name="40% - Accent3 2 2 4 3" xfId="5397" xr:uid="{00000000-0005-0000-0000-00001F050000}"/>
    <cellStyle name="40% - Accent3 2 2 4 3 2" xfId="13847" xr:uid="{C8EBB529-5D38-4DB7-AEBA-7B0626CEF58C}"/>
    <cellStyle name="40% - Accent3 2 2 4 4" xfId="9629" xr:uid="{DB2B8E78-10B5-4BAC-AD43-FBAAD5AC3CB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22F87B30-99D7-4334-A7A6-9D9CBC2FF76B}"/>
    <cellStyle name="40% - Accent3 2 2 5 2 3" xfId="12187" xr:uid="{0F7BB0EB-0BFF-42A9-8B09-5EEF2609E0E8}"/>
    <cellStyle name="40% - Accent3 2 2 5 3" xfId="5810" xr:uid="{00000000-0005-0000-0000-000023050000}"/>
    <cellStyle name="40% - Accent3 2 2 5 3 2" xfId="14260" xr:uid="{A2BD1B3A-8E21-4859-BF04-461E02EDBCEF}"/>
    <cellStyle name="40% - Accent3 2 2 5 4" xfId="10042" xr:uid="{6317AE08-C15C-44BE-9198-C60AF11962A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888C69E2-9D05-4757-90AC-73DEA990EF22}"/>
    <cellStyle name="40% - Accent3 2 2 6 2 3" xfId="12600" xr:uid="{A1C3B771-86A3-47FB-AA43-386CD8E5EAC0}"/>
    <cellStyle name="40% - Accent3 2 2 6 3" xfId="6223" xr:uid="{00000000-0005-0000-0000-000027050000}"/>
    <cellStyle name="40% - Accent3 2 2 6 3 2" xfId="14673" xr:uid="{4EFB6A52-AA7E-4544-9531-A2ABAE634136}"/>
    <cellStyle name="40% - Accent3 2 2 6 4" xfId="10455" xr:uid="{032F6263-8887-476F-A9BA-523F05A0FC24}"/>
    <cellStyle name="40% - Accent3 2 2 7" xfId="2330" xr:uid="{00000000-0005-0000-0000-000028050000}"/>
    <cellStyle name="40% - Accent3 2 2 7 2" xfId="6636" xr:uid="{00000000-0005-0000-0000-000029050000}"/>
    <cellStyle name="40% - Accent3 2 2 7 2 2" xfId="15086" xr:uid="{23DDDC12-A354-48CC-9E3A-1712893BA13A}"/>
    <cellStyle name="40% - Accent3 2 2 7 3" xfId="10868" xr:uid="{02659C71-D938-45AA-B544-829BF67130D0}"/>
    <cellStyle name="40% - Accent3 2 2 8" xfId="4570" xr:uid="{00000000-0005-0000-0000-00002A050000}"/>
    <cellStyle name="40% - Accent3 2 2 8 2" xfId="13020" xr:uid="{C6E5D6DC-D639-45C0-A0ED-31DA71B819BF}"/>
    <cellStyle name="40% - Accent3 2 2 9" xfId="8802" xr:uid="{52109EE0-AC8D-4F41-A9A6-2CFBF67757A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CBC95E70-6469-49A8-AFFE-DF720E92D7A1}"/>
    <cellStyle name="40% - Accent3 2 3 2 2 3" xfId="11363" xr:uid="{F1D13FFA-41E4-44A9-A7A7-F8BD6D614416}"/>
    <cellStyle name="40% - Accent3 2 3 2 3" xfId="4986" xr:uid="{00000000-0005-0000-0000-00002F050000}"/>
    <cellStyle name="40% - Accent3 2 3 2 3 2" xfId="13436" xr:uid="{C3846944-3C94-4DE8-ABD7-8FB5FB9BEF39}"/>
    <cellStyle name="40% - Accent3 2 3 2 4" xfId="9218" xr:uid="{5E8C872C-8F2D-428B-A334-41550E63E9F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4438FB78-295E-4C77-9D8F-8DDB4C0BE79E}"/>
    <cellStyle name="40% - Accent3 2 3 3 2 3" xfId="11776" xr:uid="{22A53F53-E440-4309-9873-F50B589B96A1}"/>
    <cellStyle name="40% - Accent3 2 3 3 3" xfId="5399" xr:uid="{00000000-0005-0000-0000-000033050000}"/>
    <cellStyle name="40% - Accent3 2 3 3 3 2" xfId="13849" xr:uid="{337BBAD3-205B-4FEA-AEE7-A1AC37C6DC32}"/>
    <cellStyle name="40% - Accent3 2 3 3 4" xfId="9631" xr:uid="{1A141FDE-039D-4CA8-8241-1E06A66AA68B}"/>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69469BBF-BEC1-4410-93CD-8A8EA5771BA9}"/>
    <cellStyle name="40% - Accent3 2 3 4 2 3" xfId="12189" xr:uid="{F5854692-CEFC-423C-98F1-D27F7945CD59}"/>
    <cellStyle name="40% - Accent3 2 3 4 3" xfId="5812" xr:uid="{00000000-0005-0000-0000-000037050000}"/>
    <cellStyle name="40% - Accent3 2 3 4 3 2" xfId="14262" xr:uid="{D5B039B9-C9A7-4390-A527-3FD03335D4EE}"/>
    <cellStyle name="40% - Accent3 2 3 4 4" xfId="10044" xr:uid="{3EDC7CA1-E924-4557-AA7B-E97487E14614}"/>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BA2A6811-958F-46E3-A262-A64459CC0D42}"/>
    <cellStyle name="40% - Accent3 2 3 5 2 3" xfId="12602" xr:uid="{A2189BD3-6C7B-4A7B-9ED0-6525429FEB36}"/>
    <cellStyle name="40% - Accent3 2 3 5 3" xfId="6225" xr:uid="{00000000-0005-0000-0000-00003B050000}"/>
    <cellStyle name="40% - Accent3 2 3 5 3 2" xfId="14675" xr:uid="{51107661-4A8C-482A-8937-904FA4E4553E}"/>
    <cellStyle name="40% - Accent3 2 3 5 4" xfId="10457" xr:uid="{5E4415FA-D97F-4C2B-89B0-E6D0C5384D18}"/>
    <cellStyle name="40% - Accent3 2 3 6" xfId="2332" xr:uid="{00000000-0005-0000-0000-00003C050000}"/>
    <cellStyle name="40% - Accent3 2 3 6 2" xfId="6638" xr:uid="{00000000-0005-0000-0000-00003D050000}"/>
    <cellStyle name="40% - Accent3 2 3 6 2 2" xfId="15088" xr:uid="{2940E821-0112-4D3D-83C0-8BDCD0C3EB1E}"/>
    <cellStyle name="40% - Accent3 2 3 6 3" xfId="10870" xr:uid="{E4807974-892E-48BE-A6E3-9BB63B38DB09}"/>
    <cellStyle name="40% - Accent3 2 3 7" xfId="4572" xr:uid="{00000000-0005-0000-0000-00003E050000}"/>
    <cellStyle name="40% - Accent3 2 3 7 2" xfId="13022" xr:uid="{34C52A2A-72D0-4552-AD36-59B9D2F04218}"/>
    <cellStyle name="40% - Accent3 2 3 8" xfId="8804" xr:uid="{F7AB4D1C-972C-4DEA-B807-A3F938A2A4B8}"/>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E8C906CA-E572-4842-8DBB-95C780E30A48}"/>
    <cellStyle name="40% - Accent3 2 4 2 3" xfId="11360" xr:uid="{BA0CE1AD-EF1D-45D4-A438-6A33AC0522A5}"/>
    <cellStyle name="40% - Accent3 2 4 3" xfId="4983" xr:uid="{00000000-0005-0000-0000-000042050000}"/>
    <cellStyle name="40% - Accent3 2 4 3 2" xfId="13433" xr:uid="{D0C4F730-879F-4023-AFE8-4919E870C3B6}"/>
    <cellStyle name="40% - Accent3 2 4 4" xfId="9215" xr:uid="{E19C8A76-D234-488F-AD23-8CB0844E453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A2919BEF-9248-4055-A7CF-0769541DCB61}"/>
    <cellStyle name="40% - Accent3 2 5 2 3" xfId="11773" xr:uid="{B4A7BCA8-BFD6-4667-8A71-B45033EED175}"/>
    <cellStyle name="40% - Accent3 2 5 3" xfId="5396" xr:uid="{00000000-0005-0000-0000-000046050000}"/>
    <cellStyle name="40% - Accent3 2 5 3 2" xfId="13846" xr:uid="{56C2F200-20F1-42EA-897F-BEE1E8D55CF7}"/>
    <cellStyle name="40% - Accent3 2 5 4" xfId="9628" xr:uid="{456694E4-C734-4688-9298-1A434DB60C30}"/>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6B3F808E-F350-4D14-B084-FA05C780872A}"/>
    <cellStyle name="40% - Accent3 2 6 2 3" xfId="12186" xr:uid="{9F3D4E15-ED84-40CD-A015-6EADEE53C371}"/>
    <cellStyle name="40% - Accent3 2 6 3" xfId="5809" xr:uid="{00000000-0005-0000-0000-00004A050000}"/>
    <cellStyle name="40% - Accent3 2 6 3 2" xfId="14259" xr:uid="{C5157FCB-B9E6-43E3-A531-6C2910E35ADC}"/>
    <cellStyle name="40% - Accent3 2 6 4" xfId="10041" xr:uid="{BB92D5B9-7259-48F8-95AC-7AB8952CB031}"/>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2A582AD4-87A0-4661-B100-9F67AD7F11D4}"/>
    <cellStyle name="40% - Accent3 2 7 2 3" xfId="12599" xr:uid="{4A6BA374-72BE-4926-A06A-36C2FBEFFC11}"/>
    <cellStyle name="40% - Accent3 2 7 3" xfId="6222" xr:uid="{00000000-0005-0000-0000-00004E050000}"/>
    <cellStyle name="40% - Accent3 2 7 3 2" xfId="14672" xr:uid="{AE9BEA00-BFAE-4B66-B08F-B131F43C2884}"/>
    <cellStyle name="40% - Accent3 2 7 4" xfId="10454" xr:uid="{44D8E933-9EE0-4A13-A5BC-73A6723EFF8E}"/>
    <cellStyle name="40% - Accent3 2 8" xfId="2329" xr:uid="{00000000-0005-0000-0000-00004F050000}"/>
    <cellStyle name="40% - Accent3 2 8 2" xfId="6635" xr:uid="{00000000-0005-0000-0000-000050050000}"/>
    <cellStyle name="40% - Accent3 2 8 2 2" xfId="15085" xr:uid="{95D6AE3F-B8D2-426B-8F65-A77F71F713C6}"/>
    <cellStyle name="40% - Accent3 2 8 3" xfId="10867" xr:uid="{256CB1A0-D6D0-4398-B3AA-DCED379D1DCA}"/>
    <cellStyle name="40% - Accent3 2 9" xfId="4569" xr:uid="{00000000-0005-0000-0000-000051050000}"/>
    <cellStyle name="40% - Accent3 2 9 2" xfId="13019" xr:uid="{924CC341-8BE3-42E4-8C74-8B316054404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B0B54D0A-C39F-4FA2-9ACE-78ED31B087AA}"/>
    <cellStyle name="40% - Accent3 3 2 2 2 3" xfId="11365" xr:uid="{CE3A735B-80E4-4923-8DB1-F7233847F50A}"/>
    <cellStyle name="40% - Accent3 3 2 2 3" xfId="4988" xr:uid="{00000000-0005-0000-0000-000057050000}"/>
    <cellStyle name="40% - Accent3 3 2 2 3 2" xfId="13438" xr:uid="{9D750CFA-E9BF-4235-B902-7542AD12C06A}"/>
    <cellStyle name="40% - Accent3 3 2 2 4" xfId="9220" xr:uid="{DED0E8FD-CAB3-43AE-B107-C4FCBB0249A9}"/>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7609EAB2-0899-4B06-B0B1-1A5FE357602E}"/>
    <cellStyle name="40% - Accent3 3 2 3 2 3" xfId="11778" xr:uid="{F75331E8-DAF0-4EE1-8AB8-A3A5DB0354DA}"/>
    <cellStyle name="40% - Accent3 3 2 3 3" xfId="5401" xr:uid="{00000000-0005-0000-0000-00005B050000}"/>
    <cellStyle name="40% - Accent3 3 2 3 3 2" xfId="13851" xr:uid="{BC8BF6C6-F282-462B-A265-8581BC5D1F21}"/>
    <cellStyle name="40% - Accent3 3 2 3 4" xfId="9633" xr:uid="{8486A490-C8F8-486B-8068-9A9A61E37879}"/>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9C8B7CED-9DB4-46E1-8FCE-6F5F422BDB8D}"/>
    <cellStyle name="40% - Accent3 3 2 4 2 3" xfId="12191" xr:uid="{E152F79C-F3DA-4C80-9C19-DE981403ACF8}"/>
    <cellStyle name="40% - Accent3 3 2 4 3" xfId="5814" xr:uid="{00000000-0005-0000-0000-00005F050000}"/>
    <cellStyle name="40% - Accent3 3 2 4 3 2" xfId="14264" xr:uid="{24F9811A-0CB5-4CB8-9DEC-11265692C38E}"/>
    <cellStyle name="40% - Accent3 3 2 4 4" xfId="10046" xr:uid="{73FFA6BA-C2EF-413D-98FA-0ECE2669DDA6}"/>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073B6231-80DE-442E-8E43-B6F95E587CF8}"/>
    <cellStyle name="40% - Accent3 3 2 5 2 3" xfId="12604" xr:uid="{84C9646A-27D3-4548-9FF1-92EA38AC7E55}"/>
    <cellStyle name="40% - Accent3 3 2 5 3" xfId="6227" xr:uid="{00000000-0005-0000-0000-000063050000}"/>
    <cellStyle name="40% - Accent3 3 2 5 3 2" xfId="14677" xr:uid="{F916393B-AB29-4EBC-893D-A50DFA7D84AB}"/>
    <cellStyle name="40% - Accent3 3 2 5 4" xfId="10459" xr:uid="{99B0B29D-4BB7-4827-88BB-65FF812C5BEE}"/>
    <cellStyle name="40% - Accent3 3 2 6" xfId="2334" xr:uid="{00000000-0005-0000-0000-000064050000}"/>
    <cellStyle name="40% - Accent3 3 2 6 2" xfId="6640" xr:uid="{00000000-0005-0000-0000-000065050000}"/>
    <cellStyle name="40% - Accent3 3 2 6 2 2" xfId="15090" xr:uid="{CBEB81EC-A473-4255-976A-8F77001B715E}"/>
    <cellStyle name="40% - Accent3 3 2 6 3" xfId="10872" xr:uid="{26C79A17-663D-411F-A99F-9FBC6E624DA7}"/>
    <cellStyle name="40% - Accent3 3 2 7" xfId="4574" xr:uid="{00000000-0005-0000-0000-000066050000}"/>
    <cellStyle name="40% - Accent3 3 2 7 2" xfId="13024" xr:uid="{E12666EC-8D85-4543-80C5-FDAD33E377DB}"/>
    <cellStyle name="40% - Accent3 3 2 8" xfId="8806" xr:uid="{D1C33AD2-13BE-4995-BF8C-AE44F26006B3}"/>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B384AB3F-2D35-4405-B0F5-CBA3DB87C1D6}"/>
    <cellStyle name="40% - Accent3 3 3 2 3" xfId="11364" xr:uid="{150D0558-03BA-4EFA-846C-EAC6579FB69F}"/>
    <cellStyle name="40% - Accent3 3 3 3" xfId="4987" xr:uid="{00000000-0005-0000-0000-00006A050000}"/>
    <cellStyle name="40% - Accent3 3 3 3 2" xfId="13437" xr:uid="{642DFB65-EC54-4CE5-BAD4-85D3F0C436B6}"/>
    <cellStyle name="40% - Accent3 3 3 4" xfId="9219" xr:uid="{AA2EF8DA-932C-4ABD-BBAC-DFCDEDFDC51C}"/>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D3347FC5-4F67-4245-8A53-AAF271D0ADBF}"/>
    <cellStyle name="40% - Accent3 3 4 2 3" xfId="11777" xr:uid="{E6E2F7E7-A82D-47DD-9FDB-13A61F4B94F4}"/>
    <cellStyle name="40% - Accent3 3 4 3" xfId="5400" xr:uid="{00000000-0005-0000-0000-00006E050000}"/>
    <cellStyle name="40% - Accent3 3 4 3 2" xfId="13850" xr:uid="{7DB69BBC-0C27-404F-B863-CF051279E9B5}"/>
    <cellStyle name="40% - Accent3 3 4 4" xfId="9632" xr:uid="{F03A2C32-5601-449D-9FC9-FF361CE69F73}"/>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DB75074D-ABD4-44D7-8494-4D8ADD007F0F}"/>
    <cellStyle name="40% - Accent3 3 5 2 3" xfId="12190" xr:uid="{BEE9EA53-E03F-441D-9615-8BA119A6F2DB}"/>
    <cellStyle name="40% - Accent3 3 5 3" xfId="5813" xr:uid="{00000000-0005-0000-0000-000072050000}"/>
    <cellStyle name="40% - Accent3 3 5 3 2" xfId="14263" xr:uid="{E74F9639-24ED-4CF6-A379-9E569287E077}"/>
    <cellStyle name="40% - Accent3 3 5 4" xfId="10045" xr:uid="{433D6962-541E-4FD1-8641-5DA3121E1C7D}"/>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D090DBA6-3D2C-49AE-8929-BB685DEA2B29}"/>
    <cellStyle name="40% - Accent3 3 6 2 3" xfId="12603" xr:uid="{70219A71-8A54-4C83-8950-05A9155B643C}"/>
    <cellStyle name="40% - Accent3 3 6 3" xfId="6226" xr:uid="{00000000-0005-0000-0000-000076050000}"/>
    <cellStyle name="40% - Accent3 3 6 3 2" xfId="14676" xr:uid="{4D931EFB-1D3E-4C4D-999E-DA666965296F}"/>
    <cellStyle name="40% - Accent3 3 6 4" xfId="10458" xr:uid="{36537F31-44B0-4351-8396-2168EEAD144C}"/>
    <cellStyle name="40% - Accent3 3 7" xfId="2333" xr:uid="{00000000-0005-0000-0000-000077050000}"/>
    <cellStyle name="40% - Accent3 3 7 2" xfId="6639" xr:uid="{00000000-0005-0000-0000-000078050000}"/>
    <cellStyle name="40% - Accent3 3 7 2 2" xfId="15089" xr:uid="{16CA53C7-5E5C-4A32-B601-474A9ED4590F}"/>
    <cellStyle name="40% - Accent3 3 7 3" xfId="10871" xr:uid="{CB85690F-E390-4B05-BE86-25A4FFF29639}"/>
    <cellStyle name="40% - Accent3 3 8" xfId="4573" xr:uid="{00000000-0005-0000-0000-000079050000}"/>
    <cellStyle name="40% - Accent3 3 8 2" xfId="13023" xr:uid="{66F684DC-CE89-4DF0-B80B-F779081B95D3}"/>
    <cellStyle name="40% - Accent3 3 9" xfId="8805" xr:uid="{67C9658C-CED9-4114-9A0F-C4BE8776BB0C}"/>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900F8403-376D-4314-AB6A-8FE702A722F8}"/>
    <cellStyle name="40% - Accent3 4 2 2 3" xfId="11366" xr:uid="{DC991198-A3CE-4229-AFC7-67811893AC1F}"/>
    <cellStyle name="40% - Accent3 4 2 3" xfId="4989" xr:uid="{00000000-0005-0000-0000-00007E050000}"/>
    <cellStyle name="40% - Accent3 4 2 3 2" xfId="13439" xr:uid="{C5DDE1D8-9209-47AE-9272-503C6900418C}"/>
    <cellStyle name="40% - Accent3 4 2 4" xfId="9221" xr:uid="{EB6A313B-3A4C-4007-9210-FE071DED0736}"/>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972060B4-B63A-4AD1-AF68-E796E2B1F24E}"/>
    <cellStyle name="40% - Accent3 4 3 2 3" xfId="11779" xr:uid="{85FD07C3-842A-4E5E-B9B8-55C00934867C}"/>
    <cellStyle name="40% - Accent3 4 3 3" xfId="5402" xr:uid="{00000000-0005-0000-0000-000082050000}"/>
    <cellStyle name="40% - Accent3 4 3 3 2" xfId="13852" xr:uid="{B7F945F5-E35E-4D60-AB48-FB77301A13BA}"/>
    <cellStyle name="40% - Accent3 4 3 4" xfId="9634" xr:uid="{7764A905-831E-443A-8155-E3B6AC41853A}"/>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CFFC9AC7-5393-49B6-849A-E677A89FF23A}"/>
    <cellStyle name="40% - Accent3 4 4 2 3" xfId="12192" xr:uid="{6E97DC5F-CBC1-49E9-97DB-A7C7818DC32E}"/>
    <cellStyle name="40% - Accent3 4 4 3" xfId="5815" xr:uid="{00000000-0005-0000-0000-000086050000}"/>
    <cellStyle name="40% - Accent3 4 4 3 2" xfId="14265" xr:uid="{D1FC8116-8539-4119-8365-3ECD8FC6817A}"/>
    <cellStyle name="40% - Accent3 4 4 4" xfId="10047" xr:uid="{E8624DBB-AB43-4642-AF11-46AC009EB724}"/>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9363220D-A8C7-44B3-9EC2-5774DEF3D3B1}"/>
    <cellStyle name="40% - Accent3 4 5 2 3" xfId="12605" xr:uid="{B89911DD-520D-433C-84BE-93703880A790}"/>
    <cellStyle name="40% - Accent3 4 5 3" xfId="6228" xr:uid="{00000000-0005-0000-0000-00008A050000}"/>
    <cellStyle name="40% - Accent3 4 5 3 2" xfId="14678" xr:uid="{A7560C64-3745-492B-820C-E57A106CDB2A}"/>
    <cellStyle name="40% - Accent3 4 5 4" xfId="10460" xr:uid="{0B23CE1C-52D5-4993-B89A-2716A1CCD757}"/>
    <cellStyle name="40% - Accent3 4 6" xfId="2335" xr:uid="{00000000-0005-0000-0000-00008B050000}"/>
    <cellStyle name="40% - Accent3 4 6 2" xfId="6641" xr:uid="{00000000-0005-0000-0000-00008C050000}"/>
    <cellStyle name="40% - Accent3 4 6 2 2" xfId="15091" xr:uid="{A352CE14-39DE-46E8-9972-8A1B5092B246}"/>
    <cellStyle name="40% - Accent3 4 6 3" xfId="10873" xr:uid="{ABA14E21-621D-4B92-A5FE-A4DC5EB72072}"/>
    <cellStyle name="40% - Accent3 4 7" xfId="4575" xr:uid="{00000000-0005-0000-0000-00008D050000}"/>
    <cellStyle name="40% - Accent3 4 7 2" xfId="13025" xr:uid="{C817F5D5-05D4-495F-A908-D56681A640E1}"/>
    <cellStyle name="40% - Accent3 4 8" xfId="8807" xr:uid="{35C3C79F-2F6F-40C4-B887-21CAFD2326C9}"/>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38E6CFE2-1E87-4230-B9AE-743C4F58ED82}"/>
    <cellStyle name="40% - Accent3 5 2 3" xfId="11359" xr:uid="{31C55FBE-3E8B-4BA9-9C47-47585D198F0C}"/>
    <cellStyle name="40% - Accent3 5 3" xfId="4982" xr:uid="{00000000-0005-0000-0000-000091050000}"/>
    <cellStyle name="40% - Accent3 5 3 2" xfId="13432" xr:uid="{CBD1BE01-4657-4C23-B1A6-B31AAC6A18E6}"/>
    <cellStyle name="40% - Accent3 5 4" xfId="9214" xr:uid="{72F82E8F-AAC9-456D-A641-D360AA5E9567}"/>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DBA3DC73-346A-4B09-A7E0-3D4EF499A1E5}"/>
    <cellStyle name="40% - Accent3 6 2 3" xfId="11772" xr:uid="{8B4621C0-4C7A-4FEB-B451-B046712E3092}"/>
    <cellStyle name="40% - Accent3 6 3" xfId="5395" xr:uid="{00000000-0005-0000-0000-000095050000}"/>
    <cellStyle name="40% - Accent3 6 3 2" xfId="13845" xr:uid="{3DD5DE75-0033-475B-BE47-44410479A88E}"/>
    <cellStyle name="40% - Accent3 6 4" xfId="9627" xr:uid="{E8C01764-E1A6-408B-810B-5C4736910F36}"/>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FE37AFFC-4753-456F-A879-756460103E00}"/>
    <cellStyle name="40% - Accent3 7 2 3" xfId="12185" xr:uid="{CA229B49-A35B-4E0B-8489-E0694B45A4A4}"/>
    <cellStyle name="40% - Accent3 7 3" xfId="5808" xr:uid="{00000000-0005-0000-0000-000099050000}"/>
    <cellStyle name="40% - Accent3 7 3 2" xfId="14258" xr:uid="{AFDE6CDB-FF7A-46C3-8DF8-EBD4B979F1C9}"/>
    <cellStyle name="40% - Accent3 7 4" xfId="10040" xr:uid="{E1835A44-3BE4-4B43-BB4B-10AA06CE57F4}"/>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F14B11C1-00A8-41DD-949C-479FF8D566CF}"/>
    <cellStyle name="40% - Accent3 8 2 3" xfId="12598" xr:uid="{4E2CB742-EB68-48B6-9288-D94A3500D114}"/>
    <cellStyle name="40% - Accent3 8 3" xfId="6221" xr:uid="{00000000-0005-0000-0000-00009D050000}"/>
    <cellStyle name="40% - Accent3 8 3 2" xfId="14671" xr:uid="{4A4A031B-ABDB-4CD1-953D-5C0FB5153C52}"/>
    <cellStyle name="40% - Accent3 8 4" xfId="10453" xr:uid="{076C4B43-33BA-4380-B918-E205193A545B}"/>
    <cellStyle name="40% - Accent3 9" xfId="2328" xr:uid="{00000000-0005-0000-0000-00009E050000}"/>
    <cellStyle name="40% - Accent3 9 2" xfId="6634" xr:uid="{00000000-0005-0000-0000-00009F050000}"/>
    <cellStyle name="40% - Accent3 9 2 2" xfId="15084" xr:uid="{1B85F770-EB20-45F0-BA4A-74B5FEC603F5}"/>
    <cellStyle name="40% - Accent3 9 3" xfId="10866" xr:uid="{C373B1A8-356E-419B-BFB8-03693CD333BE}"/>
    <cellStyle name="40% - Accent4" xfId="73" builtinId="43" customBuiltin="1"/>
    <cellStyle name="40% - Accent4 10" xfId="4576" xr:uid="{00000000-0005-0000-0000-0000A1050000}"/>
    <cellStyle name="40% - Accent4 10 2" xfId="13026" xr:uid="{71779299-EF07-491E-8F8E-C0D4D0B0BD88}"/>
    <cellStyle name="40% - Accent4 11" xfId="8808" xr:uid="{F6631C23-B980-4E0D-AD8F-04C07C762469}"/>
    <cellStyle name="40% - Accent4 2" xfId="74" xr:uid="{00000000-0005-0000-0000-0000A2050000}"/>
    <cellStyle name="40% - Accent4 2 10" xfId="8809" xr:uid="{D72274C0-5E4F-40B1-8AD3-21562B61E01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644A4316-1EB5-47D2-8688-09D9348ED79F}"/>
    <cellStyle name="40% - Accent4 2 2 2 2 2 3" xfId="11370" xr:uid="{AFEF5BB2-D767-4BC1-85EA-569F007BAC5D}"/>
    <cellStyle name="40% - Accent4 2 2 2 2 3" xfId="4993" xr:uid="{00000000-0005-0000-0000-0000A8050000}"/>
    <cellStyle name="40% - Accent4 2 2 2 2 3 2" xfId="13443" xr:uid="{05FC5C76-AD2F-44C4-8E13-F0797C00BB27}"/>
    <cellStyle name="40% - Accent4 2 2 2 2 4" xfId="9225" xr:uid="{9EAD10B0-3B7C-472E-B8E1-275577335129}"/>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481B70DE-C801-414E-8EB1-FEE7B5D14FAC}"/>
    <cellStyle name="40% - Accent4 2 2 2 3 2 3" xfId="11783" xr:uid="{AEC96F97-1D7C-4466-B937-055DBD09DF8C}"/>
    <cellStyle name="40% - Accent4 2 2 2 3 3" xfId="5406" xr:uid="{00000000-0005-0000-0000-0000AC050000}"/>
    <cellStyle name="40% - Accent4 2 2 2 3 3 2" xfId="13856" xr:uid="{6A991FD7-27FD-4E6D-9DAF-F53268B0E24D}"/>
    <cellStyle name="40% - Accent4 2 2 2 3 4" xfId="9638" xr:uid="{22C2E559-D006-4797-A586-0E87029C861E}"/>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22E503A9-B674-4335-9AD2-E48F92997EB5}"/>
    <cellStyle name="40% - Accent4 2 2 2 4 2 3" xfId="12196" xr:uid="{915F66C7-CCE4-44B0-8F8C-B93CD828BEFE}"/>
    <cellStyle name="40% - Accent4 2 2 2 4 3" xfId="5819" xr:uid="{00000000-0005-0000-0000-0000B0050000}"/>
    <cellStyle name="40% - Accent4 2 2 2 4 3 2" xfId="14269" xr:uid="{97921F8B-86BF-4568-BDF8-7564948EAD2C}"/>
    <cellStyle name="40% - Accent4 2 2 2 4 4" xfId="10051" xr:uid="{63380FDA-99E4-48D5-A2E3-B1CD1283E22F}"/>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0AA064EB-6A60-4B8E-A6B4-671DA62F817D}"/>
    <cellStyle name="40% - Accent4 2 2 2 5 2 3" xfId="12609" xr:uid="{84C7A4DB-EF13-4128-A4B7-519CD68F45FB}"/>
    <cellStyle name="40% - Accent4 2 2 2 5 3" xfId="6232" xr:uid="{00000000-0005-0000-0000-0000B4050000}"/>
    <cellStyle name="40% - Accent4 2 2 2 5 3 2" xfId="14682" xr:uid="{C4B0B4EA-D2D0-4B9F-9671-65590D942305}"/>
    <cellStyle name="40% - Accent4 2 2 2 5 4" xfId="10464" xr:uid="{94DF2DB2-A3D1-499D-A097-4A83EB58FB5C}"/>
    <cellStyle name="40% - Accent4 2 2 2 6" xfId="2339" xr:uid="{00000000-0005-0000-0000-0000B5050000}"/>
    <cellStyle name="40% - Accent4 2 2 2 6 2" xfId="6645" xr:uid="{00000000-0005-0000-0000-0000B6050000}"/>
    <cellStyle name="40% - Accent4 2 2 2 6 2 2" xfId="15095" xr:uid="{05C0AEBF-1D64-4AC0-9066-3793AB6B34C7}"/>
    <cellStyle name="40% - Accent4 2 2 2 6 3" xfId="10877" xr:uid="{CB7BC604-B1D5-4C43-A6DD-DA58056F8557}"/>
    <cellStyle name="40% - Accent4 2 2 2 7" xfId="4579" xr:uid="{00000000-0005-0000-0000-0000B7050000}"/>
    <cellStyle name="40% - Accent4 2 2 2 7 2" xfId="13029" xr:uid="{6CDE7DFC-8DCE-4D4C-B095-02D25503586D}"/>
    <cellStyle name="40% - Accent4 2 2 2 8" xfId="8811" xr:uid="{9DB9CF15-B187-4F55-8CB2-C964901D4983}"/>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881F4E5E-8F0A-4E12-8C5F-C423B640F45E}"/>
    <cellStyle name="40% - Accent4 2 2 3 2 3" xfId="11369" xr:uid="{9192D369-81D5-4681-B2BA-4F487EDADC5D}"/>
    <cellStyle name="40% - Accent4 2 2 3 3" xfId="4992" xr:uid="{00000000-0005-0000-0000-0000BB050000}"/>
    <cellStyle name="40% - Accent4 2 2 3 3 2" xfId="13442" xr:uid="{34A083DB-6BF3-490F-9BD3-06AC43CB2A52}"/>
    <cellStyle name="40% - Accent4 2 2 3 4" xfId="9224" xr:uid="{E72239F7-ABAC-4EEA-A4B4-0A00678CEE0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1C9C6785-A04F-4FAA-9080-926A5C1B879F}"/>
    <cellStyle name="40% - Accent4 2 2 4 2 3" xfId="11782" xr:uid="{36C17573-0418-4DF7-8A2A-3DC8511C7F50}"/>
    <cellStyle name="40% - Accent4 2 2 4 3" xfId="5405" xr:uid="{00000000-0005-0000-0000-0000BF050000}"/>
    <cellStyle name="40% - Accent4 2 2 4 3 2" xfId="13855" xr:uid="{E94999BF-D44D-48D1-A482-5EE3DBE10F51}"/>
    <cellStyle name="40% - Accent4 2 2 4 4" xfId="9637" xr:uid="{E5DC2EB2-99E5-4646-BF44-CE0F647893D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E29C03E1-6241-4268-9CA3-62C7BA820DB1}"/>
    <cellStyle name="40% - Accent4 2 2 5 2 3" xfId="12195" xr:uid="{3D1CE394-5D01-4750-821D-8DCFB27428A2}"/>
    <cellStyle name="40% - Accent4 2 2 5 3" xfId="5818" xr:uid="{00000000-0005-0000-0000-0000C3050000}"/>
    <cellStyle name="40% - Accent4 2 2 5 3 2" xfId="14268" xr:uid="{86AE23AE-1E41-43A9-8BCA-D303A987971D}"/>
    <cellStyle name="40% - Accent4 2 2 5 4" xfId="10050" xr:uid="{A4A31763-03E3-463F-86E6-33A4245833B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70B12901-F497-4A74-8210-B5CAABB663DB}"/>
    <cellStyle name="40% - Accent4 2 2 6 2 3" xfId="12608" xr:uid="{396A79D9-6A1C-41EF-ACE0-3D96D465E226}"/>
    <cellStyle name="40% - Accent4 2 2 6 3" xfId="6231" xr:uid="{00000000-0005-0000-0000-0000C7050000}"/>
    <cellStyle name="40% - Accent4 2 2 6 3 2" xfId="14681" xr:uid="{3AD6F6AE-9750-45B1-9E0B-8AF23088DA80}"/>
    <cellStyle name="40% - Accent4 2 2 6 4" xfId="10463" xr:uid="{9A701330-5E3C-483D-8B7A-9A320CF0BB55}"/>
    <cellStyle name="40% - Accent4 2 2 7" xfId="2338" xr:uid="{00000000-0005-0000-0000-0000C8050000}"/>
    <cellStyle name="40% - Accent4 2 2 7 2" xfId="6644" xr:uid="{00000000-0005-0000-0000-0000C9050000}"/>
    <cellStyle name="40% - Accent4 2 2 7 2 2" xfId="15094" xr:uid="{537AD943-4E90-48E6-BC66-546413017C1A}"/>
    <cellStyle name="40% - Accent4 2 2 7 3" xfId="10876" xr:uid="{74817522-BCC0-4A10-8526-130E83D8F507}"/>
    <cellStyle name="40% - Accent4 2 2 8" xfId="4578" xr:uid="{00000000-0005-0000-0000-0000CA050000}"/>
    <cellStyle name="40% - Accent4 2 2 8 2" xfId="13028" xr:uid="{5A6DF057-7107-4D58-BCE1-2BDA86D24F80}"/>
    <cellStyle name="40% - Accent4 2 2 9" xfId="8810" xr:uid="{67D37710-6807-46DF-8023-4286AF63DFEF}"/>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B5E72582-C9E3-460B-80DC-58B3A1D38C7D}"/>
    <cellStyle name="40% - Accent4 2 3 2 2 3" xfId="11371" xr:uid="{BD9F65E5-52AB-4C94-99B8-DF9D54E7F261}"/>
    <cellStyle name="40% - Accent4 2 3 2 3" xfId="4994" xr:uid="{00000000-0005-0000-0000-0000CF050000}"/>
    <cellStyle name="40% - Accent4 2 3 2 3 2" xfId="13444" xr:uid="{E857038C-66D4-4CC2-AE53-AF356A29265D}"/>
    <cellStyle name="40% - Accent4 2 3 2 4" xfId="9226" xr:uid="{4E577D07-D5D1-4FA2-9487-C5268895A266}"/>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5527184E-37D1-4D17-A56A-2077EACCF58D}"/>
    <cellStyle name="40% - Accent4 2 3 3 2 3" xfId="11784" xr:uid="{0122A5A6-2D29-4349-8E09-CB3649A66901}"/>
    <cellStyle name="40% - Accent4 2 3 3 3" xfId="5407" xr:uid="{00000000-0005-0000-0000-0000D3050000}"/>
    <cellStyle name="40% - Accent4 2 3 3 3 2" xfId="13857" xr:uid="{DCCD1C36-D8C4-4785-8885-2B0A6D13562B}"/>
    <cellStyle name="40% - Accent4 2 3 3 4" xfId="9639" xr:uid="{BD0FE85F-0A4D-4B9D-BE6F-71E3C466969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A8AD6A18-EABF-4670-9050-3841D6AEBB17}"/>
    <cellStyle name="40% - Accent4 2 3 4 2 3" xfId="12197" xr:uid="{44D7FDC1-13F8-44A1-8AE4-2C2C437F9DFD}"/>
    <cellStyle name="40% - Accent4 2 3 4 3" xfId="5820" xr:uid="{00000000-0005-0000-0000-0000D7050000}"/>
    <cellStyle name="40% - Accent4 2 3 4 3 2" xfId="14270" xr:uid="{83CE9641-57EB-4F07-A80C-4FB8A278189B}"/>
    <cellStyle name="40% - Accent4 2 3 4 4" xfId="10052" xr:uid="{13F973DC-1F78-4C45-BB49-66F1F50B609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6002FED2-16D2-479B-AE07-750FF83C575D}"/>
    <cellStyle name="40% - Accent4 2 3 5 2 3" xfId="12610" xr:uid="{D5E46467-CB37-4DAA-B5AB-615B2CC346CA}"/>
    <cellStyle name="40% - Accent4 2 3 5 3" xfId="6233" xr:uid="{00000000-0005-0000-0000-0000DB050000}"/>
    <cellStyle name="40% - Accent4 2 3 5 3 2" xfId="14683" xr:uid="{F0333A1F-75D1-447C-8B45-DD39313A61BF}"/>
    <cellStyle name="40% - Accent4 2 3 5 4" xfId="10465" xr:uid="{0D2C5D2C-792E-4359-BB9B-A1932F68756A}"/>
    <cellStyle name="40% - Accent4 2 3 6" xfId="2340" xr:uid="{00000000-0005-0000-0000-0000DC050000}"/>
    <cellStyle name="40% - Accent4 2 3 6 2" xfId="6646" xr:uid="{00000000-0005-0000-0000-0000DD050000}"/>
    <cellStyle name="40% - Accent4 2 3 6 2 2" xfId="15096" xr:uid="{8AF81A91-F6E8-4365-B836-2C69A1859E0F}"/>
    <cellStyle name="40% - Accent4 2 3 6 3" xfId="10878" xr:uid="{A1E54AE1-B8AF-4FAF-9FA7-008BBF3455A8}"/>
    <cellStyle name="40% - Accent4 2 3 7" xfId="4580" xr:uid="{00000000-0005-0000-0000-0000DE050000}"/>
    <cellStyle name="40% - Accent4 2 3 7 2" xfId="13030" xr:uid="{3FB45371-FB0C-4B39-8945-EA8FFDB9D018}"/>
    <cellStyle name="40% - Accent4 2 3 8" xfId="8812" xr:uid="{0FA8CE63-1E51-49DA-8E4C-DC4505D63648}"/>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76BEF150-F47E-42F0-ABE3-28DA825EA7AA}"/>
    <cellStyle name="40% - Accent4 2 4 2 3" xfId="11368" xr:uid="{75DBC6FF-87E7-4C3A-A4D2-654401F1F3D5}"/>
    <cellStyle name="40% - Accent4 2 4 3" xfId="4991" xr:uid="{00000000-0005-0000-0000-0000E2050000}"/>
    <cellStyle name="40% - Accent4 2 4 3 2" xfId="13441" xr:uid="{20FB00E8-71FA-4396-958E-CEDEBC33A2E6}"/>
    <cellStyle name="40% - Accent4 2 4 4" xfId="9223" xr:uid="{C2648457-E1C7-47AA-9586-17EC0AC114C9}"/>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1F2B736E-0089-413C-9FEC-9538887F1110}"/>
    <cellStyle name="40% - Accent4 2 5 2 3" xfId="11781" xr:uid="{F289EBE3-B9EF-48F7-963A-C6176DB613A5}"/>
    <cellStyle name="40% - Accent4 2 5 3" xfId="5404" xr:uid="{00000000-0005-0000-0000-0000E6050000}"/>
    <cellStyle name="40% - Accent4 2 5 3 2" xfId="13854" xr:uid="{5B6C4895-59A4-4654-AD38-32973CB0BDC5}"/>
    <cellStyle name="40% - Accent4 2 5 4" xfId="9636" xr:uid="{6932EEFE-596D-411A-8F9C-81B9011579FC}"/>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BE45B6E9-4847-4860-A0B5-DFA1DFB57E73}"/>
    <cellStyle name="40% - Accent4 2 6 2 3" xfId="12194" xr:uid="{DA87691E-9DC8-4186-BE9D-5C51C0EC9B80}"/>
    <cellStyle name="40% - Accent4 2 6 3" xfId="5817" xr:uid="{00000000-0005-0000-0000-0000EA050000}"/>
    <cellStyle name="40% - Accent4 2 6 3 2" xfId="14267" xr:uid="{C0D77DF1-97C7-4E3E-BCB4-DC3576A295A0}"/>
    <cellStyle name="40% - Accent4 2 6 4" xfId="10049" xr:uid="{FB7C47B1-23FF-4737-BD7D-64972ECB3771}"/>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7F3F70C0-C989-4C15-AD72-21D660754766}"/>
    <cellStyle name="40% - Accent4 2 7 2 3" xfId="12607" xr:uid="{AEE721D0-E994-4587-90E0-DBB365E458A8}"/>
    <cellStyle name="40% - Accent4 2 7 3" xfId="6230" xr:uid="{00000000-0005-0000-0000-0000EE050000}"/>
    <cellStyle name="40% - Accent4 2 7 3 2" xfId="14680" xr:uid="{E5D74684-311F-453E-9DC6-045322F7FD78}"/>
    <cellStyle name="40% - Accent4 2 7 4" xfId="10462" xr:uid="{E615DB4C-3828-4092-B7E4-17491E86250D}"/>
    <cellStyle name="40% - Accent4 2 8" xfId="2337" xr:uid="{00000000-0005-0000-0000-0000EF050000}"/>
    <cellStyle name="40% - Accent4 2 8 2" xfId="6643" xr:uid="{00000000-0005-0000-0000-0000F0050000}"/>
    <cellStyle name="40% - Accent4 2 8 2 2" xfId="15093" xr:uid="{8F079A76-1AD2-4F92-8D1C-7835614415C6}"/>
    <cellStyle name="40% - Accent4 2 8 3" xfId="10875" xr:uid="{EC393929-33A9-491B-AC95-BC36EDE75148}"/>
    <cellStyle name="40% - Accent4 2 9" xfId="4577" xr:uid="{00000000-0005-0000-0000-0000F1050000}"/>
    <cellStyle name="40% - Accent4 2 9 2" xfId="13027" xr:uid="{17805B15-97B5-4EB9-B9B5-2FDC088B677F}"/>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18E17E78-5E29-4949-91A8-9DDD7FAE29C1}"/>
    <cellStyle name="40% - Accent4 3 2 2 2 3" xfId="11373" xr:uid="{DFEC5ABB-8A4F-42DE-9688-BDC4957DF97E}"/>
    <cellStyle name="40% - Accent4 3 2 2 3" xfId="4996" xr:uid="{00000000-0005-0000-0000-0000F7050000}"/>
    <cellStyle name="40% - Accent4 3 2 2 3 2" xfId="13446" xr:uid="{733C34F1-9E07-4FC3-8093-BEE1C2CE4527}"/>
    <cellStyle name="40% - Accent4 3 2 2 4" xfId="9228" xr:uid="{70E690A9-F3A8-4E2F-BFAD-97730ED58500}"/>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11BB746A-FCF8-466A-8CAD-88B6277B8025}"/>
    <cellStyle name="40% - Accent4 3 2 3 2 3" xfId="11786" xr:uid="{40821FC2-B3EF-4E3B-9CA6-57507C001B9F}"/>
    <cellStyle name="40% - Accent4 3 2 3 3" xfId="5409" xr:uid="{00000000-0005-0000-0000-0000FB050000}"/>
    <cellStyle name="40% - Accent4 3 2 3 3 2" xfId="13859" xr:uid="{E6172C5D-6D9B-4458-8F7D-F88C1FCEE56E}"/>
    <cellStyle name="40% - Accent4 3 2 3 4" xfId="9641" xr:uid="{943E4525-0182-4B40-829A-08D464B77851}"/>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EFC75A7E-8F76-401A-B4D8-F34C3A038B08}"/>
    <cellStyle name="40% - Accent4 3 2 4 2 3" xfId="12199" xr:uid="{CE7745B5-4A2B-4D00-BC2C-FD99EB3229EA}"/>
    <cellStyle name="40% - Accent4 3 2 4 3" xfId="5822" xr:uid="{00000000-0005-0000-0000-0000FF050000}"/>
    <cellStyle name="40% - Accent4 3 2 4 3 2" xfId="14272" xr:uid="{E4CEFB9E-7BC3-4CBB-9202-39420D14E409}"/>
    <cellStyle name="40% - Accent4 3 2 4 4" xfId="10054" xr:uid="{F6BBB26C-D301-4255-9D42-398FB7B9448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398ADEBE-B1E3-4688-BBC8-9E1EF2E4C654}"/>
    <cellStyle name="40% - Accent4 3 2 5 2 3" xfId="12612" xr:uid="{9243DB85-A5A6-422E-AD27-96B8D298E555}"/>
    <cellStyle name="40% - Accent4 3 2 5 3" xfId="6235" xr:uid="{00000000-0005-0000-0000-000003060000}"/>
    <cellStyle name="40% - Accent4 3 2 5 3 2" xfId="14685" xr:uid="{0ABF84BF-5D95-4D07-B3C2-E847381A715A}"/>
    <cellStyle name="40% - Accent4 3 2 5 4" xfId="10467" xr:uid="{260E4F3E-CF43-4813-84D2-AD3377A00DB9}"/>
    <cellStyle name="40% - Accent4 3 2 6" xfId="2342" xr:uid="{00000000-0005-0000-0000-000004060000}"/>
    <cellStyle name="40% - Accent4 3 2 6 2" xfId="6648" xr:uid="{00000000-0005-0000-0000-000005060000}"/>
    <cellStyle name="40% - Accent4 3 2 6 2 2" xfId="15098" xr:uid="{F9109D42-BE84-43B2-AD66-65BC40055B45}"/>
    <cellStyle name="40% - Accent4 3 2 6 3" xfId="10880" xr:uid="{CDE455C2-97F2-4BDD-B9C9-73F3AAB91ECA}"/>
    <cellStyle name="40% - Accent4 3 2 7" xfId="4582" xr:uid="{00000000-0005-0000-0000-000006060000}"/>
    <cellStyle name="40% - Accent4 3 2 7 2" xfId="13032" xr:uid="{F8D00315-9A75-4E70-8415-A00A694DB1A7}"/>
    <cellStyle name="40% - Accent4 3 2 8" xfId="8814" xr:uid="{2F2AC044-2919-4C60-B4BB-E4ECFEB317F5}"/>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5EF4B022-9623-40B8-8593-EBD632BFBA8A}"/>
    <cellStyle name="40% - Accent4 3 3 2 3" xfId="11372" xr:uid="{8AE1CB36-2A96-47AD-9AEB-6F3AC025ACAD}"/>
    <cellStyle name="40% - Accent4 3 3 3" xfId="4995" xr:uid="{00000000-0005-0000-0000-00000A060000}"/>
    <cellStyle name="40% - Accent4 3 3 3 2" xfId="13445" xr:uid="{6AEC70A3-AAA5-40C2-AA31-CC69FBC05A4E}"/>
    <cellStyle name="40% - Accent4 3 3 4" xfId="9227" xr:uid="{DB9959C0-E1D0-4ABE-8CDA-28B1A16A5EB6}"/>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2C44957B-B312-4286-B9E3-1D25AEB86D24}"/>
    <cellStyle name="40% - Accent4 3 4 2 3" xfId="11785" xr:uid="{8920C55F-EC3D-4BCF-B9A1-4B2004099C07}"/>
    <cellStyle name="40% - Accent4 3 4 3" xfId="5408" xr:uid="{00000000-0005-0000-0000-00000E060000}"/>
    <cellStyle name="40% - Accent4 3 4 3 2" xfId="13858" xr:uid="{CC4877B0-0998-4B3C-A320-A6C5B09C1F54}"/>
    <cellStyle name="40% - Accent4 3 4 4" xfId="9640" xr:uid="{C612D27F-7749-47F2-B1C8-71369DEAA01B}"/>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2DDC29A5-194F-4E85-8E4F-3E1D1B2E01C0}"/>
    <cellStyle name="40% - Accent4 3 5 2 3" xfId="12198" xr:uid="{A417FC44-711E-4E9D-9A98-89F53A670BDD}"/>
    <cellStyle name="40% - Accent4 3 5 3" xfId="5821" xr:uid="{00000000-0005-0000-0000-000012060000}"/>
    <cellStyle name="40% - Accent4 3 5 3 2" xfId="14271" xr:uid="{BBFE3EE6-0596-4572-9F60-2084D22905D2}"/>
    <cellStyle name="40% - Accent4 3 5 4" xfId="10053" xr:uid="{613CE1CC-8F3F-467E-8A6E-54E7BAD17E5D}"/>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59F01256-83A7-495C-8954-2C5E6E7373B6}"/>
    <cellStyle name="40% - Accent4 3 6 2 3" xfId="12611" xr:uid="{906C4CFC-E8A9-418F-A4C0-53427BE6B5E4}"/>
    <cellStyle name="40% - Accent4 3 6 3" xfId="6234" xr:uid="{00000000-0005-0000-0000-000016060000}"/>
    <cellStyle name="40% - Accent4 3 6 3 2" xfId="14684" xr:uid="{5C33D045-11A8-41A2-8A94-5720AD590ACB}"/>
    <cellStyle name="40% - Accent4 3 6 4" xfId="10466" xr:uid="{C0AC98CA-9764-4FB5-A2BC-777D7448DE3B}"/>
    <cellStyle name="40% - Accent4 3 7" xfId="2341" xr:uid="{00000000-0005-0000-0000-000017060000}"/>
    <cellStyle name="40% - Accent4 3 7 2" xfId="6647" xr:uid="{00000000-0005-0000-0000-000018060000}"/>
    <cellStyle name="40% - Accent4 3 7 2 2" xfId="15097" xr:uid="{1FF8B44A-EF36-49A8-8D39-DC21E070EBC3}"/>
    <cellStyle name="40% - Accent4 3 7 3" xfId="10879" xr:uid="{DB8FF01B-1606-46F9-8C2B-1854AB768822}"/>
    <cellStyle name="40% - Accent4 3 8" xfId="4581" xr:uid="{00000000-0005-0000-0000-000019060000}"/>
    <cellStyle name="40% - Accent4 3 8 2" xfId="13031" xr:uid="{266A1F26-2D31-441B-A59B-A22B42A53A2B}"/>
    <cellStyle name="40% - Accent4 3 9" xfId="8813" xr:uid="{35B0B143-7F52-4D0A-8A7D-69E800F94AA7}"/>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D8A909A2-8A9E-4373-B6B3-6206015A15B0}"/>
    <cellStyle name="40% - Accent4 4 2 2 3" xfId="11374" xr:uid="{C91C0D1C-88AE-45C8-83CB-0378B95276AA}"/>
    <cellStyle name="40% - Accent4 4 2 3" xfId="4997" xr:uid="{00000000-0005-0000-0000-00001E060000}"/>
    <cellStyle name="40% - Accent4 4 2 3 2" xfId="13447" xr:uid="{F03668A7-6233-494C-961E-EFA60A1FA937}"/>
    <cellStyle name="40% - Accent4 4 2 4" xfId="9229" xr:uid="{48E6065C-9C30-4329-961F-D375C47C8E4E}"/>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FD3B68EF-B813-4995-B56A-8F5CFD237B29}"/>
    <cellStyle name="40% - Accent4 4 3 2 3" xfId="11787" xr:uid="{40C23116-B372-4DC8-9B10-121F76129B4F}"/>
    <cellStyle name="40% - Accent4 4 3 3" xfId="5410" xr:uid="{00000000-0005-0000-0000-000022060000}"/>
    <cellStyle name="40% - Accent4 4 3 3 2" xfId="13860" xr:uid="{1BC4FA63-85D7-4DCD-8C4D-3695F8133AEE}"/>
    <cellStyle name="40% - Accent4 4 3 4" xfId="9642" xr:uid="{F15B918B-D070-4342-B4A5-630F89D29B3C}"/>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F1B5C7BF-ED20-40CC-AEC3-2083D14BAF56}"/>
    <cellStyle name="40% - Accent4 4 4 2 3" xfId="12200" xr:uid="{2E0752F4-915F-421D-AAEE-49092D028D42}"/>
    <cellStyle name="40% - Accent4 4 4 3" xfId="5823" xr:uid="{00000000-0005-0000-0000-000026060000}"/>
    <cellStyle name="40% - Accent4 4 4 3 2" xfId="14273" xr:uid="{F8672345-AE26-4A14-99A4-A19BB9BC9DDE}"/>
    <cellStyle name="40% - Accent4 4 4 4" xfId="10055" xr:uid="{18C12545-F7F4-4F1F-A3EB-66710876BA4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7AA967F5-14BB-44B9-A5A6-0BF7B17BF8CB}"/>
    <cellStyle name="40% - Accent4 4 5 2 3" xfId="12613" xr:uid="{A1BEE49E-C768-4EC7-B1DA-69DB5CF3A0B7}"/>
    <cellStyle name="40% - Accent4 4 5 3" xfId="6236" xr:uid="{00000000-0005-0000-0000-00002A060000}"/>
    <cellStyle name="40% - Accent4 4 5 3 2" xfId="14686" xr:uid="{75632EF3-B889-46E5-A85C-B64B9C829685}"/>
    <cellStyle name="40% - Accent4 4 5 4" xfId="10468" xr:uid="{ACB91D3C-D361-4176-995E-3CF1BC01D955}"/>
    <cellStyle name="40% - Accent4 4 6" xfId="2343" xr:uid="{00000000-0005-0000-0000-00002B060000}"/>
    <cellStyle name="40% - Accent4 4 6 2" xfId="6649" xr:uid="{00000000-0005-0000-0000-00002C060000}"/>
    <cellStyle name="40% - Accent4 4 6 2 2" xfId="15099" xr:uid="{4833CDE1-2D45-406D-AFCB-3A6185AC4848}"/>
    <cellStyle name="40% - Accent4 4 6 3" xfId="10881" xr:uid="{479F8FC8-65D4-455B-BF69-5844424743F0}"/>
    <cellStyle name="40% - Accent4 4 7" xfId="4583" xr:uid="{00000000-0005-0000-0000-00002D060000}"/>
    <cellStyle name="40% - Accent4 4 7 2" xfId="13033" xr:uid="{840530F6-0839-481C-A784-A6A5937C7DFE}"/>
    <cellStyle name="40% - Accent4 4 8" xfId="8815" xr:uid="{E8E997AB-5916-4A48-B51A-5693043F9FFC}"/>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CFC061B0-60A3-46FC-A063-084CB0B37EA0}"/>
    <cellStyle name="40% - Accent4 5 2 3" xfId="11367" xr:uid="{CA1F79DD-C275-45AF-8FDD-41AE6A1C92F9}"/>
    <cellStyle name="40% - Accent4 5 3" xfId="4990" xr:uid="{00000000-0005-0000-0000-000031060000}"/>
    <cellStyle name="40% - Accent4 5 3 2" xfId="13440" xr:uid="{7B85649D-B971-4034-B130-41C3CFEDE9D6}"/>
    <cellStyle name="40% - Accent4 5 4" xfId="9222" xr:uid="{9D74EED8-3F7C-4E2E-8984-111E92A73933}"/>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224026C2-843D-4202-B661-5D4A21E54789}"/>
    <cellStyle name="40% - Accent4 6 2 3" xfId="11780" xr:uid="{9602A292-0A42-47F2-939F-2FEDA4166B77}"/>
    <cellStyle name="40% - Accent4 6 3" xfId="5403" xr:uid="{00000000-0005-0000-0000-000035060000}"/>
    <cellStyle name="40% - Accent4 6 3 2" xfId="13853" xr:uid="{67074073-22DF-46BA-884E-7DF893A9911F}"/>
    <cellStyle name="40% - Accent4 6 4" xfId="9635" xr:uid="{9E09030A-4A7C-4E4C-8AE6-C6E8CACE76F0}"/>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864E6302-EC5D-4592-BDE7-84CA549A9E4D}"/>
    <cellStyle name="40% - Accent4 7 2 3" xfId="12193" xr:uid="{20166AFF-726D-4057-AA95-CDD2966D98FB}"/>
    <cellStyle name="40% - Accent4 7 3" xfId="5816" xr:uid="{00000000-0005-0000-0000-000039060000}"/>
    <cellStyle name="40% - Accent4 7 3 2" xfId="14266" xr:uid="{80E61A4C-72C2-455E-9023-1BBF68256260}"/>
    <cellStyle name="40% - Accent4 7 4" xfId="10048" xr:uid="{4C63C8F5-CF75-4407-B6BE-54906BBA6D7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88899511-8E59-4F3D-B42E-0BCC6950FB18}"/>
    <cellStyle name="40% - Accent4 8 2 3" xfId="12606" xr:uid="{31F2CFA6-DCE1-4561-9E12-86D79003B13C}"/>
    <cellStyle name="40% - Accent4 8 3" xfId="6229" xr:uid="{00000000-0005-0000-0000-00003D060000}"/>
    <cellStyle name="40% - Accent4 8 3 2" xfId="14679" xr:uid="{4CA2A541-7303-4490-B020-F663D5C529C6}"/>
    <cellStyle name="40% - Accent4 8 4" xfId="10461" xr:uid="{5FCC2F62-08E9-4599-8175-AC5025A5177D}"/>
    <cellStyle name="40% - Accent4 9" xfId="2336" xr:uid="{00000000-0005-0000-0000-00003E060000}"/>
    <cellStyle name="40% - Accent4 9 2" xfId="6642" xr:uid="{00000000-0005-0000-0000-00003F060000}"/>
    <cellStyle name="40% - Accent4 9 2 2" xfId="15092" xr:uid="{6C27CD15-A59D-4192-AB59-FA0B8FBEC0E2}"/>
    <cellStyle name="40% - Accent4 9 3" xfId="10874" xr:uid="{19E5E224-8B0E-44D2-9E30-37FF6854D848}"/>
    <cellStyle name="40% - Accent5" xfId="81" builtinId="47" customBuiltin="1"/>
    <cellStyle name="40% - Accent5 10" xfId="4584" xr:uid="{00000000-0005-0000-0000-000041060000}"/>
    <cellStyle name="40% - Accent5 10 2" xfId="13034" xr:uid="{C17C715C-C2C2-427B-AB3B-EC406DCF70F6}"/>
    <cellStyle name="40% - Accent5 11" xfId="8816" xr:uid="{A0A891FE-E048-4E0B-9379-C3B74F9EF1F8}"/>
    <cellStyle name="40% - Accent5 2" xfId="82" xr:uid="{00000000-0005-0000-0000-000042060000}"/>
    <cellStyle name="40% - Accent5 2 10" xfId="8817" xr:uid="{740EC391-E28F-4DE9-BF44-D57986AA3E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0B8DF13E-4272-4B51-9C7D-1414F8D62B40}"/>
    <cellStyle name="40% - Accent5 2 2 2 2 2 3" xfId="11378" xr:uid="{2C95FA07-0FB9-4F48-8BC6-F50F23F9AC75}"/>
    <cellStyle name="40% - Accent5 2 2 2 2 3" xfId="5001" xr:uid="{00000000-0005-0000-0000-000048060000}"/>
    <cellStyle name="40% - Accent5 2 2 2 2 3 2" xfId="13451" xr:uid="{A2E66E6A-19F0-427F-940C-CAD3596B9F22}"/>
    <cellStyle name="40% - Accent5 2 2 2 2 4" xfId="9233" xr:uid="{19CA2F67-55E1-4EB5-88E1-2D3475B8FE05}"/>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109783D7-9C42-4411-A3B6-8E223942FC5F}"/>
    <cellStyle name="40% - Accent5 2 2 2 3 2 3" xfId="11791" xr:uid="{E9FDA302-8F5E-4010-AEC8-977A9672DCBC}"/>
    <cellStyle name="40% - Accent5 2 2 2 3 3" xfId="5414" xr:uid="{00000000-0005-0000-0000-00004C060000}"/>
    <cellStyle name="40% - Accent5 2 2 2 3 3 2" xfId="13864" xr:uid="{83CDDF8A-9243-4AE3-A171-17D984766945}"/>
    <cellStyle name="40% - Accent5 2 2 2 3 4" xfId="9646" xr:uid="{003F8299-4704-4C3B-AD08-B6DA619D1C1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7A78B7B4-305A-4489-B39D-0B622B705AC0}"/>
    <cellStyle name="40% - Accent5 2 2 2 4 2 3" xfId="12204" xr:uid="{14B41992-6A56-436B-B95F-D6C546701C63}"/>
    <cellStyle name="40% - Accent5 2 2 2 4 3" xfId="5827" xr:uid="{00000000-0005-0000-0000-000050060000}"/>
    <cellStyle name="40% - Accent5 2 2 2 4 3 2" xfId="14277" xr:uid="{F42099B7-F07F-4B96-BF1B-701CC0E63507}"/>
    <cellStyle name="40% - Accent5 2 2 2 4 4" xfId="10059" xr:uid="{28C1B515-45E6-4A67-B14E-0EEEEA8D2AF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49367DEA-26F2-4F73-910F-6E89491A35CB}"/>
    <cellStyle name="40% - Accent5 2 2 2 5 2 3" xfId="12617" xr:uid="{851ED632-EE4E-41A0-9D9C-6DAD06098CBB}"/>
    <cellStyle name="40% - Accent5 2 2 2 5 3" xfId="6240" xr:uid="{00000000-0005-0000-0000-000054060000}"/>
    <cellStyle name="40% - Accent5 2 2 2 5 3 2" xfId="14690" xr:uid="{B73CFEF3-80BF-428D-938D-D10EF554B087}"/>
    <cellStyle name="40% - Accent5 2 2 2 5 4" xfId="10472" xr:uid="{63D5FDC8-D8F9-4071-A96F-8FB0D00E6C65}"/>
    <cellStyle name="40% - Accent5 2 2 2 6" xfId="2347" xr:uid="{00000000-0005-0000-0000-000055060000}"/>
    <cellStyle name="40% - Accent5 2 2 2 6 2" xfId="6653" xr:uid="{00000000-0005-0000-0000-000056060000}"/>
    <cellStyle name="40% - Accent5 2 2 2 6 2 2" xfId="15103" xr:uid="{A0A20915-338B-4D36-ACA3-EA5EC483890D}"/>
    <cellStyle name="40% - Accent5 2 2 2 6 3" xfId="10885" xr:uid="{0E938909-51D4-423E-8602-B94BA1CD2591}"/>
    <cellStyle name="40% - Accent5 2 2 2 7" xfId="4587" xr:uid="{00000000-0005-0000-0000-000057060000}"/>
    <cellStyle name="40% - Accent5 2 2 2 7 2" xfId="13037" xr:uid="{F7263791-3A6E-4486-991E-3A3715DEB742}"/>
    <cellStyle name="40% - Accent5 2 2 2 8" xfId="8819" xr:uid="{370B57C2-7248-4D86-B740-B0D709454226}"/>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9E676148-A0B4-418B-A686-0D158A5F632E}"/>
    <cellStyle name="40% - Accent5 2 2 3 2 3" xfId="11377" xr:uid="{7C90B79C-0714-4C05-9142-8A89C50AA032}"/>
    <cellStyle name="40% - Accent5 2 2 3 3" xfId="5000" xr:uid="{00000000-0005-0000-0000-00005B060000}"/>
    <cellStyle name="40% - Accent5 2 2 3 3 2" xfId="13450" xr:uid="{46DC25B8-7EA6-40AA-A235-9228ED91DEC5}"/>
    <cellStyle name="40% - Accent5 2 2 3 4" xfId="9232" xr:uid="{CDFBB0A8-5341-426A-B436-01F2BAA07D58}"/>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9D701228-E45A-487C-9BF3-8AFD044BB4C7}"/>
    <cellStyle name="40% - Accent5 2 2 4 2 3" xfId="11790" xr:uid="{FD28A8E8-68FB-4F2A-A467-7D2DA9F70C68}"/>
    <cellStyle name="40% - Accent5 2 2 4 3" xfId="5413" xr:uid="{00000000-0005-0000-0000-00005F060000}"/>
    <cellStyle name="40% - Accent5 2 2 4 3 2" xfId="13863" xr:uid="{BBB19E91-CDD4-4757-8524-02AC807E6506}"/>
    <cellStyle name="40% - Accent5 2 2 4 4" xfId="9645" xr:uid="{95A7E912-D879-4095-B2F3-7FE51358A73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8CDED41A-C001-4FCD-905F-CBBC87B0FF1B}"/>
    <cellStyle name="40% - Accent5 2 2 5 2 3" xfId="12203" xr:uid="{445F34E4-1335-408B-BB3C-F3D71A973738}"/>
    <cellStyle name="40% - Accent5 2 2 5 3" xfId="5826" xr:uid="{00000000-0005-0000-0000-000063060000}"/>
    <cellStyle name="40% - Accent5 2 2 5 3 2" xfId="14276" xr:uid="{7679D0AD-8CFD-4A49-82EC-75692E1D5954}"/>
    <cellStyle name="40% - Accent5 2 2 5 4" xfId="10058" xr:uid="{DE9C38C9-35CE-4D99-890D-5B6426AB340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A6A31054-3242-4F8A-A8B8-1043CBF19025}"/>
    <cellStyle name="40% - Accent5 2 2 6 2 3" xfId="12616" xr:uid="{12C65F21-AAC9-4909-8EE8-950FA4A39AF8}"/>
    <cellStyle name="40% - Accent5 2 2 6 3" xfId="6239" xr:uid="{00000000-0005-0000-0000-000067060000}"/>
    <cellStyle name="40% - Accent5 2 2 6 3 2" xfId="14689" xr:uid="{B49BEC3E-359F-4C4C-B662-26D6AE17F2DD}"/>
    <cellStyle name="40% - Accent5 2 2 6 4" xfId="10471" xr:uid="{E3CB9BA3-001D-4D11-86A4-835E7407E91E}"/>
    <cellStyle name="40% - Accent5 2 2 7" xfId="2346" xr:uid="{00000000-0005-0000-0000-000068060000}"/>
    <cellStyle name="40% - Accent5 2 2 7 2" xfId="6652" xr:uid="{00000000-0005-0000-0000-000069060000}"/>
    <cellStyle name="40% - Accent5 2 2 7 2 2" xfId="15102" xr:uid="{E9DA2D69-EEE1-4475-A273-33E52B4A0EEB}"/>
    <cellStyle name="40% - Accent5 2 2 7 3" xfId="10884" xr:uid="{EB4591BF-363A-4815-B174-4C6D769A6E44}"/>
    <cellStyle name="40% - Accent5 2 2 8" xfId="4586" xr:uid="{00000000-0005-0000-0000-00006A060000}"/>
    <cellStyle name="40% - Accent5 2 2 8 2" xfId="13036" xr:uid="{75DD0317-48A6-4925-960F-6E4769E298A6}"/>
    <cellStyle name="40% - Accent5 2 2 9" xfId="8818" xr:uid="{3CDB6566-9F8F-43AC-AB11-E3E01D6FB44E}"/>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DB422D5F-F82D-4F8F-9834-9AF6A127B4F7}"/>
    <cellStyle name="40% - Accent5 2 3 2 2 3" xfId="11379" xr:uid="{62D418AA-2EF9-4667-9C22-58FD1BEDA822}"/>
    <cellStyle name="40% - Accent5 2 3 2 3" xfId="5002" xr:uid="{00000000-0005-0000-0000-00006F060000}"/>
    <cellStyle name="40% - Accent5 2 3 2 3 2" xfId="13452" xr:uid="{87C0A587-986A-4ABD-86C8-3B141AC6CB47}"/>
    <cellStyle name="40% - Accent5 2 3 2 4" xfId="9234" xr:uid="{3DF5A109-1C65-4392-81A5-83C2B7563A4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EE99AA0E-F556-41D1-89C7-3F837A5BFA71}"/>
    <cellStyle name="40% - Accent5 2 3 3 2 3" xfId="11792" xr:uid="{6814CA95-FC90-42A1-879B-2BD6BC745531}"/>
    <cellStyle name="40% - Accent5 2 3 3 3" xfId="5415" xr:uid="{00000000-0005-0000-0000-000073060000}"/>
    <cellStyle name="40% - Accent5 2 3 3 3 2" xfId="13865" xr:uid="{DECDA714-6DF7-45BB-8422-085A96A6C5FF}"/>
    <cellStyle name="40% - Accent5 2 3 3 4" xfId="9647" xr:uid="{51F20411-A85E-4445-AE0B-454BBFD266C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03E9C898-AA0B-4A88-B30E-C33D7B888016}"/>
    <cellStyle name="40% - Accent5 2 3 4 2 3" xfId="12205" xr:uid="{3168DE7D-4F21-4B81-B5A4-5CE871DDB4E6}"/>
    <cellStyle name="40% - Accent5 2 3 4 3" xfId="5828" xr:uid="{00000000-0005-0000-0000-000077060000}"/>
    <cellStyle name="40% - Accent5 2 3 4 3 2" xfId="14278" xr:uid="{970B75AE-786E-4054-B1BB-E9C94145B97F}"/>
    <cellStyle name="40% - Accent5 2 3 4 4" xfId="10060" xr:uid="{139B3EF4-63B2-4F9C-BE03-02F06DBA838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734C53D5-1A13-4B4F-A93B-AF80A6389A9C}"/>
    <cellStyle name="40% - Accent5 2 3 5 2 3" xfId="12618" xr:uid="{D12725DA-85B0-444C-AEC9-EAB72DB01CAB}"/>
    <cellStyle name="40% - Accent5 2 3 5 3" xfId="6241" xr:uid="{00000000-0005-0000-0000-00007B060000}"/>
    <cellStyle name="40% - Accent5 2 3 5 3 2" xfId="14691" xr:uid="{5771CCB9-B17E-424E-8D19-DD096257FAA3}"/>
    <cellStyle name="40% - Accent5 2 3 5 4" xfId="10473" xr:uid="{BBB85063-C183-439F-BCED-70C8D09F4B4B}"/>
    <cellStyle name="40% - Accent5 2 3 6" xfId="2348" xr:uid="{00000000-0005-0000-0000-00007C060000}"/>
    <cellStyle name="40% - Accent5 2 3 6 2" xfId="6654" xr:uid="{00000000-0005-0000-0000-00007D060000}"/>
    <cellStyle name="40% - Accent5 2 3 6 2 2" xfId="15104" xr:uid="{D3CECB85-BE46-400B-8ED3-59E4B95E0FC7}"/>
    <cellStyle name="40% - Accent5 2 3 6 3" xfId="10886" xr:uid="{72F4133C-241C-4AE2-8194-17E845ADC2BC}"/>
    <cellStyle name="40% - Accent5 2 3 7" xfId="4588" xr:uid="{00000000-0005-0000-0000-00007E060000}"/>
    <cellStyle name="40% - Accent5 2 3 7 2" xfId="13038" xr:uid="{E8B529F6-BF9F-4E97-B9BA-91B41D40A9BE}"/>
    <cellStyle name="40% - Accent5 2 3 8" xfId="8820" xr:uid="{59009EDF-279E-4D07-9E42-240D1F42B8C2}"/>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71A947CD-19D8-4B2D-9706-49A3741BED0A}"/>
    <cellStyle name="40% - Accent5 2 4 2 3" xfId="11376" xr:uid="{9EC912FC-4766-4B39-AFF7-43EF56C35E7C}"/>
    <cellStyle name="40% - Accent5 2 4 3" xfId="4999" xr:uid="{00000000-0005-0000-0000-000082060000}"/>
    <cellStyle name="40% - Accent5 2 4 3 2" xfId="13449" xr:uid="{B3FEF536-4777-4856-AC5F-26C94ED19AE5}"/>
    <cellStyle name="40% - Accent5 2 4 4" xfId="9231" xr:uid="{0B8DCC66-875F-4018-999B-E4D66AB9910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5C1B60B3-DD84-48B8-99B5-C78DEBDF16EA}"/>
    <cellStyle name="40% - Accent5 2 5 2 3" xfId="11789" xr:uid="{8BDD870C-68EF-4608-B3BA-43FFA041261D}"/>
    <cellStyle name="40% - Accent5 2 5 3" xfId="5412" xr:uid="{00000000-0005-0000-0000-000086060000}"/>
    <cellStyle name="40% - Accent5 2 5 3 2" xfId="13862" xr:uid="{A4960649-5A07-4204-99D2-F04578BDA7B8}"/>
    <cellStyle name="40% - Accent5 2 5 4" xfId="9644" xr:uid="{1386F265-E7B7-4952-94B7-C25F29ADD3F5}"/>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2C7B37EE-1503-4C1D-A5F8-28E786F67060}"/>
    <cellStyle name="40% - Accent5 2 6 2 3" xfId="12202" xr:uid="{CA3B7210-F835-4895-9E62-CCF8A09AEFEC}"/>
    <cellStyle name="40% - Accent5 2 6 3" xfId="5825" xr:uid="{00000000-0005-0000-0000-00008A060000}"/>
    <cellStyle name="40% - Accent5 2 6 3 2" xfId="14275" xr:uid="{8678E406-753D-4B99-8DB4-3ED2D32D6F8A}"/>
    <cellStyle name="40% - Accent5 2 6 4" xfId="10057" xr:uid="{E580B533-1339-424F-9F56-B766801ED8DB}"/>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2ED6BCF-6E3A-484A-A332-603CA914EE35}"/>
    <cellStyle name="40% - Accent5 2 7 2 3" xfId="12615" xr:uid="{36B7F74A-214E-41B9-93EC-973D768411C1}"/>
    <cellStyle name="40% - Accent5 2 7 3" xfId="6238" xr:uid="{00000000-0005-0000-0000-00008E060000}"/>
    <cellStyle name="40% - Accent5 2 7 3 2" xfId="14688" xr:uid="{2FDEE3B2-26CE-4E4F-9057-FCD23C3DBE46}"/>
    <cellStyle name="40% - Accent5 2 7 4" xfId="10470" xr:uid="{ECCDC6DA-14FC-41E8-8E2C-143ACF10457C}"/>
    <cellStyle name="40% - Accent5 2 8" xfId="2345" xr:uid="{00000000-0005-0000-0000-00008F060000}"/>
    <cellStyle name="40% - Accent5 2 8 2" xfId="6651" xr:uid="{00000000-0005-0000-0000-000090060000}"/>
    <cellStyle name="40% - Accent5 2 8 2 2" xfId="15101" xr:uid="{35B2C8CB-CCE5-4833-8379-D63161ED344E}"/>
    <cellStyle name="40% - Accent5 2 8 3" xfId="10883" xr:uid="{1A1B845F-0306-4E68-AF96-EE3229BE8F08}"/>
    <cellStyle name="40% - Accent5 2 9" xfId="4585" xr:uid="{00000000-0005-0000-0000-000091060000}"/>
    <cellStyle name="40% - Accent5 2 9 2" xfId="13035" xr:uid="{F0592666-987B-4139-8D73-75F9C8977D71}"/>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828C27C3-4342-4ED7-8F07-F2D5814CA542}"/>
    <cellStyle name="40% - Accent5 3 2 2 2 3" xfId="11381" xr:uid="{04FCD556-7026-435B-8692-C9079931FAF5}"/>
    <cellStyle name="40% - Accent5 3 2 2 3" xfId="5004" xr:uid="{00000000-0005-0000-0000-000097060000}"/>
    <cellStyle name="40% - Accent5 3 2 2 3 2" xfId="13454" xr:uid="{B8A78353-A832-4FCF-AE6D-6D0DE586957E}"/>
    <cellStyle name="40% - Accent5 3 2 2 4" xfId="9236" xr:uid="{FCD785DB-9CA1-4E3B-A1BA-D9B1A19999E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FA15234A-B7FF-4EA0-81EA-F624F65FAF01}"/>
    <cellStyle name="40% - Accent5 3 2 3 2 3" xfId="11794" xr:uid="{A26464AE-577F-4495-8986-DC79AFB2A9D8}"/>
    <cellStyle name="40% - Accent5 3 2 3 3" xfId="5417" xr:uid="{00000000-0005-0000-0000-00009B060000}"/>
    <cellStyle name="40% - Accent5 3 2 3 3 2" xfId="13867" xr:uid="{73307B81-5405-48DF-939E-0479BB5FF6B9}"/>
    <cellStyle name="40% - Accent5 3 2 3 4" xfId="9649" xr:uid="{6D25FF7C-B55B-44CD-8759-724FD8CA59DB}"/>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1E92AFD7-3954-48BE-8CF4-80A0C2F3B5FB}"/>
    <cellStyle name="40% - Accent5 3 2 4 2 3" xfId="12207" xr:uid="{A5EEE699-A98A-4202-BF68-AD7E9553714C}"/>
    <cellStyle name="40% - Accent5 3 2 4 3" xfId="5830" xr:uid="{00000000-0005-0000-0000-00009F060000}"/>
    <cellStyle name="40% - Accent5 3 2 4 3 2" xfId="14280" xr:uid="{95785851-1C77-4B7C-B736-E1D7C6330EE7}"/>
    <cellStyle name="40% - Accent5 3 2 4 4" xfId="10062" xr:uid="{9D407B96-931B-435D-9369-D1214FF807C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E7B7881F-5CCB-4ABD-ADB6-4BDD4C9B66E2}"/>
    <cellStyle name="40% - Accent5 3 2 5 2 3" xfId="12620" xr:uid="{F7503A50-CDC0-4A9F-8B05-DFD1CBC52DED}"/>
    <cellStyle name="40% - Accent5 3 2 5 3" xfId="6243" xr:uid="{00000000-0005-0000-0000-0000A3060000}"/>
    <cellStyle name="40% - Accent5 3 2 5 3 2" xfId="14693" xr:uid="{06FDFF75-7C44-41B0-AFD1-3E09C15E802E}"/>
    <cellStyle name="40% - Accent5 3 2 5 4" xfId="10475" xr:uid="{4509DE44-D7CA-4208-B819-1C602888E112}"/>
    <cellStyle name="40% - Accent5 3 2 6" xfId="2350" xr:uid="{00000000-0005-0000-0000-0000A4060000}"/>
    <cellStyle name="40% - Accent5 3 2 6 2" xfId="6656" xr:uid="{00000000-0005-0000-0000-0000A5060000}"/>
    <cellStyle name="40% - Accent5 3 2 6 2 2" xfId="15106" xr:uid="{FC09C481-7E5B-4290-BB33-7394AA14E624}"/>
    <cellStyle name="40% - Accent5 3 2 6 3" xfId="10888" xr:uid="{F8459DE0-3952-42A3-AB8D-80D25B652334}"/>
    <cellStyle name="40% - Accent5 3 2 7" xfId="4590" xr:uid="{00000000-0005-0000-0000-0000A6060000}"/>
    <cellStyle name="40% - Accent5 3 2 7 2" xfId="13040" xr:uid="{2D7806CF-09DE-40DD-A717-ABFDACCDFB97}"/>
    <cellStyle name="40% - Accent5 3 2 8" xfId="8822" xr:uid="{9674D437-A89D-454A-B16E-13E55C08735E}"/>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E40A9F11-8342-4B55-8830-FBA902DD3ACF}"/>
    <cellStyle name="40% - Accent5 3 3 2 3" xfId="11380" xr:uid="{FF3DB2B4-5138-46D1-828A-86C5089294CD}"/>
    <cellStyle name="40% - Accent5 3 3 3" xfId="5003" xr:uid="{00000000-0005-0000-0000-0000AA060000}"/>
    <cellStyle name="40% - Accent5 3 3 3 2" xfId="13453" xr:uid="{91AA7CD8-06FB-43EE-BE64-9F1FEAEC85C9}"/>
    <cellStyle name="40% - Accent5 3 3 4" xfId="9235" xr:uid="{CCF1DFB0-93EB-40DF-87D8-C713AB910A8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9B7A7C5D-9930-4FA8-AE96-E8875704F960}"/>
    <cellStyle name="40% - Accent5 3 4 2 3" xfId="11793" xr:uid="{3E9339E1-E983-45A3-8B0C-DC2E33C4902B}"/>
    <cellStyle name="40% - Accent5 3 4 3" xfId="5416" xr:uid="{00000000-0005-0000-0000-0000AE060000}"/>
    <cellStyle name="40% - Accent5 3 4 3 2" xfId="13866" xr:uid="{A2762C6E-E342-4282-8440-4E70A2DE52C7}"/>
    <cellStyle name="40% - Accent5 3 4 4" xfId="9648" xr:uid="{4D9D659E-0871-4531-8974-18D36E626851}"/>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DE8CBC84-C358-4A1F-8A68-8C8E01E32C8C}"/>
    <cellStyle name="40% - Accent5 3 5 2 3" xfId="12206" xr:uid="{4838FFC7-1F45-46BA-8C5A-7D36878CD0C1}"/>
    <cellStyle name="40% - Accent5 3 5 3" xfId="5829" xr:uid="{00000000-0005-0000-0000-0000B2060000}"/>
    <cellStyle name="40% - Accent5 3 5 3 2" xfId="14279" xr:uid="{92D3BBED-3AE2-4B6D-A004-1CA9342488DD}"/>
    <cellStyle name="40% - Accent5 3 5 4" xfId="10061" xr:uid="{37881665-8E6D-48E2-AF5C-294F03C6FB8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A8B91A61-7202-41BB-9175-8D04B797B78C}"/>
    <cellStyle name="40% - Accent5 3 6 2 3" xfId="12619" xr:uid="{48B76234-D945-4E60-B507-A82741307789}"/>
    <cellStyle name="40% - Accent5 3 6 3" xfId="6242" xr:uid="{00000000-0005-0000-0000-0000B6060000}"/>
    <cellStyle name="40% - Accent5 3 6 3 2" xfId="14692" xr:uid="{8AA054D3-B6EB-4415-B2DA-1B68E571EB4F}"/>
    <cellStyle name="40% - Accent5 3 6 4" xfId="10474" xr:uid="{05657F17-D995-453E-8472-234F56714335}"/>
    <cellStyle name="40% - Accent5 3 7" xfId="2349" xr:uid="{00000000-0005-0000-0000-0000B7060000}"/>
    <cellStyle name="40% - Accent5 3 7 2" xfId="6655" xr:uid="{00000000-0005-0000-0000-0000B8060000}"/>
    <cellStyle name="40% - Accent5 3 7 2 2" xfId="15105" xr:uid="{AE03D5BA-9F7D-4934-92E3-C2ED03C5BE47}"/>
    <cellStyle name="40% - Accent5 3 7 3" xfId="10887" xr:uid="{570B5EC6-1153-4F69-9FC7-527C707C7107}"/>
    <cellStyle name="40% - Accent5 3 8" xfId="4589" xr:uid="{00000000-0005-0000-0000-0000B9060000}"/>
    <cellStyle name="40% - Accent5 3 8 2" xfId="13039" xr:uid="{869EEDE3-6474-4827-A983-520CFA973769}"/>
    <cellStyle name="40% - Accent5 3 9" xfId="8821" xr:uid="{3AD747BB-C1BD-4DD7-8923-CFFCF454D055}"/>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96F32327-99E1-4672-B1F5-80BB65EC5E82}"/>
    <cellStyle name="40% - Accent5 4 2 2 3" xfId="11382" xr:uid="{B3622D59-E840-44F1-9AF8-A28DB0F397DE}"/>
    <cellStyle name="40% - Accent5 4 2 3" xfId="5005" xr:uid="{00000000-0005-0000-0000-0000BE060000}"/>
    <cellStyle name="40% - Accent5 4 2 3 2" xfId="13455" xr:uid="{DBBD82C7-7EE4-4D21-8D05-BB20008C005D}"/>
    <cellStyle name="40% - Accent5 4 2 4" xfId="9237" xr:uid="{F9869594-8E58-4216-B05D-43A49D8D1265}"/>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007A62F7-4D13-4A91-B834-68DCE1F46B22}"/>
    <cellStyle name="40% - Accent5 4 3 2 3" xfId="11795" xr:uid="{FFA34B98-F72E-447E-9E23-27FE1B246B6E}"/>
    <cellStyle name="40% - Accent5 4 3 3" xfId="5418" xr:uid="{00000000-0005-0000-0000-0000C2060000}"/>
    <cellStyle name="40% - Accent5 4 3 3 2" xfId="13868" xr:uid="{3B54C096-1BF6-4903-9DD9-EEE879ADFE5E}"/>
    <cellStyle name="40% - Accent5 4 3 4" xfId="9650" xr:uid="{F353CBB5-C8B0-4E28-AB65-459DC9DDED6C}"/>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04ABA8D8-9EDC-4BFA-A8A5-FA5DCCEAA168}"/>
    <cellStyle name="40% - Accent5 4 4 2 3" xfId="12208" xr:uid="{0FF41093-57F1-47F4-96A2-BD74D2FF5541}"/>
    <cellStyle name="40% - Accent5 4 4 3" xfId="5831" xr:uid="{00000000-0005-0000-0000-0000C6060000}"/>
    <cellStyle name="40% - Accent5 4 4 3 2" xfId="14281" xr:uid="{9477579B-732A-4F8A-B1D0-88F459AEB01A}"/>
    <cellStyle name="40% - Accent5 4 4 4" xfId="10063" xr:uid="{CD7DFD4C-D43E-4016-9AF8-E9AA02713EA5}"/>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79B52D2A-07FE-44EC-A7F2-84B5CD94B13D}"/>
    <cellStyle name="40% - Accent5 4 5 2 3" xfId="12621" xr:uid="{3B328B1B-FEC2-4ECA-A323-466AE9E37056}"/>
    <cellStyle name="40% - Accent5 4 5 3" xfId="6244" xr:uid="{00000000-0005-0000-0000-0000CA060000}"/>
    <cellStyle name="40% - Accent5 4 5 3 2" xfId="14694" xr:uid="{041F6951-492C-45D3-AE90-310A2D2CAE1C}"/>
    <cellStyle name="40% - Accent5 4 5 4" xfId="10476" xr:uid="{0752E234-A48B-4E90-AF6B-836BB667E2AC}"/>
    <cellStyle name="40% - Accent5 4 6" xfId="2351" xr:uid="{00000000-0005-0000-0000-0000CB060000}"/>
    <cellStyle name="40% - Accent5 4 6 2" xfId="6657" xr:uid="{00000000-0005-0000-0000-0000CC060000}"/>
    <cellStyle name="40% - Accent5 4 6 2 2" xfId="15107" xr:uid="{34F72108-9209-421E-9926-F78D7298F8FA}"/>
    <cellStyle name="40% - Accent5 4 6 3" xfId="10889" xr:uid="{9B2710B2-E6C3-4B67-8893-1DBD57BBD5CE}"/>
    <cellStyle name="40% - Accent5 4 7" xfId="4591" xr:uid="{00000000-0005-0000-0000-0000CD060000}"/>
    <cellStyle name="40% - Accent5 4 7 2" xfId="13041" xr:uid="{56CC60B3-8C47-4CF2-9FF7-5EEF18B23B91}"/>
    <cellStyle name="40% - Accent5 4 8" xfId="8823" xr:uid="{02DECA7C-9CEA-4A05-8C82-5412E3F19960}"/>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EAEBE963-B432-4A8F-8B4C-084D1F05C64B}"/>
    <cellStyle name="40% - Accent5 5 2 3" xfId="11375" xr:uid="{3D19E84D-D088-4AAC-87AC-639145370A3E}"/>
    <cellStyle name="40% - Accent5 5 3" xfId="4998" xr:uid="{00000000-0005-0000-0000-0000D1060000}"/>
    <cellStyle name="40% - Accent5 5 3 2" xfId="13448" xr:uid="{497B383A-5C91-453D-BFB6-971351977FD4}"/>
    <cellStyle name="40% - Accent5 5 4" xfId="9230" xr:uid="{1629691E-DF37-40D4-83FB-6DA89E66ACB9}"/>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D1538CCC-BEDD-4E7F-8044-5B33E551B691}"/>
    <cellStyle name="40% - Accent5 6 2 3" xfId="11788" xr:uid="{B1F459E7-4179-46F8-B4B7-239C24F29BB4}"/>
    <cellStyle name="40% - Accent5 6 3" xfId="5411" xr:uid="{00000000-0005-0000-0000-0000D5060000}"/>
    <cellStyle name="40% - Accent5 6 3 2" xfId="13861" xr:uid="{F4DCB335-FFD6-40EF-914C-914C70DE9BC5}"/>
    <cellStyle name="40% - Accent5 6 4" xfId="9643" xr:uid="{6390E770-33DF-4593-96ED-4F23DFE6FFAB}"/>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7D69A63F-60DC-4EDC-8CC0-910236036242}"/>
    <cellStyle name="40% - Accent5 7 2 3" xfId="12201" xr:uid="{B818BA67-31F2-4BDE-9724-90495D18BCE2}"/>
    <cellStyle name="40% - Accent5 7 3" xfId="5824" xr:uid="{00000000-0005-0000-0000-0000D9060000}"/>
    <cellStyle name="40% - Accent5 7 3 2" xfId="14274" xr:uid="{2BF81BFE-9675-41F0-A545-995FA9765911}"/>
    <cellStyle name="40% - Accent5 7 4" xfId="10056" xr:uid="{098D40CE-67F3-4C8B-A2B4-1021738CC248}"/>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97E63387-5A1F-4BD4-954E-FD3FA62263E1}"/>
    <cellStyle name="40% - Accent5 8 2 3" xfId="12614" xr:uid="{47A48302-7C20-4EDF-B88F-9959B1F37B67}"/>
    <cellStyle name="40% - Accent5 8 3" xfId="6237" xr:uid="{00000000-0005-0000-0000-0000DD060000}"/>
    <cellStyle name="40% - Accent5 8 3 2" xfId="14687" xr:uid="{39A2C3F4-5D06-4047-84CB-21DA33598E79}"/>
    <cellStyle name="40% - Accent5 8 4" xfId="10469" xr:uid="{D61F5970-B23A-4D7A-99D1-D9BC2CCFD937}"/>
    <cellStyle name="40% - Accent5 9" xfId="2344" xr:uid="{00000000-0005-0000-0000-0000DE060000}"/>
    <cellStyle name="40% - Accent5 9 2" xfId="6650" xr:uid="{00000000-0005-0000-0000-0000DF060000}"/>
    <cellStyle name="40% - Accent5 9 2 2" xfId="15100" xr:uid="{FAE2F755-B05C-4F01-A114-9D80F260767F}"/>
    <cellStyle name="40% - Accent5 9 3" xfId="10882" xr:uid="{476CCBD0-C1EE-4076-AEA8-C1ADB9A005D0}"/>
    <cellStyle name="40% - Accent6" xfId="89" builtinId="51" customBuiltin="1"/>
    <cellStyle name="40% - Accent6 10" xfId="4592" xr:uid="{00000000-0005-0000-0000-0000E1060000}"/>
    <cellStyle name="40% - Accent6 10 2" xfId="13042" xr:uid="{F324EE05-01DD-4F24-A624-3FAF5D5EF393}"/>
    <cellStyle name="40% - Accent6 11" xfId="8824" xr:uid="{3FF4B697-DD46-4711-9E67-84D4781B7733}"/>
    <cellStyle name="40% - Accent6 2" xfId="90" xr:uid="{00000000-0005-0000-0000-0000E2060000}"/>
    <cellStyle name="40% - Accent6 2 10" xfId="8825" xr:uid="{AB36B5E0-C642-4E21-8C9C-A0CF81BA4F41}"/>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59A44921-E1F3-4C24-B1C7-FCF98EE77AC3}"/>
    <cellStyle name="40% - Accent6 2 2 2 2 2 3" xfId="11386" xr:uid="{AC0262B7-2FCE-42F4-A4DB-C9CBBB66B97D}"/>
    <cellStyle name="40% - Accent6 2 2 2 2 3" xfId="5009" xr:uid="{00000000-0005-0000-0000-0000E8060000}"/>
    <cellStyle name="40% - Accent6 2 2 2 2 3 2" xfId="13459" xr:uid="{D3EE3ECA-D217-425D-8596-5AEFA2A1A563}"/>
    <cellStyle name="40% - Accent6 2 2 2 2 4" xfId="9241" xr:uid="{2360ABC1-2AAF-4D81-BC3F-4AF3D5063B82}"/>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09FFC662-8BD8-4891-B57F-834BF35EC63B}"/>
    <cellStyle name="40% - Accent6 2 2 2 3 2 3" xfId="11799" xr:uid="{4F2DF620-8FF0-449C-AA91-BC730A8CE9B6}"/>
    <cellStyle name="40% - Accent6 2 2 2 3 3" xfId="5422" xr:uid="{00000000-0005-0000-0000-0000EC060000}"/>
    <cellStyle name="40% - Accent6 2 2 2 3 3 2" xfId="13872" xr:uid="{BE424947-58E3-4EEF-A9B7-B8D20A865964}"/>
    <cellStyle name="40% - Accent6 2 2 2 3 4" xfId="9654" xr:uid="{FDB32F5C-F3FB-409D-A235-145C64A153E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D6AB90E9-787E-4687-AF87-7F7F19589268}"/>
    <cellStyle name="40% - Accent6 2 2 2 4 2 3" xfId="12212" xr:uid="{F14D68FA-B519-482D-918B-0B692CA3A27D}"/>
    <cellStyle name="40% - Accent6 2 2 2 4 3" xfId="5835" xr:uid="{00000000-0005-0000-0000-0000F0060000}"/>
    <cellStyle name="40% - Accent6 2 2 2 4 3 2" xfId="14285" xr:uid="{5BC19C79-21DD-4A43-A0AD-8B82AAFE1555}"/>
    <cellStyle name="40% - Accent6 2 2 2 4 4" xfId="10067" xr:uid="{59FD0358-6CB0-4AB5-AB17-8105A726C079}"/>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D811E60A-C286-4707-8995-E5DD2385AB6B}"/>
    <cellStyle name="40% - Accent6 2 2 2 5 2 3" xfId="12625" xr:uid="{68D9A936-4E3E-458A-85C7-78374FD2B976}"/>
    <cellStyle name="40% - Accent6 2 2 2 5 3" xfId="6248" xr:uid="{00000000-0005-0000-0000-0000F4060000}"/>
    <cellStyle name="40% - Accent6 2 2 2 5 3 2" xfId="14698" xr:uid="{B7271B50-72AD-4E18-A8E4-EE0D29068AE5}"/>
    <cellStyle name="40% - Accent6 2 2 2 5 4" xfId="10480" xr:uid="{2EDD02DD-BA6A-4AF7-A16E-7BCD574D3B66}"/>
    <cellStyle name="40% - Accent6 2 2 2 6" xfId="2355" xr:uid="{00000000-0005-0000-0000-0000F5060000}"/>
    <cellStyle name="40% - Accent6 2 2 2 6 2" xfId="6661" xr:uid="{00000000-0005-0000-0000-0000F6060000}"/>
    <cellStyle name="40% - Accent6 2 2 2 6 2 2" xfId="15111" xr:uid="{9FB0E660-EED7-44D1-A24A-2D5100C8E2A4}"/>
    <cellStyle name="40% - Accent6 2 2 2 6 3" xfId="10893" xr:uid="{5954AC21-0E78-40F8-996B-2283DBB3C4E2}"/>
    <cellStyle name="40% - Accent6 2 2 2 7" xfId="4595" xr:uid="{00000000-0005-0000-0000-0000F7060000}"/>
    <cellStyle name="40% - Accent6 2 2 2 7 2" xfId="13045" xr:uid="{4E3F6B16-0B2D-4B45-ADEA-7B52FF95774E}"/>
    <cellStyle name="40% - Accent6 2 2 2 8" xfId="8827" xr:uid="{E004469F-A189-41C8-809A-9333CCCC1DA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B6C2EA7A-A7B4-487D-9C8A-0B7256A862D2}"/>
    <cellStyle name="40% - Accent6 2 2 3 2 3" xfId="11385" xr:uid="{3624B571-8B77-44C1-BD63-5BC066487379}"/>
    <cellStyle name="40% - Accent6 2 2 3 3" xfId="5008" xr:uid="{00000000-0005-0000-0000-0000FB060000}"/>
    <cellStyle name="40% - Accent6 2 2 3 3 2" xfId="13458" xr:uid="{BE13030D-B748-4B17-AB75-B1C2A300FE0D}"/>
    <cellStyle name="40% - Accent6 2 2 3 4" xfId="9240" xr:uid="{11FC198C-85C6-44AA-A2BE-5D79ABCAE732}"/>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0258F5A8-3644-4497-BCA0-6BD1F9B1263F}"/>
    <cellStyle name="40% - Accent6 2 2 4 2 3" xfId="11798" xr:uid="{0CA350D8-08A1-4B3E-8D8E-9EC10505F8D6}"/>
    <cellStyle name="40% - Accent6 2 2 4 3" xfId="5421" xr:uid="{00000000-0005-0000-0000-0000FF060000}"/>
    <cellStyle name="40% - Accent6 2 2 4 3 2" xfId="13871" xr:uid="{DA055ADE-D9B6-442A-9360-BEC858C8D5C5}"/>
    <cellStyle name="40% - Accent6 2 2 4 4" xfId="9653" xr:uid="{4C136906-4724-4F0D-B2C3-10BDFC9BADA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92C10751-7C18-4B47-8372-A5B60099FA37}"/>
    <cellStyle name="40% - Accent6 2 2 5 2 3" xfId="12211" xr:uid="{CC83F7C2-E0AA-4935-9F7D-0D1D91C68BC9}"/>
    <cellStyle name="40% - Accent6 2 2 5 3" xfId="5834" xr:uid="{00000000-0005-0000-0000-000003070000}"/>
    <cellStyle name="40% - Accent6 2 2 5 3 2" xfId="14284" xr:uid="{6CEC72AA-12BB-4ADC-BAEF-23A90FA6A0A0}"/>
    <cellStyle name="40% - Accent6 2 2 5 4" xfId="10066" xr:uid="{31745F74-A74E-4DEA-B57D-26891C460B3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53C2D2E4-5E1E-4D65-8AD3-A0CA9E9E759C}"/>
    <cellStyle name="40% - Accent6 2 2 6 2 3" xfId="12624" xr:uid="{A828171F-13CD-4DEC-84E0-BF0016FED614}"/>
    <cellStyle name="40% - Accent6 2 2 6 3" xfId="6247" xr:uid="{00000000-0005-0000-0000-000007070000}"/>
    <cellStyle name="40% - Accent6 2 2 6 3 2" xfId="14697" xr:uid="{5156132A-06FD-419A-A84E-BA52749D456C}"/>
    <cellStyle name="40% - Accent6 2 2 6 4" xfId="10479" xr:uid="{9A3B0BF7-5E68-47D1-81E3-EA6E98A5F0CE}"/>
    <cellStyle name="40% - Accent6 2 2 7" xfId="2354" xr:uid="{00000000-0005-0000-0000-000008070000}"/>
    <cellStyle name="40% - Accent6 2 2 7 2" xfId="6660" xr:uid="{00000000-0005-0000-0000-000009070000}"/>
    <cellStyle name="40% - Accent6 2 2 7 2 2" xfId="15110" xr:uid="{514ED51E-BA51-46DB-9166-ED4D3ADA6B5B}"/>
    <cellStyle name="40% - Accent6 2 2 7 3" xfId="10892" xr:uid="{ED05280B-B51E-42EB-BF61-4BE1A96B5EB1}"/>
    <cellStyle name="40% - Accent6 2 2 8" xfId="4594" xr:uid="{00000000-0005-0000-0000-00000A070000}"/>
    <cellStyle name="40% - Accent6 2 2 8 2" xfId="13044" xr:uid="{C8A1BFE5-EDEF-4335-8E78-ACA79FCB6243}"/>
    <cellStyle name="40% - Accent6 2 2 9" xfId="8826" xr:uid="{3B4ED32E-932C-4A72-A702-ED808F03BE1A}"/>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1E71F96A-29D9-4DEB-B17A-81D0BCF2B255}"/>
    <cellStyle name="40% - Accent6 2 3 2 2 3" xfId="11387" xr:uid="{3DA312E4-4232-4E2C-9FB5-7CBC173177AD}"/>
    <cellStyle name="40% - Accent6 2 3 2 3" xfId="5010" xr:uid="{00000000-0005-0000-0000-00000F070000}"/>
    <cellStyle name="40% - Accent6 2 3 2 3 2" xfId="13460" xr:uid="{05433ED4-BBBC-4C30-B345-3AB77A56E910}"/>
    <cellStyle name="40% - Accent6 2 3 2 4" xfId="9242" xr:uid="{40565445-8D7D-46EE-9779-A00B848FAC8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FEBE615C-3D9F-4180-A145-B934D3F63616}"/>
    <cellStyle name="40% - Accent6 2 3 3 2 3" xfId="11800" xr:uid="{2273CA00-99CF-4A8F-B2C1-3679EE4E08E1}"/>
    <cellStyle name="40% - Accent6 2 3 3 3" xfId="5423" xr:uid="{00000000-0005-0000-0000-000013070000}"/>
    <cellStyle name="40% - Accent6 2 3 3 3 2" xfId="13873" xr:uid="{5A289327-9F61-44B0-B529-C4EBBCF1D054}"/>
    <cellStyle name="40% - Accent6 2 3 3 4" xfId="9655" xr:uid="{055CB817-5B23-46BF-8337-1B5E91A453DA}"/>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ECDA5436-8211-418A-A35B-498813D36C85}"/>
    <cellStyle name="40% - Accent6 2 3 4 2 3" xfId="12213" xr:uid="{7D01D7F0-0CDC-4BFB-A14C-02A1377AE21D}"/>
    <cellStyle name="40% - Accent6 2 3 4 3" xfId="5836" xr:uid="{00000000-0005-0000-0000-000017070000}"/>
    <cellStyle name="40% - Accent6 2 3 4 3 2" xfId="14286" xr:uid="{204E2AEA-8E65-41BE-BCC3-756BBDE480D9}"/>
    <cellStyle name="40% - Accent6 2 3 4 4" xfId="10068" xr:uid="{96521ABE-41B3-4F43-B69B-D3880A6E7BAA}"/>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A6093DC-787E-46F3-ABB0-0EF395C6C235}"/>
    <cellStyle name="40% - Accent6 2 3 5 2 3" xfId="12626" xr:uid="{731780B6-F110-473F-BFB0-EAE3D54E714F}"/>
    <cellStyle name="40% - Accent6 2 3 5 3" xfId="6249" xr:uid="{00000000-0005-0000-0000-00001B070000}"/>
    <cellStyle name="40% - Accent6 2 3 5 3 2" xfId="14699" xr:uid="{5A6B5007-F029-4155-BB14-8F4395D5961C}"/>
    <cellStyle name="40% - Accent6 2 3 5 4" xfId="10481" xr:uid="{3E9D1EDD-35B8-440C-B7AD-F7BE544C481B}"/>
    <cellStyle name="40% - Accent6 2 3 6" xfId="2356" xr:uid="{00000000-0005-0000-0000-00001C070000}"/>
    <cellStyle name="40% - Accent6 2 3 6 2" xfId="6662" xr:uid="{00000000-0005-0000-0000-00001D070000}"/>
    <cellStyle name="40% - Accent6 2 3 6 2 2" xfId="15112" xr:uid="{FD696D70-6C5E-479A-986D-0B440EE2440E}"/>
    <cellStyle name="40% - Accent6 2 3 6 3" xfId="10894" xr:uid="{C314B1F8-525B-45D4-B038-6CEB886B1A3E}"/>
    <cellStyle name="40% - Accent6 2 3 7" xfId="4596" xr:uid="{00000000-0005-0000-0000-00001E070000}"/>
    <cellStyle name="40% - Accent6 2 3 7 2" xfId="13046" xr:uid="{6DB9CB5E-85F3-4C7F-99E8-DA72C7D97944}"/>
    <cellStyle name="40% - Accent6 2 3 8" xfId="8828" xr:uid="{72C45CC2-90AA-46C7-89F5-DCD3FF310155}"/>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F34D3FDF-AEFB-412F-8CB3-C75995333445}"/>
    <cellStyle name="40% - Accent6 2 4 2 3" xfId="11384" xr:uid="{7324F059-2FB0-47EF-8D8F-101DBC7D9C4E}"/>
    <cellStyle name="40% - Accent6 2 4 3" xfId="5007" xr:uid="{00000000-0005-0000-0000-000022070000}"/>
    <cellStyle name="40% - Accent6 2 4 3 2" xfId="13457" xr:uid="{63F9F32E-86FF-45AB-AF0B-8A082AD27DDF}"/>
    <cellStyle name="40% - Accent6 2 4 4" xfId="9239" xr:uid="{46FEC59A-6B05-4E0E-A1A0-F3ACBD76EBB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464F086-5142-4A38-A376-14BB25852200}"/>
    <cellStyle name="40% - Accent6 2 5 2 3" xfId="11797" xr:uid="{178E7F91-30A7-40DD-B736-D85A164F09C6}"/>
    <cellStyle name="40% - Accent6 2 5 3" xfId="5420" xr:uid="{00000000-0005-0000-0000-000026070000}"/>
    <cellStyle name="40% - Accent6 2 5 3 2" xfId="13870" xr:uid="{D6E51489-829F-411C-8D48-1F4C699014BE}"/>
    <cellStyle name="40% - Accent6 2 5 4" xfId="9652" xr:uid="{6DCA8381-82F4-4785-8939-051A62BDEA4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46570586-BAA1-47E4-9B06-0AB25A8A02C9}"/>
    <cellStyle name="40% - Accent6 2 6 2 3" xfId="12210" xr:uid="{A9F8DF8B-F027-4546-8EA4-D8D66F357329}"/>
    <cellStyle name="40% - Accent6 2 6 3" xfId="5833" xr:uid="{00000000-0005-0000-0000-00002A070000}"/>
    <cellStyle name="40% - Accent6 2 6 3 2" xfId="14283" xr:uid="{0117B7A2-970D-4350-8CC1-8EF2EA71BCB2}"/>
    <cellStyle name="40% - Accent6 2 6 4" xfId="10065" xr:uid="{08DDDC93-CE3D-419F-BAF0-AD5406F77CED}"/>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8AC32F5D-F7C9-4643-ACF0-029F3E117C61}"/>
    <cellStyle name="40% - Accent6 2 7 2 3" xfId="12623" xr:uid="{51C0AA7C-C93E-4649-BA49-6E129F031721}"/>
    <cellStyle name="40% - Accent6 2 7 3" xfId="6246" xr:uid="{00000000-0005-0000-0000-00002E070000}"/>
    <cellStyle name="40% - Accent6 2 7 3 2" xfId="14696" xr:uid="{B13BE6D6-3168-4CEB-8CD8-20ED2E9818E1}"/>
    <cellStyle name="40% - Accent6 2 7 4" xfId="10478" xr:uid="{CCB65587-CF9F-4178-950A-B0B4B64353FE}"/>
    <cellStyle name="40% - Accent6 2 8" xfId="2353" xr:uid="{00000000-0005-0000-0000-00002F070000}"/>
    <cellStyle name="40% - Accent6 2 8 2" xfId="6659" xr:uid="{00000000-0005-0000-0000-000030070000}"/>
    <cellStyle name="40% - Accent6 2 8 2 2" xfId="15109" xr:uid="{5D5478EB-88ED-443B-9D0B-C90FE45788BB}"/>
    <cellStyle name="40% - Accent6 2 8 3" xfId="10891" xr:uid="{C80EEA12-7EF1-4AB4-BCB0-DED42218EEA6}"/>
    <cellStyle name="40% - Accent6 2 9" xfId="4593" xr:uid="{00000000-0005-0000-0000-000031070000}"/>
    <cellStyle name="40% - Accent6 2 9 2" xfId="13043" xr:uid="{382CC936-6E68-4B9A-B519-F3474D76D311}"/>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94241AFD-0861-4388-9BC1-7BA789213FC6}"/>
    <cellStyle name="40% - Accent6 3 2 2 2 3" xfId="11389" xr:uid="{8EF385B5-9770-40FD-9AE7-523E891126E9}"/>
    <cellStyle name="40% - Accent6 3 2 2 3" xfId="5012" xr:uid="{00000000-0005-0000-0000-000037070000}"/>
    <cellStyle name="40% - Accent6 3 2 2 3 2" xfId="13462" xr:uid="{45DB40B4-2915-4B97-86A7-B0E904275332}"/>
    <cellStyle name="40% - Accent6 3 2 2 4" xfId="9244" xr:uid="{BD4A48E3-406C-4546-91B4-71463DD19648}"/>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8F49A7D4-4BFB-4724-84EB-20995DCEAED0}"/>
    <cellStyle name="40% - Accent6 3 2 3 2 3" xfId="11802" xr:uid="{2B82CD36-9264-422C-8BEB-76AA57CBF338}"/>
    <cellStyle name="40% - Accent6 3 2 3 3" xfId="5425" xr:uid="{00000000-0005-0000-0000-00003B070000}"/>
    <cellStyle name="40% - Accent6 3 2 3 3 2" xfId="13875" xr:uid="{C39A2802-10B6-45F6-9A1F-37409774BC1A}"/>
    <cellStyle name="40% - Accent6 3 2 3 4" xfId="9657" xr:uid="{8FBB59F2-8D96-4457-8FB4-F40214F7AFE2}"/>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296056DF-F4EB-4464-A3F6-972873FC02FD}"/>
    <cellStyle name="40% - Accent6 3 2 4 2 3" xfId="12215" xr:uid="{786E2083-B2E6-485D-B1AF-38ECFF41319B}"/>
    <cellStyle name="40% - Accent6 3 2 4 3" xfId="5838" xr:uid="{00000000-0005-0000-0000-00003F070000}"/>
    <cellStyle name="40% - Accent6 3 2 4 3 2" xfId="14288" xr:uid="{35A874A7-0B18-4C9E-8932-D6B3AFB9851B}"/>
    <cellStyle name="40% - Accent6 3 2 4 4" xfId="10070" xr:uid="{C42E0EB5-6FA1-4F45-9067-711814ED0B02}"/>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DAF12442-3BF4-4809-B4EC-C1FBFCE14F76}"/>
    <cellStyle name="40% - Accent6 3 2 5 2 3" xfId="12628" xr:uid="{AC8AA530-BAB7-4629-9B82-A965E959B621}"/>
    <cellStyle name="40% - Accent6 3 2 5 3" xfId="6251" xr:uid="{00000000-0005-0000-0000-000043070000}"/>
    <cellStyle name="40% - Accent6 3 2 5 3 2" xfId="14701" xr:uid="{5540C841-4C8C-44B6-969A-009686700AD9}"/>
    <cellStyle name="40% - Accent6 3 2 5 4" xfId="10483" xr:uid="{78EA1C7B-F4DD-4394-9EE4-177EEC8EB464}"/>
    <cellStyle name="40% - Accent6 3 2 6" xfId="2358" xr:uid="{00000000-0005-0000-0000-000044070000}"/>
    <cellStyle name="40% - Accent6 3 2 6 2" xfId="6664" xr:uid="{00000000-0005-0000-0000-000045070000}"/>
    <cellStyle name="40% - Accent6 3 2 6 2 2" xfId="15114" xr:uid="{774B9BFF-0204-4BAF-8CD4-6FC66C0C0EC0}"/>
    <cellStyle name="40% - Accent6 3 2 6 3" xfId="10896" xr:uid="{1B6BE217-D7EB-4A3E-AB0C-ABBC792F6CB2}"/>
    <cellStyle name="40% - Accent6 3 2 7" xfId="4598" xr:uid="{00000000-0005-0000-0000-000046070000}"/>
    <cellStyle name="40% - Accent6 3 2 7 2" xfId="13048" xr:uid="{9970C70D-6C5F-4DEE-98A2-942142CA6B60}"/>
    <cellStyle name="40% - Accent6 3 2 8" xfId="8830" xr:uid="{7961A95A-FDE3-4564-9E4A-9283FA33BBB1}"/>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71E00A3E-3AAA-4702-A6F4-911FC7013AAF}"/>
    <cellStyle name="40% - Accent6 3 3 2 3" xfId="11388" xr:uid="{5D4A4F1D-B43E-41BB-AFCA-6F80E4CDE25A}"/>
    <cellStyle name="40% - Accent6 3 3 3" xfId="5011" xr:uid="{00000000-0005-0000-0000-00004A070000}"/>
    <cellStyle name="40% - Accent6 3 3 3 2" xfId="13461" xr:uid="{81DED395-1C88-4C8F-8624-3DAD3BB86929}"/>
    <cellStyle name="40% - Accent6 3 3 4" xfId="9243" xr:uid="{CA355101-6D7E-4C7D-9F6D-D7FDC1DBCB44}"/>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E4656289-4A2A-4EC8-8DA5-14D031F96DE4}"/>
    <cellStyle name="40% - Accent6 3 4 2 3" xfId="11801" xr:uid="{2D221B0B-0737-40E3-8FAD-E178169C7524}"/>
    <cellStyle name="40% - Accent6 3 4 3" xfId="5424" xr:uid="{00000000-0005-0000-0000-00004E070000}"/>
    <cellStyle name="40% - Accent6 3 4 3 2" xfId="13874" xr:uid="{3DC58566-92D5-46B6-B986-C6AF99A47BE6}"/>
    <cellStyle name="40% - Accent6 3 4 4" xfId="9656" xr:uid="{69616787-8F1C-463A-B0A3-6E664D02DF52}"/>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6B43BBBB-AD36-44A9-9EF3-A2DA2EC1ED45}"/>
    <cellStyle name="40% - Accent6 3 5 2 3" xfId="12214" xr:uid="{AE0279C8-9353-4C38-A608-D6FC5EE73F96}"/>
    <cellStyle name="40% - Accent6 3 5 3" xfId="5837" xr:uid="{00000000-0005-0000-0000-000052070000}"/>
    <cellStyle name="40% - Accent6 3 5 3 2" xfId="14287" xr:uid="{4C6153D7-90C6-4BC1-AC88-466CC1F949A2}"/>
    <cellStyle name="40% - Accent6 3 5 4" xfId="10069" xr:uid="{4FB15CC4-A452-4267-82B3-34E808C0A96F}"/>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61D52E9A-1FDA-47F9-B5B3-F9BDB260A12A}"/>
    <cellStyle name="40% - Accent6 3 6 2 3" xfId="12627" xr:uid="{62C11FF6-31AF-4783-8909-D54C88A43ABB}"/>
    <cellStyle name="40% - Accent6 3 6 3" xfId="6250" xr:uid="{00000000-0005-0000-0000-000056070000}"/>
    <cellStyle name="40% - Accent6 3 6 3 2" xfId="14700" xr:uid="{AC87F2FC-0280-4B54-BCFD-C7027A138559}"/>
    <cellStyle name="40% - Accent6 3 6 4" xfId="10482" xr:uid="{D9F330A9-DBA1-430C-BD56-25D9286F891E}"/>
    <cellStyle name="40% - Accent6 3 7" xfId="2357" xr:uid="{00000000-0005-0000-0000-000057070000}"/>
    <cellStyle name="40% - Accent6 3 7 2" xfId="6663" xr:uid="{00000000-0005-0000-0000-000058070000}"/>
    <cellStyle name="40% - Accent6 3 7 2 2" xfId="15113" xr:uid="{EC01485F-812B-46D1-AF7E-173969CFE534}"/>
    <cellStyle name="40% - Accent6 3 7 3" xfId="10895" xr:uid="{403436F7-9837-4328-A4E3-8D47088A9732}"/>
    <cellStyle name="40% - Accent6 3 8" xfId="4597" xr:uid="{00000000-0005-0000-0000-000059070000}"/>
    <cellStyle name="40% - Accent6 3 8 2" xfId="13047" xr:uid="{F6B18ED0-6C5C-4022-B245-615071521008}"/>
    <cellStyle name="40% - Accent6 3 9" xfId="8829" xr:uid="{F33EC08E-2672-4AC0-91CC-55BD99B34532}"/>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BB012E7A-6BF5-471F-91C5-6067EBB8EF22}"/>
    <cellStyle name="40% - Accent6 4 2 2 3" xfId="11390" xr:uid="{13BDD8A5-410F-448C-B087-1AACA24A0624}"/>
    <cellStyle name="40% - Accent6 4 2 3" xfId="5013" xr:uid="{00000000-0005-0000-0000-00005E070000}"/>
    <cellStyle name="40% - Accent6 4 2 3 2" xfId="13463" xr:uid="{D0BCCE6C-56B2-4C7F-9476-B0813740E66F}"/>
    <cellStyle name="40% - Accent6 4 2 4" xfId="9245" xr:uid="{0C91008B-F168-42D9-AC7B-3E429E341351}"/>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54B3AAA2-DBB7-4101-8885-71D77708721E}"/>
    <cellStyle name="40% - Accent6 4 3 2 3" xfId="11803" xr:uid="{D8DD22C1-787A-4D77-9323-A7D5F75716E5}"/>
    <cellStyle name="40% - Accent6 4 3 3" xfId="5426" xr:uid="{00000000-0005-0000-0000-000062070000}"/>
    <cellStyle name="40% - Accent6 4 3 3 2" xfId="13876" xr:uid="{19B82FB8-6457-48BF-B9F9-F2C1BB9796CF}"/>
    <cellStyle name="40% - Accent6 4 3 4" xfId="9658" xr:uid="{68FE4D17-B66B-4991-8EF9-57C767023CC7}"/>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109D1418-DB74-4C9B-9491-7344C49DCB79}"/>
    <cellStyle name="40% - Accent6 4 4 2 3" xfId="12216" xr:uid="{BF938ED7-4F8E-422A-84AA-E8C445E4392E}"/>
    <cellStyle name="40% - Accent6 4 4 3" xfId="5839" xr:uid="{00000000-0005-0000-0000-000066070000}"/>
    <cellStyle name="40% - Accent6 4 4 3 2" xfId="14289" xr:uid="{FFFD6D60-55C7-482B-878C-5E1454892416}"/>
    <cellStyle name="40% - Accent6 4 4 4" xfId="10071" xr:uid="{3C94C28F-D2B8-4F50-888D-04F715F60B3F}"/>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C2F83180-A434-44AF-9770-D7CEE6BACE2B}"/>
    <cellStyle name="40% - Accent6 4 5 2 3" xfId="12629" xr:uid="{2CDF2307-FB09-4AF8-A50D-8536F81B03D7}"/>
    <cellStyle name="40% - Accent6 4 5 3" xfId="6252" xr:uid="{00000000-0005-0000-0000-00006A070000}"/>
    <cellStyle name="40% - Accent6 4 5 3 2" xfId="14702" xr:uid="{8191D3C1-496E-42BB-8D7F-4DC711BD1CC9}"/>
    <cellStyle name="40% - Accent6 4 5 4" xfId="10484" xr:uid="{8FCB21E2-CB82-4940-86A3-B1551EAE3F38}"/>
    <cellStyle name="40% - Accent6 4 6" xfId="2359" xr:uid="{00000000-0005-0000-0000-00006B070000}"/>
    <cellStyle name="40% - Accent6 4 6 2" xfId="6665" xr:uid="{00000000-0005-0000-0000-00006C070000}"/>
    <cellStyle name="40% - Accent6 4 6 2 2" xfId="15115" xr:uid="{ED953296-DC5E-4D2E-912C-221437CD8D51}"/>
    <cellStyle name="40% - Accent6 4 6 3" xfId="10897" xr:uid="{20F2B2B2-16A2-45B8-BD3B-3D4E0C3661B7}"/>
    <cellStyle name="40% - Accent6 4 7" xfId="4599" xr:uid="{00000000-0005-0000-0000-00006D070000}"/>
    <cellStyle name="40% - Accent6 4 7 2" xfId="13049" xr:uid="{8B64F31B-168A-4B67-887D-4EE0A58B999F}"/>
    <cellStyle name="40% - Accent6 4 8" xfId="8831" xr:uid="{77401FEB-107C-4F73-AF04-28D575AB7D23}"/>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2084EE36-796F-40FC-B563-0A5B5E9B2FCA}"/>
    <cellStyle name="40% - Accent6 5 2 3" xfId="11383" xr:uid="{8130279B-5C5E-4915-8681-FBE210E9DB25}"/>
    <cellStyle name="40% - Accent6 5 3" xfId="5006" xr:uid="{00000000-0005-0000-0000-000071070000}"/>
    <cellStyle name="40% - Accent6 5 3 2" xfId="13456" xr:uid="{D159767A-9DAD-44C1-A8B5-C51F6E350347}"/>
    <cellStyle name="40% - Accent6 5 4" xfId="9238" xr:uid="{7CD528D8-5D01-4D1A-AFC8-15C48966F594}"/>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A9FA0624-52E7-4A9F-8EEC-FEE2A17CE733}"/>
    <cellStyle name="40% - Accent6 6 2 3" xfId="11796" xr:uid="{4A9227F8-B2BF-48EA-B08C-8E4AF9185F3D}"/>
    <cellStyle name="40% - Accent6 6 3" xfId="5419" xr:uid="{00000000-0005-0000-0000-000075070000}"/>
    <cellStyle name="40% - Accent6 6 3 2" xfId="13869" xr:uid="{8D681DCF-21DE-4081-85EF-539B6AA2BAFA}"/>
    <cellStyle name="40% - Accent6 6 4" xfId="9651" xr:uid="{1E3B91D0-5639-4424-98C7-E6C1EDDD8081}"/>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9A3BF42C-043F-4044-AE72-D0BE2717791C}"/>
    <cellStyle name="40% - Accent6 7 2 3" xfId="12209" xr:uid="{9F4C1347-8763-416C-8773-E85B7344E43D}"/>
    <cellStyle name="40% - Accent6 7 3" xfId="5832" xr:uid="{00000000-0005-0000-0000-000079070000}"/>
    <cellStyle name="40% - Accent6 7 3 2" xfId="14282" xr:uid="{98886ACE-F959-4AA7-A3DD-855687C5BB79}"/>
    <cellStyle name="40% - Accent6 7 4" xfId="10064" xr:uid="{F5C10CAF-447A-40F8-8824-21B71002C529}"/>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5BB4BA42-EE5C-4B6C-959A-F3D4EB1B2E8C}"/>
    <cellStyle name="40% - Accent6 8 2 3" xfId="12622" xr:uid="{F355F0B8-5BB1-4996-89E9-21D0052986EF}"/>
    <cellStyle name="40% - Accent6 8 3" xfId="6245" xr:uid="{00000000-0005-0000-0000-00007D070000}"/>
    <cellStyle name="40% - Accent6 8 3 2" xfId="14695" xr:uid="{0F0604E0-9BA4-4F8C-8B05-91E3F60A75BC}"/>
    <cellStyle name="40% - Accent6 8 4" xfId="10477" xr:uid="{A75733D5-EB9C-44E6-BEC8-9CA4A942333C}"/>
    <cellStyle name="40% - Accent6 9" xfId="2352" xr:uid="{00000000-0005-0000-0000-00007E070000}"/>
    <cellStyle name="40% - Accent6 9 2" xfId="6658" xr:uid="{00000000-0005-0000-0000-00007F070000}"/>
    <cellStyle name="40% - Accent6 9 2 2" xfId="15108" xr:uid="{59ED6656-6708-46C6-A071-3A5731C9D82D}"/>
    <cellStyle name="40% - Accent6 9 3" xfId="10890" xr:uid="{E23BD47D-301F-4448-9B59-462F9BA0DB9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E2BE4D27-C86F-43CD-A533-2BED889F75BE}"/>
    <cellStyle name="Comma 4 2 2 2 10 3" xfId="11215" xr:uid="{9051E0B4-F14A-409D-B4FF-9213ABA1F787}"/>
    <cellStyle name="Comma 4 2 2 2 11" xfId="4600" xr:uid="{00000000-0005-0000-0000-0000A3070000}"/>
    <cellStyle name="Comma 4 2 2 2 11 2" xfId="13050" xr:uid="{DAFA2B8E-5E18-40BF-9FCE-EA0B8294B6DF}"/>
    <cellStyle name="Comma 4 2 2 2 12" xfId="8832" xr:uid="{77FC0B9A-0E90-43D2-8FF2-5D139C60A3E1}"/>
    <cellStyle name="Comma 4 2 2 2 2" xfId="129" xr:uid="{00000000-0005-0000-0000-0000A4070000}"/>
    <cellStyle name="Comma 4 2 2 2 2 10" xfId="4601" xr:uid="{00000000-0005-0000-0000-0000A5070000}"/>
    <cellStyle name="Comma 4 2 2 2 2 10 2" xfId="13051" xr:uid="{2B1F0AD9-03C8-43E8-A837-C6C4A66B9CD2}"/>
    <cellStyle name="Comma 4 2 2 2 2 11" xfId="8833" xr:uid="{B2EC0EF1-5C25-4EDF-B99B-6B3EB5375E6F}"/>
    <cellStyle name="Comma 4 2 2 2 2 2" xfId="130" xr:uid="{00000000-0005-0000-0000-0000A6070000}"/>
    <cellStyle name="Comma 4 2 2 2 2 2 10" xfId="8834" xr:uid="{8C032825-3E8A-4DE6-9CEE-1FF221E86796}"/>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70F338AA-288C-4510-9414-181A32096BC7}"/>
    <cellStyle name="Comma 4 2 2 2 2 2 2 2 3" xfId="11393" xr:uid="{B4CA682E-56D3-402C-8ED2-3C560F65EF15}"/>
    <cellStyle name="Comma 4 2 2 2 2 2 2 3" xfId="5016" xr:uid="{00000000-0005-0000-0000-0000AA070000}"/>
    <cellStyle name="Comma 4 2 2 2 2 2 2 3 2" xfId="13466" xr:uid="{39D36496-3ADA-4BB6-A088-B83DA391F33B}"/>
    <cellStyle name="Comma 4 2 2 2 2 2 2 4" xfId="9248" xr:uid="{ACB55512-5EA1-4B51-9A0E-CA42B95C2B29}"/>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CACEA5B4-744F-4497-995A-B8C15FAD0EE2}"/>
    <cellStyle name="Comma 4 2 2 2 2 2 3 2 3" xfId="11806" xr:uid="{362950C0-5D67-4CB6-AEF2-3A1712512326}"/>
    <cellStyle name="Comma 4 2 2 2 2 2 3 3" xfId="5429" xr:uid="{00000000-0005-0000-0000-0000AE070000}"/>
    <cellStyle name="Comma 4 2 2 2 2 2 3 3 2" xfId="13879" xr:uid="{EE5E9697-9D8F-413B-81D0-45EDB615D27E}"/>
    <cellStyle name="Comma 4 2 2 2 2 2 3 4" xfId="9661" xr:uid="{5A354948-DADE-4458-874E-4B6A8C58CEC9}"/>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53137365-BD88-4595-B6AF-3F109E2B0934}"/>
    <cellStyle name="Comma 4 2 2 2 2 2 4 2 3" xfId="12219" xr:uid="{B4EB0E09-ACA1-4B26-8A4C-3815E1E0E1E8}"/>
    <cellStyle name="Comma 4 2 2 2 2 2 4 3" xfId="5842" xr:uid="{00000000-0005-0000-0000-0000B2070000}"/>
    <cellStyle name="Comma 4 2 2 2 2 2 4 3 2" xfId="14292" xr:uid="{2366D31C-02F3-4014-9F1B-DE493B4FBD1B}"/>
    <cellStyle name="Comma 4 2 2 2 2 2 4 4" xfId="10074" xr:uid="{151A1FD3-599D-4956-9CD7-5D40CC9B1C84}"/>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AAFAC5FA-692B-4C81-A2CB-E23CEA6C3304}"/>
    <cellStyle name="Comma 4 2 2 2 2 2 5 2 3" xfId="12632" xr:uid="{1A3603EC-ECFB-4B8B-8F46-75F7000DE604}"/>
    <cellStyle name="Comma 4 2 2 2 2 2 5 3" xfId="6255" xr:uid="{00000000-0005-0000-0000-0000B6070000}"/>
    <cellStyle name="Comma 4 2 2 2 2 2 5 3 2" xfId="14705" xr:uid="{46BB279F-5DB9-4B14-ABC3-34E882420EED}"/>
    <cellStyle name="Comma 4 2 2 2 2 2 5 4" xfId="10487" xr:uid="{C215A404-27A4-4A6C-BDE1-4B7B3E61579B}"/>
    <cellStyle name="Comma 4 2 2 2 2 2 6" xfId="2384" xr:uid="{00000000-0005-0000-0000-0000B7070000}"/>
    <cellStyle name="Comma 4 2 2 2 2 2 6 2" xfId="6668" xr:uid="{00000000-0005-0000-0000-0000B8070000}"/>
    <cellStyle name="Comma 4 2 2 2 2 2 6 2 2" xfId="15118" xr:uid="{75F9CDF3-04DE-4944-B135-3A04A66A87E0}"/>
    <cellStyle name="Comma 4 2 2 2 2 2 6 3" xfId="10900" xr:uid="{58B8FAFB-EBD2-435F-9DB2-1EAF5CE3354E}"/>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EB5C82A7-13D9-42DF-99EC-CC91A124914B}"/>
    <cellStyle name="Comma 4 2 2 2 2 2 8 3" xfId="11217" xr:uid="{7E888E4D-29CF-4CB7-A421-CFD53A80A869}"/>
    <cellStyle name="Comma 4 2 2 2 2 2 9" xfId="4602" xr:uid="{00000000-0005-0000-0000-0000BC070000}"/>
    <cellStyle name="Comma 4 2 2 2 2 2 9 2" xfId="13052" xr:uid="{E47BFCBA-FAFF-4336-979F-03D70A6FC26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AACC613C-8821-4DBD-8EE8-82CA7E160FD4}"/>
    <cellStyle name="Comma 4 2 2 2 2 3 2 3" xfId="11392" xr:uid="{B8972D14-624E-4713-81B2-0A52C215961C}"/>
    <cellStyle name="Comma 4 2 2 2 2 3 3" xfId="5015" xr:uid="{00000000-0005-0000-0000-0000C0070000}"/>
    <cellStyle name="Comma 4 2 2 2 2 3 3 2" xfId="13465" xr:uid="{BB4F68F6-CE79-47CC-AA3D-27A3A60455D1}"/>
    <cellStyle name="Comma 4 2 2 2 2 3 4" xfId="9247" xr:uid="{3B192B03-9442-42A9-8CEA-73DB5E57A872}"/>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9F1B678D-889C-41AE-8339-16BF7407944E}"/>
    <cellStyle name="Comma 4 2 2 2 2 4 2 3" xfId="11805" xr:uid="{BD5AFA07-F83C-4435-9020-E722F3D5CF1B}"/>
    <cellStyle name="Comma 4 2 2 2 2 4 3" xfId="5428" xr:uid="{00000000-0005-0000-0000-0000C4070000}"/>
    <cellStyle name="Comma 4 2 2 2 2 4 3 2" xfId="13878" xr:uid="{CDFB12BD-9FE7-49AE-BADC-FFFD3DDE4195}"/>
    <cellStyle name="Comma 4 2 2 2 2 4 4" xfId="9660" xr:uid="{2227AE90-3DEF-4D72-9340-5421BBDF6334}"/>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D6A26AEA-B333-40D8-B80A-454C3DD0C7B1}"/>
    <cellStyle name="Comma 4 2 2 2 2 5 2 3" xfId="12218" xr:uid="{0DE08758-5ECC-45BD-8CC8-C6D5C5B39278}"/>
    <cellStyle name="Comma 4 2 2 2 2 5 3" xfId="5841" xr:uid="{00000000-0005-0000-0000-0000C8070000}"/>
    <cellStyle name="Comma 4 2 2 2 2 5 3 2" xfId="14291" xr:uid="{1CE04B2F-4F38-4CED-BB07-FCA8AB3FF75F}"/>
    <cellStyle name="Comma 4 2 2 2 2 5 4" xfId="10073" xr:uid="{4908623D-2007-4D63-9553-89FC933745CB}"/>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9CC96EE0-DEA3-4364-9758-7B55A28CF5D2}"/>
    <cellStyle name="Comma 4 2 2 2 2 6 2 3" xfId="12631" xr:uid="{753883C2-4647-4E62-9ED3-F7534976A39D}"/>
    <cellStyle name="Comma 4 2 2 2 2 6 3" xfId="6254" xr:uid="{00000000-0005-0000-0000-0000CC070000}"/>
    <cellStyle name="Comma 4 2 2 2 2 6 3 2" xfId="14704" xr:uid="{54C5EA48-7CE7-4DED-A3E9-1E655F2FFAFE}"/>
    <cellStyle name="Comma 4 2 2 2 2 6 4" xfId="10486" xr:uid="{E1F0D08B-2376-4C09-9326-F320C9B7C5E8}"/>
    <cellStyle name="Comma 4 2 2 2 2 7" xfId="2383" xr:uid="{00000000-0005-0000-0000-0000CD070000}"/>
    <cellStyle name="Comma 4 2 2 2 2 7 2" xfId="6667" xr:uid="{00000000-0005-0000-0000-0000CE070000}"/>
    <cellStyle name="Comma 4 2 2 2 2 7 2 2" xfId="15117" xr:uid="{3C868859-CBCF-4487-B90E-7BBDD7FC04D0}"/>
    <cellStyle name="Comma 4 2 2 2 2 7 3" xfId="10899" xr:uid="{2AB5F1B5-CE4C-490A-9E48-B60A2EA27343}"/>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AA497859-1135-40F9-BB54-EA018A862277}"/>
    <cellStyle name="Comma 4 2 2 2 2 9 3" xfId="11216" xr:uid="{8E9C3417-C450-4F2A-8768-D758B35A8974}"/>
    <cellStyle name="Comma 4 2 2 2 3" xfId="131" xr:uid="{00000000-0005-0000-0000-0000D2070000}"/>
    <cellStyle name="Comma 4 2 2 2 3 10" xfId="8835" xr:uid="{A2ED2ADE-3774-4871-A894-AD7AC4359C25}"/>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6160BA7-5727-444F-8CEF-F5FF15715F23}"/>
    <cellStyle name="Comma 4 2 2 2 3 2 2 3" xfId="11394" xr:uid="{1238BA0D-0841-41A2-9562-3CD759C93722}"/>
    <cellStyle name="Comma 4 2 2 2 3 2 3" xfId="5017" xr:uid="{00000000-0005-0000-0000-0000D6070000}"/>
    <cellStyle name="Comma 4 2 2 2 3 2 3 2" xfId="13467" xr:uid="{3982ECA6-8DAC-4AB0-B616-82506E49AB72}"/>
    <cellStyle name="Comma 4 2 2 2 3 2 4" xfId="9249" xr:uid="{9037473E-CBC6-4E36-A570-3884DCF4930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8CFF9B89-08D3-477B-BED4-46F68A3DE67E}"/>
    <cellStyle name="Comma 4 2 2 2 3 3 2 3" xfId="11807" xr:uid="{47214A9D-8A3F-4D22-B166-79A17640DB4E}"/>
    <cellStyle name="Comma 4 2 2 2 3 3 3" xfId="5430" xr:uid="{00000000-0005-0000-0000-0000DA070000}"/>
    <cellStyle name="Comma 4 2 2 2 3 3 3 2" xfId="13880" xr:uid="{AE953805-973E-480C-9F8F-B7C3DDEC819E}"/>
    <cellStyle name="Comma 4 2 2 2 3 3 4" xfId="9662" xr:uid="{D560640C-E220-4BB0-88B5-FAD57AFA9D6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369DD87B-F93D-4E04-90B0-4D9184242015}"/>
    <cellStyle name="Comma 4 2 2 2 3 4 2 3" xfId="12220" xr:uid="{C2318157-16F3-4E76-9BF3-57DF4FEA0241}"/>
    <cellStyle name="Comma 4 2 2 2 3 4 3" xfId="5843" xr:uid="{00000000-0005-0000-0000-0000DE070000}"/>
    <cellStyle name="Comma 4 2 2 2 3 4 3 2" xfId="14293" xr:uid="{3676662A-D3D1-42BF-B48D-0E6F6BB44506}"/>
    <cellStyle name="Comma 4 2 2 2 3 4 4" xfId="10075" xr:uid="{8D3C4427-3CE2-4107-8A13-D1E4E423D20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81729152-08D8-4D74-B09B-45B3C738C447}"/>
    <cellStyle name="Comma 4 2 2 2 3 5 2 3" xfId="12633" xr:uid="{2D014B49-4B86-4EF7-A069-CAD1681A6DB6}"/>
    <cellStyle name="Comma 4 2 2 2 3 5 3" xfId="6256" xr:uid="{00000000-0005-0000-0000-0000E2070000}"/>
    <cellStyle name="Comma 4 2 2 2 3 5 3 2" xfId="14706" xr:uid="{1CC4DECC-8067-48C6-A0FE-19E851951FDE}"/>
    <cellStyle name="Comma 4 2 2 2 3 5 4" xfId="10488" xr:uid="{9C5A84EF-2DFB-4A4A-8251-62C63F0EFCFE}"/>
    <cellStyle name="Comma 4 2 2 2 3 6" xfId="2385" xr:uid="{00000000-0005-0000-0000-0000E3070000}"/>
    <cellStyle name="Comma 4 2 2 2 3 6 2" xfId="6669" xr:uid="{00000000-0005-0000-0000-0000E4070000}"/>
    <cellStyle name="Comma 4 2 2 2 3 6 2 2" xfId="15119" xr:uid="{60625200-5CB0-4CC9-B47F-9CA28AB38ED3}"/>
    <cellStyle name="Comma 4 2 2 2 3 6 3" xfId="10901" xr:uid="{D29F7B2E-BE68-40ED-A465-65A686387F48}"/>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64F1F838-32E2-498D-8F4F-B1048591B7D8}"/>
    <cellStyle name="Comma 4 2 2 2 3 8 3" xfId="11218" xr:uid="{FAA11F35-25E0-4FB6-8E55-7DB34BB80985}"/>
    <cellStyle name="Comma 4 2 2 2 3 9" xfId="4603" xr:uid="{00000000-0005-0000-0000-0000E8070000}"/>
    <cellStyle name="Comma 4 2 2 2 3 9 2" xfId="13053" xr:uid="{7C4D50EB-FCC8-4B50-AFC9-4B041D311907}"/>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2078FA4D-01EE-4FEF-994A-2CE1EA78C93B}"/>
    <cellStyle name="Comma 4 2 2 2 4 2 3" xfId="11391" xr:uid="{8BC71958-0BEC-411D-8703-9AB43C42264C}"/>
    <cellStyle name="Comma 4 2 2 2 4 3" xfId="5014" xr:uid="{00000000-0005-0000-0000-0000EC070000}"/>
    <cellStyle name="Comma 4 2 2 2 4 3 2" xfId="13464" xr:uid="{70F9EF3A-4DD8-49B6-BCEA-7D434CD67BEB}"/>
    <cellStyle name="Comma 4 2 2 2 4 4" xfId="9246" xr:uid="{7F019E1A-12BE-43FC-9954-904F4DB84F9D}"/>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48F439C4-52DB-4A83-8974-7146FEDFA219}"/>
    <cellStyle name="Comma 4 2 2 2 5 2 3" xfId="11804" xr:uid="{E5C53A49-9C46-4719-8241-0266BE440E04}"/>
    <cellStyle name="Comma 4 2 2 2 5 3" xfId="5427" xr:uid="{00000000-0005-0000-0000-0000F0070000}"/>
    <cellStyle name="Comma 4 2 2 2 5 3 2" xfId="13877" xr:uid="{E4AE565E-AAF5-4C1A-8E3A-6EF384D47617}"/>
    <cellStyle name="Comma 4 2 2 2 5 4" xfId="9659" xr:uid="{3B0C351B-5353-431A-9EB0-DB47B2159627}"/>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689D29F3-7D5E-4DCE-9173-5901FF268532}"/>
    <cellStyle name="Comma 4 2 2 2 6 2 3" xfId="12217" xr:uid="{F27AE351-EBDD-402D-BF2B-51A7EA9F4F36}"/>
    <cellStyle name="Comma 4 2 2 2 6 3" xfId="5840" xr:uid="{00000000-0005-0000-0000-0000F4070000}"/>
    <cellStyle name="Comma 4 2 2 2 6 3 2" xfId="14290" xr:uid="{76D4F942-32E0-4836-87EC-2820E751D9BD}"/>
    <cellStyle name="Comma 4 2 2 2 6 4" xfId="10072" xr:uid="{21A31539-FF17-46F3-8BE0-5F2C8FD66BF6}"/>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BA11F92A-16CC-4853-862A-B891F38AA227}"/>
    <cellStyle name="Comma 4 2 2 2 7 2 3" xfId="12630" xr:uid="{E77CA9F9-88E8-40F4-BF51-A1B985D70672}"/>
    <cellStyle name="Comma 4 2 2 2 7 3" xfId="6253" xr:uid="{00000000-0005-0000-0000-0000F8070000}"/>
    <cellStyle name="Comma 4 2 2 2 7 3 2" xfId="14703" xr:uid="{C4386B3C-C1E9-4C43-9A44-C710095D62DA}"/>
    <cellStyle name="Comma 4 2 2 2 7 4" xfId="10485" xr:uid="{9513E55D-D2C1-4A79-8395-CA1B7FD30E09}"/>
    <cellStyle name="Comma 4 2 2 2 8" xfId="2382" xr:uid="{00000000-0005-0000-0000-0000F9070000}"/>
    <cellStyle name="Comma 4 2 2 2 8 2" xfId="6666" xr:uid="{00000000-0005-0000-0000-0000FA070000}"/>
    <cellStyle name="Comma 4 2 2 2 8 2 2" xfId="15116" xr:uid="{3E7CB09B-7C75-4FDC-80CA-1274E684DEAE}"/>
    <cellStyle name="Comma 4 2 2 2 8 3" xfId="10898" xr:uid="{8E81C2A4-FF6A-4533-BC14-596ECC438D19}"/>
    <cellStyle name="Comma 4 2 2 2 9" xfId="2381" xr:uid="{00000000-0005-0000-0000-0000FB070000}"/>
    <cellStyle name="Comma 4 2 2 3" xfId="132" xr:uid="{00000000-0005-0000-0000-0000FC070000}"/>
    <cellStyle name="Comma 4 2 2 3 10" xfId="4604" xr:uid="{00000000-0005-0000-0000-0000FD070000}"/>
    <cellStyle name="Comma 4 2 2 3 10 2" xfId="13054" xr:uid="{E5A4580A-BFFD-4533-B474-2D4802E22F21}"/>
    <cellStyle name="Comma 4 2 2 3 11" xfId="8836" xr:uid="{E54F571A-61B4-4E3E-A4E8-76DA4B22B229}"/>
    <cellStyle name="Comma 4 2 2 3 2" xfId="133" xr:uid="{00000000-0005-0000-0000-0000FE070000}"/>
    <cellStyle name="Comma 4 2 2 3 2 10" xfId="8837" xr:uid="{669F8557-1B84-4A93-AED1-824949C78D08}"/>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7534702F-BD58-4D22-B6B7-0C9C01AF39F2}"/>
    <cellStyle name="Comma 4 2 2 3 2 2 2 3" xfId="11396" xr:uid="{3299C51A-B3FC-4454-A543-27A63FF480B2}"/>
    <cellStyle name="Comma 4 2 2 3 2 2 3" xfId="5019" xr:uid="{00000000-0005-0000-0000-000002080000}"/>
    <cellStyle name="Comma 4 2 2 3 2 2 3 2" xfId="13469" xr:uid="{754846C0-4BD0-450A-AE2C-CE43E51429A1}"/>
    <cellStyle name="Comma 4 2 2 3 2 2 4" xfId="9251" xr:uid="{DD797BE3-B7CD-4B3E-9ED8-5D1328D54CC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542E7171-BF7A-4D88-A00A-6A7E21FC69B4}"/>
    <cellStyle name="Comma 4 2 2 3 2 3 2 3" xfId="11809" xr:uid="{889FA582-5F74-475B-B0F5-B8608F1FA239}"/>
    <cellStyle name="Comma 4 2 2 3 2 3 3" xfId="5432" xr:uid="{00000000-0005-0000-0000-000006080000}"/>
    <cellStyle name="Comma 4 2 2 3 2 3 3 2" xfId="13882" xr:uid="{239C141E-EAAB-4334-A588-35CBB56B15CF}"/>
    <cellStyle name="Comma 4 2 2 3 2 3 4" xfId="9664" xr:uid="{260454B8-4B6D-429F-8A8A-1527CEEC778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4189B104-DAF5-4C05-8FFE-DFF825DBFE16}"/>
    <cellStyle name="Comma 4 2 2 3 2 4 2 3" xfId="12222" xr:uid="{D2EC580C-17F9-4E6B-B842-8DD91AC5C1B5}"/>
    <cellStyle name="Comma 4 2 2 3 2 4 3" xfId="5845" xr:uid="{00000000-0005-0000-0000-00000A080000}"/>
    <cellStyle name="Comma 4 2 2 3 2 4 3 2" xfId="14295" xr:uid="{3F946D64-200F-4FBE-913E-39297B0A6008}"/>
    <cellStyle name="Comma 4 2 2 3 2 4 4" xfId="10077" xr:uid="{F0D41128-45B6-4029-9F08-5C283D99011C}"/>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CBFB3F9A-123C-4084-823C-8BAC0D2702F6}"/>
    <cellStyle name="Comma 4 2 2 3 2 5 2 3" xfId="12635" xr:uid="{C13F4746-8CE1-48C2-83B5-45720FB92E41}"/>
    <cellStyle name="Comma 4 2 2 3 2 5 3" xfId="6258" xr:uid="{00000000-0005-0000-0000-00000E080000}"/>
    <cellStyle name="Comma 4 2 2 3 2 5 3 2" xfId="14708" xr:uid="{035747AB-BBCB-42F4-A5C4-A191BE8ECBE7}"/>
    <cellStyle name="Comma 4 2 2 3 2 5 4" xfId="10490" xr:uid="{55EE62F6-04C9-454D-B4D8-CEEAF7F6E066}"/>
    <cellStyle name="Comma 4 2 2 3 2 6" xfId="2387" xr:uid="{00000000-0005-0000-0000-00000F080000}"/>
    <cellStyle name="Comma 4 2 2 3 2 6 2" xfId="6671" xr:uid="{00000000-0005-0000-0000-000010080000}"/>
    <cellStyle name="Comma 4 2 2 3 2 6 2 2" xfId="15121" xr:uid="{C66584F2-742F-4333-9061-763B07DA4D3F}"/>
    <cellStyle name="Comma 4 2 2 3 2 6 3" xfId="10903" xr:uid="{A0BBFE14-824D-41C0-AB25-2F1D8ED37C42}"/>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F5A260D0-0E0B-40BB-889D-BFED26082C00}"/>
    <cellStyle name="Comma 4 2 2 3 2 8 3" xfId="11220" xr:uid="{BD7935FD-91CE-46EF-9815-B13ADBBC4FDF}"/>
    <cellStyle name="Comma 4 2 2 3 2 9" xfId="4605" xr:uid="{00000000-0005-0000-0000-000014080000}"/>
    <cellStyle name="Comma 4 2 2 3 2 9 2" xfId="13055" xr:uid="{E718A445-BB75-467D-B4CB-4E6B672563FF}"/>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B3DBD1D4-5CA4-4375-B9C6-D48EDFC3D8F9}"/>
    <cellStyle name="Comma 4 2 2 3 3 2 3" xfId="11395" xr:uid="{6473A89B-9B62-4DB5-8F31-476FBF61A806}"/>
    <cellStyle name="Comma 4 2 2 3 3 3" xfId="5018" xr:uid="{00000000-0005-0000-0000-000018080000}"/>
    <cellStyle name="Comma 4 2 2 3 3 3 2" xfId="13468" xr:uid="{6A2885C0-AACA-4CE1-8C90-266004C0E0CB}"/>
    <cellStyle name="Comma 4 2 2 3 3 4" xfId="9250" xr:uid="{B642CFFF-068F-4EFF-ABD3-14DBFEA197D4}"/>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1237814F-28C9-40DA-843E-245756B2A0A5}"/>
    <cellStyle name="Comma 4 2 2 3 4 2 3" xfId="11808" xr:uid="{D5E222BD-3DC5-4C67-8080-D6781B776318}"/>
    <cellStyle name="Comma 4 2 2 3 4 3" xfId="5431" xr:uid="{00000000-0005-0000-0000-00001C080000}"/>
    <cellStyle name="Comma 4 2 2 3 4 3 2" xfId="13881" xr:uid="{CD729C2A-B0BE-42F7-83D6-8B2CD8BD4792}"/>
    <cellStyle name="Comma 4 2 2 3 4 4" xfId="9663" xr:uid="{1FF3F23B-432A-45F1-813E-FBF0CF7438D8}"/>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11840E55-F7CD-4C1E-8018-A25E8B357285}"/>
    <cellStyle name="Comma 4 2 2 3 5 2 3" xfId="12221" xr:uid="{CD883C9D-AC4B-4035-8E5D-40776A4AAEE1}"/>
    <cellStyle name="Comma 4 2 2 3 5 3" xfId="5844" xr:uid="{00000000-0005-0000-0000-000020080000}"/>
    <cellStyle name="Comma 4 2 2 3 5 3 2" xfId="14294" xr:uid="{63A3ECDC-93F4-4833-9294-7576777F6EAA}"/>
    <cellStyle name="Comma 4 2 2 3 5 4" xfId="10076" xr:uid="{FF813CFA-872B-4AB8-93E0-33290FB725B0}"/>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2E8C7E0E-3F01-4A46-BE01-2395604475AD}"/>
    <cellStyle name="Comma 4 2 2 3 6 2 3" xfId="12634" xr:uid="{317E2296-0E67-48A1-BD42-6850B641364E}"/>
    <cellStyle name="Comma 4 2 2 3 6 3" xfId="6257" xr:uid="{00000000-0005-0000-0000-000024080000}"/>
    <cellStyle name="Comma 4 2 2 3 6 3 2" xfId="14707" xr:uid="{25C24EFB-A0EB-4BF3-8FF5-4CA586B5BFC6}"/>
    <cellStyle name="Comma 4 2 2 3 6 4" xfId="10489" xr:uid="{F68F9C60-58D7-4FD0-943A-E973D3DC114E}"/>
    <cellStyle name="Comma 4 2 2 3 7" xfId="2386" xr:uid="{00000000-0005-0000-0000-000025080000}"/>
    <cellStyle name="Comma 4 2 2 3 7 2" xfId="6670" xr:uid="{00000000-0005-0000-0000-000026080000}"/>
    <cellStyle name="Comma 4 2 2 3 7 2 2" xfId="15120" xr:uid="{D03AE4D9-A304-46B5-88A5-51044BE175EC}"/>
    <cellStyle name="Comma 4 2 2 3 7 3" xfId="10902" xr:uid="{5CB58F2C-C7CC-4395-993A-5D188A3574C5}"/>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2F2E7072-1C56-475D-AF36-A10107620077}"/>
    <cellStyle name="Comma 4 2 2 3 9 3" xfId="11219" xr:uid="{99F12134-6F49-4B23-B82E-1134B94AE02F}"/>
    <cellStyle name="Comma 4 2 2 4" xfId="134" xr:uid="{00000000-0005-0000-0000-00002A080000}"/>
    <cellStyle name="Comma 4 2 2 4 10" xfId="8838" xr:uid="{8294E36A-4F84-4265-A3CE-724E3E25A910}"/>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1D4F1B39-496C-4543-8DE2-CDE5F8310027}"/>
    <cellStyle name="Comma 4 2 2 4 2 2 3" xfId="11397" xr:uid="{099E3AFB-B562-4411-9936-E5413884DFE9}"/>
    <cellStyle name="Comma 4 2 2 4 2 3" xfId="5020" xr:uid="{00000000-0005-0000-0000-00002E080000}"/>
    <cellStyle name="Comma 4 2 2 4 2 3 2" xfId="13470" xr:uid="{7FEC326B-4D16-49FD-A8B9-D4AE5896CE2E}"/>
    <cellStyle name="Comma 4 2 2 4 2 4" xfId="9252" xr:uid="{3AA63404-DE6D-44F8-B59C-F573A15E23D0}"/>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453254EA-C991-4A25-A2C7-9CE9F40F3C02}"/>
    <cellStyle name="Comma 4 2 2 4 3 2 3" xfId="11810" xr:uid="{4585CB30-7591-449D-B513-5F438739BC7C}"/>
    <cellStyle name="Comma 4 2 2 4 3 3" xfId="5433" xr:uid="{00000000-0005-0000-0000-000032080000}"/>
    <cellStyle name="Comma 4 2 2 4 3 3 2" xfId="13883" xr:uid="{EB7628BF-02F0-4A77-9375-C642BDAE2FF3}"/>
    <cellStyle name="Comma 4 2 2 4 3 4" xfId="9665" xr:uid="{BC65CF53-5E70-419D-8249-593D594A3705}"/>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6A5B8C9D-AF12-4159-A7C9-F707BBB42752}"/>
    <cellStyle name="Comma 4 2 2 4 4 2 3" xfId="12223" xr:uid="{BABA54E2-ECBB-42B0-A9A3-49763A8920EE}"/>
    <cellStyle name="Comma 4 2 2 4 4 3" xfId="5846" xr:uid="{00000000-0005-0000-0000-000036080000}"/>
    <cellStyle name="Comma 4 2 2 4 4 3 2" xfId="14296" xr:uid="{55F0B24B-C1E9-40E1-8006-3EE32BC7EE98}"/>
    <cellStyle name="Comma 4 2 2 4 4 4" xfId="10078" xr:uid="{A733B439-F9A5-4FF5-9B28-C61B216B56CB}"/>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B26FA9A8-6759-4017-B4DE-CBBEA5AD5603}"/>
    <cellStyle name="Comma 4 2 2 4 5 2 3" xfId="12636" xr:uid="{8AB9C6E8-6F9C-4587-881E-9DD7D4A45ED5}"/>
    <cellStyle name="Comma 4 2 2 4 5 3" xfId="6259" xr:uid="{00000000-0005-0000-0000-00003A080000}"/>
    <cellStyle name="Comma 4 2 2 4 5 3 2" xfId="14709" xr:uid="{54EE37A3-F784-4D30-8734-E60663AA1E88}"/>
    <cellStyle name="Comma 4 2 2 4 5 4" xfId="10491" xr:uid="{3E682225-DDBC-436F-9482-692056A3DD44}"/>
    <cellStyle name="Comma 4 2 2 4 6" xfId="2388" xr:uid="{00000000-0005-0000-0000-00003B080000}"/>
    <cellStyle name="Comma 4 2 2 4 6 2" xfId="6672" xr:uid="{00000000-0005-0000-0000-00003C080000}"/>
    <cellStyle name="Comma 4 2 2 4 6 2 2" xfId="15122" xr:uid="{4503914B-8527-484F-B6E2-0A3B26B9935A}"/>
    <cellStyle name="Comma 4 2 2 4 6 3" xfId="10904" xr:uid="{5D8335A0-0BB7-4306-9124-9919A9815793}"/>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33B01ABA-7BA6-4F74-AEBC-3ED7E8C2D394}"/>
    <cellStyle name="Comma 4 2 2 4 8 3" xfId="11221" xr:uid="{5017C814-8319-4521-B364-09C0612615CF}"/>
    <cellStyle name="Comma 4 2 2 4 9" xfId="4606" xr:uid="{00000000-0005-0000-0000-000040080000}"/>
    <cellStyle name="Comma 4 2 2 4 9 2" xfId="13056" xr:uid="{72A95AC6-791D-4015-92B3-3B433952803C}"/>
    <cellStyle name="Comma 4 2 2 5" xfId="135" xr:uid="{00000000-0005-0000-0000-000041080000}"/>
    <cellStyle name="Comma 4 2 2 5 10" xfId="8839" xr:uid="{62070777-DE76-4438-AA6C-148E80CC527C}"/>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F6BCF0F1-F0A1-489F-B343-2C2D1AA60708}"/>
    <cellStyle name="Comma 4 2 2 5 2 2 3" xfId="11398" xr:uid="{01DAE3B5-0665-40DE-A903-0FBF7ADAAFED}"/>
    <cellStyle name="Comma 4 2 2 5 2 3" xfId="5021" xr:uid="{00000000-0005-0000-0000-000045080000}"/>
    <cellStyle name="Comma 4 2 2 5 2 3 2" xfId="13471" xr:uid="{415F188F-612E-4565-B309-76675ED3EA2A}"/>
    <cellStyle name="Comma 4 2 2 5 2 4" xfId="9253" xr:uid="{00A489F3-30B0-4459-BEF1-70049E85E3D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BE23353A-F845-45F4-ABCD-0E3432BB110B}"/>
    <cellStyle name="Comma 4 2 2 5 3 2 3" xfId="11811" xr:uid="{00523FDE-009B-45A7-BFFF-16F66BFC4093}"/>
    <cellStyle name="Comma 4 2 2 5 3 3" xfId="5434" xr:uid="{00000000-0005-0000-0000-000049080000}"/>
    <cellStyle name="Comma 4 2 2 5 3 3 2" xfId="13884" xr:uid="{E9963FC9-DEF8-4E09-8889-906CA51BFF57}"/>
    <cellStyle name="Comma 4 2 2 5 3 4" xfId="9666" xr:uid="{17191A53-7372-4BA4-929B-2BC78E6FD89B}"/>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A0F87D86-892C-4493-BB3B-83320DAA8494}"/>
    <cellStyle name="Comma 4 2 2 5 4 2 3" xfId="12224" xr:uid="{7E4FF03E-DF65-4B94-84EF-36ADDDC481D1}"/>
    <cellStyle name="Comma 4 2 2 5 4 3" xfId="5847" xr:uid="{00000000-0005-0000-0000-00004D080000}"/>
    <cellStyle name="Comma 4 2 2 5 4 3 2" xfId="14297" xr:uid="{5E9F71AE-2503-44D9-9F9F-24C78614A055}"/>
    <cellStyle name="Comma 4 2 2 5 4 4" xfId="10079" xr:uid="{2762C3AC-C2B3-4F47-83D2-B4C686195031}"/>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42117409-2381-4811-BFB5-0BED9C8B0023}"/>
    <cellStyle name="Comma 4 2 2 5 5 2 3" xfId="12637" xr:uid="{FA7B389D-4669-44E5-8B20-3BFC1CBF56B7}"/>
    <cellStyle name="Comma 4 2 2 5 5 3" xfId="6260" xr:uid="{00000000-0005-0000-0000-000051080000}"/>
    <cellStyle name="Comma 4 2 2 5 5 3 2" xfId="14710" xr:uid="{19C38E7D-6BED-48C5-937A-11E38C9A947B}"/>
    <cellStyle name="Comma 4 2 2 5 5 4" xfId="10492" xr:uid="{2E903105-260F-47CA-B270-89C0D61EE65E}"/>
    <cellStyle name="Comma 4 2 2 5 6" xfId="2389" xr:uid="{00000000-0005-0000-0000-000052080000}"/>
    <cellStyle name="Comma 4 2 2 5 6 2" xfId="6673" xr:uid="{00000000-0005-0000-0000-000053080000}"/>
    <cellStyle name="Comma 4 2 2 5 6 2 2" xfId="15123" xr:uid="{3DAF68E6-A403-474E-89A4-C0906F4B2023}"/>
    <cellStyle name="Comma 4 2 2 5 6 3" xfId="10905" xr:uid="{F32EAB9D-31BD-4275-A9DF-7F735C0E4E7D}"/>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137906B8-C454-4C17-B8E4-227A1CFB33A4}"/>
    <cellStyle name="Comma 4 2 2 5 8 3" xfId="11222" xr:uid="{5E8CE334-80AD-46F5-8A81-DEEEABCC9948}"/>
    <cellStyle name="Comma 4 2 2 5 9" xfId="4607" xr:uid="{00000000-0005-0000-0000-000057080000}"/>
    <cellStyle name="Comma 4 2 2 5 9 2" xfId="13057" xr:uid="{2D4DD5A1-0378-4B82-9997-607CCB2CEF07}"/>
    <cellStyle name="Comma 4 2 3" xfId="136" xr:uid="{00000000-0005-0000-0000-000058080000}"/>
    <cellStyle name="Comma 4 2 3 10" xfId="2768" xr:uid="{00000000-0005-0000-0000-000059080000}"/>
    <cellStyle name="Comma 4 2 3 10 2" xfId="6991" xr:uid="{00000000-0005-0000-0000-00005A080000}"/>
    <cellStyle name="Comma 4 2 3 10 2 2" xfId="15441" xr:uid="{44142ECE-ED3A-4BE2-A753-B9B37BB9B2D9}"/>
    <cellStyle name="Comma 4 2 3 10 3" xfId="11223" xr:uid="{86E49553-53D3-439E-8780-234C81CEE220}"/>
    <cellStyle name="Comma 4 2 3 11" xfId="4608" xr:uid="{00000000-0005-0000-0000-00005B080000}"/>
    <cellStyle name="Comma 4 2 3 11 2" xfId="13058" xr:uid="{E40290A9-E1BF-4C6C-81A3-E5AF373B8B47}"/>
    <cellStyle name="Comma 4 2 3 12" xfId="8840" xr:uid="{6B25F332-5B22-43B6-BC7C-6BE8FA579887}"/>
    <cellStyle name="Comma 4 2 3 2" xfId="137" xr:uid="{00000000-0005-0000-0000-00005C080000}"/>
    <cellStyle name="Comma 4 2 3 2 10" xfId="4609" xr:uid="{00000000-0005-0000-0000-00005D080000}"/>
    <cellStyle name="Comma 4 2 3 2 10 2" xfId="13059" xr:uid="{2616EB35-9553-43F1-9A66-79870ED6031C}"/>
    <cellStyle name="Comma 4 2 3 2 11" xfId="8841" xr:uid="{F5E3AD9D-8F55-442E-B7D0-31E5BA886F98}"/>
    <cellStyle name="Comma 4 2 3 2 2" xfId="138" xr:uid="{00000000-0005-0000-0000-00005E080000}"/>
    <cellStyle name="Comma 4 2 3 2 2 10" xfId="8842" xr:uid="{32D4AFAF-2937-49B7-A63A-DB5157EDE05E}"/>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DF69980E-D350-4E3F-AAFA-C8F524AA3501}"/>
    <cellStyle name="Comma 4 2 3 2 2 2 2 3" xfId="11401" xr:uid="{C70261A4-31C9-4EEC-916D-57143A13EA56}"/>
    <cellStyle name="Comma 4 2 3 2 2 2 3" xfId="5024" xr:uid="{00000000-0005-0000-0000-000062080000}"/>
    <cellStyle name="Comma 4 2 3 2 2 2 3 2" xfId="13474" xr:uid="{BAFE2C3C-AE88-484D-8760-7A1CF9445170}"/>
    <cellStyle name="Comma 4 2 3 2 2 2 4" xfId="9256" xr:uid="{814EC181-34C7-4021-8C9D-9EEAD62DADF9}"/>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442730E5-CD4E-4C48-9729-919C403874CC}"/>
    <cellStyle name="Comma 4 2 3 2 2 3 2 3" xfId="11814" xr:uid="{9C4B8AC2-46E3-4BA8-9DC3-3F575FA80EF6}"/>
    <cellStyle name="Comma 4 2 3 2 2 3 3" xfId="5437" xr:uid="{00000000-0005-0000-0000-000066080000}"/>
    <cellStyle name="Comma 4 2 3 2 2 3 3 2" xfId="13887" xr:uid="{565F1CE9-7B47-4213-8AA2-AFB517E4103C}"/>
    <cellStyle name="Comma 4 2 3 2 2 3 4" xfId="9669" xr:uid="{26D7BE20-62FC-4796-BB68-629B83816C98}"/>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F8065857-855D-4E2D-911E-E964701E2942}"/>
    <cellStyle name="Comma 4 2 3 2 2 4 2 3" xfId="12227" xr:uid="{3821C57A-1219-4806-AB92-7DE0C427BDE9}"/>
    <cellStyle name="Comma 4 2 3 2 2 4 3" xfId="5850" xr:uid="{00000000-0005-0000-0000-00006A080000}"/>
    <cellStyle name="Comma 4 2 3 2 2 4 3 2" xfId="14300" xr:uid="{91276CA1-683E-4D1F-84F2-5FAEA44FE560}"/>
    <cellStyle name="Comma 4 2 3 2 2 4 4" xfId="10082" xr:uid="{9759AA65-06ED-41F1-932D-79A7EECEA415}"/>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9CDE630A-72D3-48D3-9D54-04FE13FB3DF2}"/>
    <cellStyle name="Comma 4 2 3 2 2 5 2 3" xfId="12640" xr:uid="{D4D64C3F-685D-41C4-A423-2C305E63E1DC}"/>
    <cellStyle name="Comma 4 2 3 2 2 5 3" xfId="6263" xr:uid="{00000000-0005-0000-0000-00006E080000}"/>
    <cellStyle name="Comma 4 2 3 2 2 5 3 2" xfId="14713" xr:uid="{032C61AB-1B1C-40C8-91ED-40B132E4D7FD}"/>
    <cellStyle name="Comma 4 2 3 2 2 5 4" xfId="10495" xr:uid="{480AB384-A9A7-4435-95B1-9AED213D0116}"/>
    <cellStyle name="Comma 4 2 3 2 2 6" xfId="2392" xr:uid="{00000000-0005-0000-0000-00006F080000}"/>
    <cellStyle name="Comma 4 2 3 2 2 6 2" xfId="6676" xr:uid="{00000000-0005-0000-0000-000070080000}"/>
    <cellStyle name="Comma 4 2 3 2 2 6 2 2" xfId="15126" xr:uid="{A29FC79A-9B13-422A-BAF5-962220F0792D}"/>
    <cellStyle name="Comma 4 2 3 2 2 6 3" xfId="10908" xr:uid="{0ABDDB2B-42E9-4B3E-92B2-9BB367E386D0}"/>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EC9BA42D-0755-4E93-9318-AFF6DBB7C31B}"/>
    <cellStyle name="Comma 4 2 3 2 2 8 3" xfId="11225" xr:uid="{F41103BD-29C0-46A0-9C66-3453B98E6F79}"/>
    <cellStyle name="Comma 4 2 3 2 2 9" xfId="4610" xr:uid="{00000000-0005-0000-0000-000074080000}"/>
    <cellStyle name="Comma 4 2 3 2 2 9 2" xfId="13060" xr:uid="{4DBE1688-3434-4B7C-8157-87A45EEDD818}"/>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97B7669E-5DA8-4A14-B571-ABED6BD6CB15}"/>
    <cellStyle name="Comma 4 2 3 2 3 2 3" xfId="11400" xr:uid="{4079E5D8-784E-4444-91FB-248047500478}"/>
    <cellStyle name="Comma 4 2 3 2 3 3" xfId="5023" xr:uid="{00000000-0005-0000-0000-000078080000}"/>
    <cellStyle name="Comma 4 2 3 2 3 3 2" xfId="13473" xr:uid="{9751CDEC-7894-4D2C-A2CD-675A62E00DF8}"/>
    <cellStyle name="Comma 4 2 3 2 3 4" xfId="9255" xr:uid="{62C6DB30-15C1-40D8-A64F-74239F9E3176}"/>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E9FD2F36-279B-4094-BE07-2372626F88A7}"/>
    <cellStyle name="Comma 4 2 3 2 4 2 3" xfId="11813" xr:uid="{8D2B5667-EF41-44F2-8DBA-2A268DBC9CAD}"/>
    <cellStyle name="Comma 4 2 3 2 4 3" xfId="5436" xr:uid="{00000000-0005-0000-0000-00007C080000}"/>
    <cellStyle name="Comma 4 2 3 2 4 3 2" xfId="13886" xr:uid="{0E71BC23-533D-4A9B-9666-F268BF932EC2}"/>
    <cellStyle name="Comma 4 2 3 2 4 4" xfId="9668" xr:uid="{62F2CB8E-79EA-466D-9D5E-8F40CABE5B4B}"/>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18E07727-DEA8-4531-A01E-6F0F223492EE}"/>
    <cellStyle name="Comma 4 2 3 2 5 2 3" xfId="12226" xr:uid="{B0D627FC-DD80-46A2-A140-BC81F1B90F3D}"/>
    <cellStyle name="Comma 4 2 3 2 5 3" xfId="5849" xr:uid="{00000000-0005-0000-0000-000080080000}"/>
    <cellStyle name="Comma 4 2 3 2 5 3 2" xfId="14299" xr:uid="{AF58404A-46BE-4B60-8B47-B3FCFAF6B019}"/>
    <cellStyle name="Comma 4 2 3 2 5 4" xfId="10081" xr:uid="{FCDEE229-7D85-4D92-8628-0280AF142F59}"/>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87EA54B3-44F7-4136-A3E8-29B81342E1FD}"/>
    <cellStyle name="Comma 4 2 3 2 6 2 3" xfId="12639" xr:uid="{7638A1B9-2E2B-4C11-B87F-0E681C111AAF}"/>
    <cellStyle name="Comma 4 2 3 2 6 3" xfId="6262" xr:uid="{00000000-0005-0000-0000-000084080000}"/>
    <cellStyle name="Comma 4 2 3 2 6 3 2" xfId="14712" xr:uid="{DE70EA18-5D41-4A1C-B601-6A8F65EFB8D7}"/>
    <cellStyle name="Comma 4 2 3 2 6 4" xfId="10494" xr:uid="{BB616086-2DE1-4676-871F-C3C37CBE2665}"/>
    <cellStyle name="Comma 4 2 3 2 7" xfId="2391" xr:uid="{00000000-0005-0000-0000-000085080000}"/>
    <cellStyle name="Comma 4 2 3 2 7 2" xfId="6675" xr:uid="{00000000-0005-0000-0000-000086080000}"/>
    <cellStyle name="Comma 4 2 3 2 7 2 2" xfId="15125" xr:uid="{D14AF14E-AC36-4F27-8053-FDADBC5FD268}"/>
    <cellStyle name="Comma 4 2 3 2 7 3" xfId="10907" xr:uid="{D4D2B432-1003-49EA-8C94-8A236774138A}"/>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7C0BECE4-5ADC-4BE8-BC03-6217E73C522A}"/>
    <cellStyle name="Comma 4 2 3 2 9 3" xfId="11224" xr:uid="{99B297AB-29D4-47C0-8B88-908FF35A55B0}"/>
    <cellStyle name="Comma 4 2 3 3" xfId="139" xr:uid="{00000000-0005-0000-0000-00008A080000}"/>
    <cellStyle name="Comma 4 2 3 3 10" xfId="8843" xr:uid="{9363CB21-2DEB-481F-81D3-4897B61BEBBD}"/>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24CD4D95-F362-44EA-A114-31BFBECFC5F8}"/>
    <cellStyle name="Comma 4 2 3 3 2 2 3" xfId="11402" xr:uid="{10F72846-9FD5-43B7-86A7-9267E917FD6C}"/>
    <cellStyle name="Comma 4 2 3 3 2 3" xfId="5025" xr:uid="{00000000-0005-0000-0000-00008E080000}"/>
    <cellStyle name="Comma 4 2 3 3 2 3 2" xfId="13475" xr:uid="{707DB1B3-6BD8-46BF-AE14-F04AB7BCA5E8}"/>
    <cellStyle name="Comma 4 2 3 3 2 4" xfId="9257" xr:uid="{D8E256BF-B057-4F5A-8D65-C1D02A1472EC}"/>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06808DCD-792D-480C-B554-F86054F5A027}"/>
    <cellStyle name="Comma 4 2 3 3 3 2 3" xfId="11815" xr:uid="{67EBCB28-42EE-4D3B-A25A-A7F0D638A980}"/>
    <cellStyle name="Comma 4 2 3 3 3 3" xfId="5438" xr:uid="{00000000-0005-0000-0000-000092080000}"/>
    <cellStyle name="Comma 4 2 3 3 3 3 2" xfId="13888" xr:uid="{49790193-7904-4A35-AF97-BA73714206D2}"/>
    <cellStyle name="Comma 4 2 3 3 3 4" xfId="9670" xr:uid="{6C087CCC-7E95-4E7F-8934-85E7CA1DFD7B}"/>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241D6807-91AD-4917-BD80-EC48510F26F2}"/>
    <cellStyle name="Comma 4 2 3 3 4 2 3" xfId="12228" xr:uid="{641575F3-B064-4216-8333-12D4517449A3}"/>
    <cellStyle name="Comma 4 2 3 3 4 3" xfId="5851" xr:uid="{00000000-0005-0000-0000-000096080000}"/>
    <cellStyle name="Comma 4 2 3 3 4 3 2" xfId="14301" xr:uid="{46E86BA4-A25A-455D-AA1F-869BC4F58474}"/>
    <cellStyle name="Comma 4 2 3 3 4 4" xfId="10083" xr:uid="{BC0A34E3-4E27-458D-B89C-642B85790C29}"/>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34C85243-5195-470F-BABC-4E5A1EB54DDA}"/>
    <cellStyle name="Comma 4 2 3 3 5 2 3" xfId="12641" xr:uid="{BB5E56E6-7321-4A2B-AC43-C8BC800D146A}"/>
    <cellStyle name="Comma 4 2 3 3 5 3" xfId="6264" xr:uid="{00000000-0005-0000-0000-00009A080000}"/>
    <cellStyle name="Comma 4 2 3 3 5 3 2" xfId="14714" xr:uid="{C3FAF5D3-551C-416A-AF6E-E1520BAF1E7E}"/>
    <cellStyle name="Comma 4 2 3 3 5 4" xfId="10496" xr:uid="{20B4FAEC-C2A1-4527-B959-CE8AD43A2391}"/>
    <cellStyle name="Comma 4 2 3 3 6" xfId="2393" xr:uid="{00000000-0005-0000-0000-00009B080000}"/>
    <cellStyle name="Comma 4 2 3 3 6 2" xfId="6677" xr:uid="{00000000-0005-0000-0000-00009C080000}"/>
    <cellStyle name="Comma 4 2 3 3 6 2 2" xfId="15127" xr:uid="{808988AF-28D7-4657-8E2B-B4DC7BC6102E}"/>
    <cellStyle name="Comma 4 2 3 3 6 3" xfId="10909" xr:uid="{572641DB-E292-4354-B720-30CB90D496F3}"/>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5BF91613-162D-43DA-8976-89D8090BE80B}"/>
    <cellStyle name="Comma 4 2 3 3 8 3" xfId="11226" xr:uid="{BB16D6E5-6D40-4AA5-A99F-71C54B6A2221}"/>
    <cellStyle name="Comma 4 2 3 3 9" xfId="4611" xr:uid="{00000000-0005-0000-0000-0000A0080000}"/>
    <cellStyle name="Comma 4 2 3 3 9 2" xfId="13061" xr:uid="{438313F2-BC74-4B44-9FFC-E95130E33DBB}"/>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72A92FC9-7EC9-40EC-8B8A-6135FF6D2480}"/>
    <cellStyle name="Comma 4 2 3 4 2 3" xfId="11399" xr:uid="{8ECA4DA5-EECE-4949-B046-CFE91D6A66F5}"/>
    <cellStyle name="Comma 4 2 3 4 3" xfId="5022" xr:uid="{00000000-0005-0000-0000-0000A4080000}"/>
    <cellStyle name="Comma 4 2 3 4 3 2" xfId="13472" xr:uid="{75C84EF0-8C20-4588-909C-E4FAB82C8175}"/>
    <cellStyle name="Comma 4 2 3 4 4" xfId="9254" xr:uid="{0B554EEF-0653-4A25-A606-2773FFA61B1F}"/>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78F82104-B494-4515-99FE-C4F7C543615B}"/>
    <cellStyle name="Comma 4 2 3 5 2 3" xfId="11812" xr:uid="{2AAF3D50-9FA2-45A3-B55A-30C1CD45F246}"/>
    <cellStyle name="Comma 4 2 3 5 3" xfId="5435" xr:uid="{00000000-0005-0000-0000-0000A8080000}"/>
    <cellStyle name="Comma 4 2 3 5 3 2" xfId="13885" xr:uid="{905B1391-BB58-4798-AB19-A58525F8E9C6}"/>
    <cellStyle name="Comma 4 2 3 5 4" xfId="9667" xr:uid="{8ECCCBA4-700C-42A4-AF4F-C68E6377BAF6}"/>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848F7046-6198-43C8-9331-EC90491C621A}"/>
    <cellStyle name="Comma 4 2 3 6 2 3" xfId="12225" xr:uid="{49B393C3-2851-4F0E-B31C-2BABDDBC200A}"/>
    <cellStyle name="Comma 4 2 3 6 3" xfId="5848" xr:uid="{00000000-0005-0000-0000-0000AC080000}"/>
    <cellStyle name="Comma 4 2 3 6 3 2" xfId="14298" xr:uid="{52D56EBE-A118-4F4F-B8FA-A0E9F83C345F}"/>
    <cellStyle name="Comma 4 2 3 6 4" xfId="10080" xr:uid="{F7196C26-724A-4B24-B159-EFAEFD13819B}"/>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868183AE-725B-480F-BEF0-303A710AC525}"/>
    <cellStyle name="Comma 4 2 3 7 2 3" xfId="12638" xr:uid="{F6BC403B-DAC2-4D0D-A867-494963985EE8}"/>
    <cellStyle name="Comma 4 2 3 7 3" xfId="6261" xr:uid="{00000000-0005-0000-0000-0000B0080000}"/>
    <cellStyle name="Comma 4 2 3 7 3 2" xfId="14711" xr:uid="{1D9D6FB7-4064-4F1D-9ACD-6DDFC9A3010F}"/>
    <cellStyle name="Comma 4 2 3 7 4" xfId="10493" xr:uid="{2A9AF3CF-3A4A-4295-9D1E-25C5FC678309}"/>
    <cellStyle name="Comma 4 2 3 8" xfId="2390" xr:uid="{00000000-0005-0000-0000-0000B1080000}"/>
    <cellStyle name="Comma 4 2 3 8 2" xfId="6674" xr:uid="{00000000-0005-0000-0000-0000B2080000}"/>
    <cellStyle name="Comma 4 2 3 8 2 2" xfId="15124" xr:uid="{47981197-5555-4FEE-B313-899B4A8E8B4A}"/>
    <cellStyle name="Comma 4 2 3 8 3" xfId="10906" xr:uid="{C0DDD62A-60A3-49E0-A47E-E717783F1C8A}"/>
    <cellStyle name="Comma 4 2 3 9" xfId="2373" xr:uid="{00000000-0005-0000-0000-0000B3080000}"/>
    <cellStyle name="Comma 4 2 4" xfId="140" xr:uid="{00000000-0005-0000-0000-0000B4080000}"/>
    <cellStyle name="Comma 4 2 4 10" xfId="4612" xr:uid="{00000000-0005-0000-0000-0000B5080000}"/>
    <cellStyle name="Comma 4 2 4 10 2" xfId="13062" xr:uid="{AEC7B4A5-BE0C-4C04-8383-EA7EF1E85235}"/>
    <cellStyle name="Comma 4 2 4 11" xfId="8844" xr:uid="{56F0381F-312C-427C-B84C-AF515F77D2F4}"/>
    <cellStyle name="Comma 4 2 4 2" xfId="141" xr:uid="{00000000-0005-0000-0000-0000B6080000}"/>
    <cellStyle name="Comma 4 2 4 2 10" xfId="8845" xr:uid="{620C9772-4C1A-4EBF-9F02-ED207A382222}"/>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62028E3F-2D50-4A70-A119-7F1AAC215231}"/>
    <cellStyle name="Comma 4 2 4 2 2 2 3" xfId="11404" xr:uid="{20D0F3DC-BD42-4066-9BA6-188164B11F0B}"/>
    <cellStyle name="Comma 4 2 4 2 2 3" xfId="5027" xr:uid="{00000000-0005-0000-0000-0000BA080000}"/>
    <cellStyle name="Comma 4 2 4 2 2 3 2" xfId="13477" xr:uid="{E7C7D6DC-A95E-4753-8566-1D35CE9189EA}"/>
    <cellStyle name="Comma 4 2 4 2 2 4" xfId="9259" xr:uid="{C3702CB8-1104-4B45-BA28-C0119FFD6594}"/>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3580B746-32FD-41BC-AAA0-824E56589111}"/>
    <cellStyle name="Comma 4 2 4 2 3 2 3" xfId="11817" xr:uid="{B702F161-FB8A-48A2-AA7A-A0A0A7F9F561}"/>
    <cellStyle name="Comma 4 2 4 2 3 3" xfId="5440" xr:uid="{00000000-0005-0000-0000-0000BE080000}"/>
    <cellStyle name="Comma 4 2 4 2 3 3 2" xfId="13890" xr:uid="{59329B24-AB59-431C-990E-71E643AFCDB8}"/>
    <cellStyle name="Comma 4 2 4 2 3 4" xfId="9672" xr:uid="{FB43C897-EFFF-48B2-8564-1EE5D0ECD45E}"/>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F16D0EF5-D562-403B-9E44-243ACD9FAB02}"/>
    <cellStyle name="Comma 4 2 4 2 4 2 3" xfId="12230" xr:uid="{61344F71-43D2-4A8E-8224-E060234E20B2}"/>
    <cellStyle name="Comma 4 2 4 2 4 3" xfId="5853" xr:uid="{00000000-0005-0000-0000-0000C2080000}"/>
    <cellStyle name="Comma 4 2 4 2 4 3 2" xfId="14303" xr:uid="{EDF885F8-2986-4FC0-9158-151ADEF6E064}"/>
    <cellStyle name="Comma 4 2 4 2 4 4" xfId="10085" xr:uid="{E48358E9-C356-40BE-B17F-7697BD67BE92}"/>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5C27BDAC-00F5-4724-88EA-511D7C36583E}"/>
    <cellStyle name="Comma 4 2 4 2 5 2 3" xfId="12643" xr:uid="{A3026665-0F12-4B7D-89AF-44360E4F8DFD}"/>
    <cellStyle name="Comma 4 2 4 2 5 3" xfId="6266" xr:uid="{00000000-0005-0000-0000-0000C6080000}"/>
    <cellStyle name="Comma 4 2 4 2 5 3 2" xfId="14716" xr:uid="{B6A7924D-7669-4055-81C9-48286E9DB58E}"/>
    <cellStyle name="Comma 4 2 4 2 5 4" xfId="10498" xr:uid="{E0DBB13B-AD5A-4E2A-8C5B-A83A3CDE3C73}"/>
    <cellStyle name="Comma 4 2 4 2 6" xfId="2395" xr:uid="{00000000-0005-0000-0000-0000C7080000}"/>
    <cellStyle name="Comma 4 2 4 2 6 2" xfId="6679" xr:uid="{00000000-0005-0000-0000-0000C8080000}"/>
    <cellStyle name="Comma 4 2 4 2 6 2 2" xfId="15129" xr:uid="{026C47C7-7606-4F5D-81A0-0C404275494F}"/>
    <cellStyle name="Comma 4 2 4 2 6 3" xfId="10911" xr:uid="{E09FAEC8-485E-4EAF-928C-CBE81C94D3AA}"/>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0655E6F0-6AAF-4224-B695-C28BD486D8E4}"/>
    <cellStyle name="Comma 4 2 4 2 8 3" xfId="11228" xr:uid="{1F8A8E00-23B0-48DC-BECC-91F7D2FD8CBD}"/>
    <cellStyle name="Comma 4 2 4 2 9" xfId="4613" xr:uid="{00000000-0005-0000-0000-0000CC080000}"/>
    <cellStyle name="Comma 4 2 4 2 9 2" xfId="13063" xr:uid="{CFCD4587-B2FD-42C1-AEA8-D312A447AF1F}"/>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8AB30AC6-D7CE-41C7-9C55-B54C043943F8}"/>
    <cellStyle name="Comma 4 2 4 3 2 3" xfId="11403" xr:uid="{6C7C2E75-0091-4B1D-999F-B3A4C0F8C93A}"/>
    <cellStyle name="Comma 4 2 4 3 3" xfId="5026" xr:uid="{00000000-0005-0000-0000-0000D0080000}"/>
    <cellStyle name="Comma 4 2 4 3 3 2" xfId="13476" xr:uid="{CC16D733-F1F4-49D4-B5A4-F46DF24AF4E2}"/>
    <cellStyle name="Comma 4 2 4 3 4" xfId="9258" xr:uid="{F5CA2880-4DF4-4B0F-8002-D13B9E0843BC}"/>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ACAB6BD4-C7CB-4356-8ACF-42A0B38EBC23}"/>
    <cellStyle name="Comma 4 2 4 4 2 3" xfId="11816" xr:uid="{461750F8-2687-4B82-940C-B7A355F0BCCD}"/>
    <cellStyle name="Comma 4 2 4 4 3" xfId="5439" xr:uid="{00000000-0005-0000-0000-0000D4080000}"/>
    <cellStyle name="Comma 4 2 4 4 3 2" xfId="13889" xr:uid="{9BA39B36-9EB2-4164-8380-46C7EB69EC30}"/>
    <cellStyle name="Comma 4 2 4 4 4" xfId="9671" xr:uid="{0F08B9BF-9A63-45F9-BF01-939D0FFEB1BC}"/>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92D625D9-2DD8-47D0-8F6D-33F40459EBEA}"/>
    <cellStyle name="Comma 4 2 4 5 2 3" xfId="12229" xr:uid="{A6512D2B-81B5-4B8A-A8A5-2D26A8C8C61B}"/>
    <cellStyle name="Comma 4 2 4 5 3" xfId="5852" xr:uid="{00000000-0005-0000-0000-0000D8080000}"/>
    <cellStyle name="Comma 4 2 4 5 3 2" xfId="14302" xr:uid="{C553637C-5BA6-4853-8973-D1065D681460}"/>
    <cellStyle name="Comma 4 2 4 5 4" xfId="10084" xr:uid="{39026A4D-C571-41A5-B340-F7EA3B926735}"/>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8C202AF0-81C3-4E58-A7F7-F87AF9038E43}"/>
    <cellStyle name="Comma 4 2 4 6 2 3" xfId="12642" xr:uid="{12274CEF-D39F-4E4A-868B-9254326A9AD6}"/>
    <cellStyle name="Comma 4 2 4 6 3" xfId="6265" xr:uid="{00000000-0005-0000-0000-0000DC080000}"/>
    <cellStyle name="Comma 4 2 4 6 3 2" xfId="14715" xr:uid="{9BB2E061-4466-49E8-947B-EE0DF112957C}"/>
    <cellStyle name="Comma 4 2 4 6 4" xfId="10497" xr:uid="{B0692844-3AA7-4FBC-8B9C-2E905EEFC90A}"/>
    <cellStyle name="Comma 4 2 4 7" xfId="2394" xr:uid="{00000000-0005-0000-0000-0000DD080000}"/>
    <cellStyle name="Comma 4 2 4 7 2" xfId="6678" xr:uid="{00000000-0005-0000-0000-0000DE080000}"/>
    <cellStyle name="Comma 4 2 4 7 2 2" xfId="15128" xr:uid="{45FCCAF7-3D38-4071-BB8E-CE45441578EA}"/>
    <cellStyle name="Comma 4 2 4 7 3" xfId="10910" xr:uid="{46AAA43F-A165-4016-92CD-EAB70B1AF412}"/>
    <cellStyle name="Comma 4 2 4 8" xfId="2369" xr:uid="{00000000-0005-0000-0000-0000DF080000}"/>
    <cellStyle name="Comma 4 2 4 9" xfId="2772" xr:uid="{00000000-0005-0000-0000-0000E0080000}"/>
    <cellStyle name="Comma 4 2 4 9 2" xfId="6995" xr:uid="{00000000-0005-0000-0000-0000E1080000}"/>
    <cellStyle name="Comma 4 2 4 9 2 2" xfId="15445" xr:uid="{4F4FE2AF-D743-4FFF-9F52-E9567B94A668}"/>
    <cellStyle name="Comma 4 2 4 9 3" xfId="11227" xr:uid="{FCAC9253-8DBB-4FC6-83C6-6C6B121107BC}"/>
    <cellStyle name="Comma 4 2 5" xfId="142" xr:uid="{00000000-0005-0000-0000-0000E2080000}"/>
    <cellStyle name="Comma 4 2 5 10" xfId="8846" xr:uid="{FC489403-5CAF-41C0-B54D-DDF31D070701}"/>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035F21BB-8275-45F0-8BCD-2FA9788CA5C4}"/>
    <cellStyle name="Comma 4 2 5 2 2 3" xfId="11405" xr:uid="{B43A5248-D58F-4A96-87F6-72C8DE2D4E51}"/>
    <cellStyle name="Comma 4 2 5 2 3" xfId="5028" xr:uid="{00000000-0005-0000-0000-0000E6080000}"/>
    <cellStyle name="Comma 4 2 5 2 3 2" xfId="13478" xr:uid="{F3B0A35D-1231-49BF-9057-6E92BD477724}"/>
    <cellStyle name="Comma 4 2 5 2 4" xfId="9260" xr:uid="{8E4E0A54-51A4-4409-A69E-46B96E04274E}"/>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4A79359B-6EB7-44E2-844D-F81BF10B73EA}"/>
    <cellStyle name="Comma 4 2 5 3 2 3" xfId="11818" xr:uid="{937AA8DD-D7D7-42E0-A620-7FD1FCC2D8E2}"/>
    <cellStyle name="Comma 4 2 5 3 3" xfId="5441" xr:uid="{00000000-0005-0000-0000-0000EA080000}"/>
    <cellStyle name="Comma 4 2 5 3 3 2" xfId="13891" xr:uid="{6E118AD0-4835-469A-AC9B-A163A215A00E}"/>
    <cellStyle name="Comma 4 2 5 3 4" xfId="9673" xr:uid="{96B56538-4297-46A0-A761-F1FE36E7036D}"/>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9AFE058A-EE02-4D5F-BB4A-A6C71AB528A1}"/>
    <cellStyle name="Comma 4 2 5 4 2 3" xfId="12231" xr:uid="{7EAFD2CF-203C-4BE3-8B7C-DF1CE884C24F}"/>
    <cellStyle name="Comma 4 2 5 4 3" xfId="5854" xr:uid="{00000000-0005-0000-0000-0000EE080000}"/>
    <cellStyle name="Comma 4 2 5 4 3 2" xfId="14304" xr:uid="{417EBB97-F6DE-4C61-95A5-B7105FEC9FB4}"/>
    <cellStyle name="Comma 4 2 5 4 4" xfId="10086" xr:uid="{3788C21E-7668-4220-ABBE-0B3227DBBCB0}"/>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75687A3C-A840-4411-BFD4-1F99DB312DC1}"/>
    <cellStyle name="Comma 4 2 5 5 2 3" xfId="12644" xr:uid="{2954316F-CDF9-404F-BDB9-F8516B239A7E}"/>
    <cellStyle name="Comma 4 2 5 5 3" xfId="6267" xr:uid="{00000000-0005-0000-0000-0000F2080000}"/>
    <cellStyle name="Comma 4 2 5 5 3 2" xfId="14717" xr:uid="{1DCC1D2E-F67C-4D69-9747-4C3743220548}"/>
    <cellStyle name="Comma 4 2 5 5 4" xfId="10499" xr:uid="{CCE3ACCB-1FAC-4035-9804-71CEC3EC18D6}"/>
    <cellStyle name="Comma 4 2 5 6" xfId="2396" xr:uid="{00000000-0005-0000-0000-0000F3080000}"/>
    <cellStyle name="Comma 4 2 5 6 2" xfId="6680" xr:uid="{00000000-0005-0000-0000-0000F4080000}"/>
    <cellStyle name="Comma 4 2 5 6 2 2" xfId="15130" xr:uid="{B4F6EF75-A02F-499C-9796-44DCDD4A24B7}"/>
    <cellStyle name="Comma 4 2 5 6 3" xfId="10912" xr:uid="{2F63DD03-479B-46D8-8034-86AA8AA13EA1}"/>
    <cellStyle name="Comma 4 2 5 7" xfId="2367" xr:uid="{00000000-0005-0000-0000-0000F5080000}"/>
    <cellStyle name="Comma 4 2 5 8" xfId="2774" xr:uid="{00000000-0005-0000-0000-0000F6080000}"/>
    <cellStyle name="Comma 4 2 5 8 2" xfId="6997" xr:uid="{00000000-0005-0000-0000-0000F7080000}"/>
    <cellStyle name="Comma 4 2 5 8 2 2" xfId="15447" xr:uid="{9B3B810E-6B45-4DAF-9DFC-DD62A9CD9F1D}"/>
    <cellStyle name="Comma 4 2 5 8 3" xfId="11229" xr:uid="{29540A6B-726E-46D0-AAA7-5F4D360C58C2}"/>
    <cellStyle name="Comma 4 2 5 9" xfId="4614" xr:uid="{00000000-0005-0000-0000-0000F8080000}"/>
    <cellStyle name="Comma 4 2 5 9 2" xfId="13064" xr:uid="{A0297E41-83C7-4190-AC3C-975BADD98B63}"/>
    <cellStyle name="Comma 4 2 6" xfId="143" xr:uid="{00000000-0005-0000-0000-0000F9080000}"/>
    <cellStyle name="Comma 4 2 6 10" xfId="8847" xr:uid="{96423EB5-7B6D-4432-814D-36D611C34765}"/>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C9559EB3-63FB-47F2-B047-C614288EEFF2}"/>
    <cellStyle name="Comma 4 2 6 2 2 3" xfId="11406" xr:uid="{28881CA3-B070-4E23-B6B1-4B799F02D531}"/>
    <cellStyle name="Comma 4 2 6 2 3" xfId="5029" xr:uid="{00000000-0005-0000-0000-0000FD080000}"/>
    <cellStyle name="Comma 4 2 6 2 3 2" xfId="13479" xr:uid="{26CB48B6-E60C-4239-9D77-073F592AAA27}"/>
    <cellStyle name="Comma 4 2 6 2 4" xfId="9261" xr:uid="{5577D3B1-DDBE-49AC-A9D5-3AAE48D80477}"/>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CAA74C7F-44D8-4625-9260-A0C39902CC20}"/>
    <cellStyle name="Comma 4 2 6 3 2 3" xfId="11819" xr:uid="{DE1DFC3A-1BA2-4F6F-8CD9-9437F6103B37}"/>
    <cellStyle name="Comma 4 2 6 3 3" xfId="5442" xr:uid="{00000000-0005-0000-0000-000001090000}"/>
    <cellStyle name="Comma 4 2 6 3 3 2" xfId="13892" xr:uid="{6D5A54E3-F8EF-4A8C-BB11-481F23ADFEFC}"/>
    <cellStyle name="Comma 4 2 6 3 4" xfId="9674" xr:uid="{CBF22DA5-C3EE-4B60-8A41-8D6EABE3FD07}"/>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5A985CD1-19F8-4939-A542-B8B9041046AD}"/>
    <cellStyle name="Comma 4 2 6 4 2 3" xfId="12232" xr:uid="{0BB44628-60BB-49FE-9F7C-DC45AF482515}"/>
    <cellStyle name="Comma 4 2 6 4 3" xfId="5855" xr:uid="{00000000-0005-0000-0000-000005090000}"/>
    <cellStyle name="Comma 4 2 6 4 3 2" xfId="14305" xr:uid="{0C28F552-FB3B-444C-BA3D-05509D4C32B2}"/>
    <cellStyle name="Comma 4 2 6 4 4" xfId="10087" xr:uid="{17B77E28-A6D7-4BFB-BDC1-02EF1C25D3F0}"/>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60417EDF-9E23-4425-AC04-E061A1C80CB9}"/>
    <cellStyle name="Comma 4 2 6 5 2 3" xfId="12645" xr:uid="{D2016698-7F0A-4D43-960F-F6C7448EE2F1}"/>
    <cellStyle name="Comma 4 2 6 5 3" xfId="6268" xr:uid="{00000000-0005-0000-0000-000009090000}"/>
    <cellStyle name="Comma 4 2 6 5 3 2" xfId="14718" xr:uid="{382ACA4F-6475-4AAE-B8C4-C0F25BA8C936}"/>
    <cellStyle name="Comma 4 2 6 5 4" xfId="10500" xr:uid="{91FC102B-100E-472E-B0EF-B806CF7F71ED}"/>
    <cellStyle name="Comma 4 2 6 6" xfId="2397" xr:uid="{00000000-0005-0000-0000-00000A090000}"/>
    <cellStyle name="Comma 4 2 6 6 2" xfId="6681" xr:uid="{00000000-0005-0000-0000-00000B090000}"/>
    <cellStyle name="Comma 4 2 6 6 2 2" xfId="15131" xr:uid="{07ABCC93-5762-4447-BC3E-618E6C4ACF42}"/>
    <cellStyle name="Comma 4 2 6 6 3" xfId="10913" xr:uid="{DA404D9F-6464-46C8-9517-521569F050C6}"/>
    <cellStyle name="Comma 4 2 6 7" xfId="2366" xr:uid="{00000000-0005-0000-0000-00000C090000}"/>
    <cellStyle name="Comma 4 2 6 8" xfId="2775" xr:uid="{00000000-0005-0000-0000-00000D090000}"/>
    <cellStyle name="Comma 4 2 6 8 2" xfId="6998" xr:uid="{00000000-0005-0000-0000-00000E090000}"/>
    <cellStyle name="Comma 4 2 6 8 2 2" xfId="15448" xr:uid="{91850C15-B511-4C21-B3AE-59CE568C39D3}"/>
    <cellStyle name="Comma 4 2 6 8 3" xfId="11230" xr:uid="{521364C8-7149-4D7C-981D-619EF62C01DE}"/>
    <cellStyle name="Comma 4 2 6 9" xfId="4615" xr:uid="{00000000-0005-0000-0000-00000F090000}"/>
    <cellStyle name="Comma 4 2 6 9 2" xfId="13065" xr:uid="{64A56C1D-CDC4-4AD9-A167-17C8AA41F93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9106A299-9094-464E-89A5-205AC020B66A}"/>
    <cellStyle name="Comma 4 3 2 10 3" xfId="11231" xr:uid="{DF4A6920-1190-4122-97A8-80CB191AE90A}"/>
    <cellStyle name="Comma 4 3 2 11" xfId="4616" xr:uid="{00000000-0005-0000-0000-000014090000}"/>
    <cellStyle name="Comma 4 3 2 11 2" xfId="13066" xr:uid="{D97D03E1-F63A-42C1-99B8-0C706728A95C}"/>
    <cellStyle name="Comma 4 3 2 12" xfId="8848" xr:uid="{325C7B13-B146-4F8C-9234-7DCA9D0DD3E6}"/>
    <cellStyle name="Comma 4 3 2 2" xfId="146" xr:uid="{00000000-0005-0000-0000-000015090000}"/>
    <cellStyle name="Comma 4 3 2 2 10" xfId="4617" xr:uid="{00000000-0005-0000-0000-000016090000}"/>
    <cellStyle name="Comma 4 3 2 2 10 2" xfId="13067" xr:uid="{558C584F-AF53-4592-90AC-D5FA794D80D6}"/>
    <cellStyle name="Comma 4 3 2 2 11" xfId="8849" xr:uid="{ACBA583E-6C19-427F-8A02-6E9539AA5EAA}"/>
    <cellStyle name="Comma 4 3 2 2 2" xfId="147" xr:uid="{00000000-0005-0000-0000-000017090000}"/>
    <cellStyle name="Comma 4 3 2 2 2 10" xfId="8850" xr:uid="{F602F586-9526-46C0-8F42-6972FB40356F}"/>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EDDC0BFB-356A-4746-AB3C-25A6D524D77C}"/>
    <cellStyle name="Comma 4 3 2 2 2 2 2 3" xfId="11409" xr:uid="{72FBDFFD-AAD3-4A12-97DF-6A6AFBDAD9FC}"/>
    <cellStyle name="Comma 4 3 2 2 2 2 3" xfId="5032" xr:uid="{00000000-0005-0000-0000-00001B090000}"/>
    <cellStyle name="Comma 4 3 2 2 2 2 3 2" xfId="13482" xr:uid="{1DD35851-8B17-49AB-A000-E959E315F766}"/>
    <cellStyle name="Comma 4 3 2 2 2 2 4" xfId="9264" xr:uid="{41F5FB04-B722-417C-A821-0D103EFF573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D07C821A-7833-4141-A628-AE049F2E837A}"/>
    <cellStyle name="Comma 4 3 2 2 2 3 2 3" xfId="11822" xr:uid="{6BA7C632-9F51-4236-9C40-F7DF5556128E}"/>
    <cellStyle name="Comma 4 3 2 2 2 3 3" xfId="5445" xr:uid="{00000000-0005-0000-0000-00001F090000}"/>
    <cellStyle name="Comma 4 3 2 2 2 3 3 2" xfId="13895" xr:uid="{C582CB8A-EC3D-4591-871C-300A6A40FB3D}"/>
    <cellStyle name="Comma 4 3 2 2 2 3 4" xfId="9677" xr:uid="{7C9D3624-5823-4F3B-8FEF-14F756606E29}"/>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6D2C943A-3AA5-413C-BE81-1632CC0D1AC5}"/>
    <cellStyle name="Comma 4 3 2 2 2 4 2 3" xfId="12235" xr:uid="{F25A1424-A5E1-4476-AD74-3C1B37D4B20D}"/>
    <cellStyle name="Comma 4 3 2 2 2 4 3" xfId="5858" xr:uid="{00000000-0005-0000-0000-000023090000}"/>
    <cellStyle name="Comma 4 3 2 2 2 4 3 2" xfId="14308" xr:uid="{1DD57FFE-BD64-4775-8F85-5AC5873B1F7D}"/>
    <cellStyle name="Comma 4 3 2 2 2 4 4" xfId="10090" xr:uid="{80BB747B-C15C-48EC-8488-EBD8F4643880}"/>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29D9EB88-3CE1-4BEA-97B4-0DC7C135DF1A}"/>
    <cellStyle name="Comma 4 3 2 2 2 5 2 3" xfId="12648" xr:uid="{0CD102B4-D93B-44EB-828E-519F632859AA}"/>
    <cellStyle name="Comma 4 3 2 2 2 5 3" xfId="6271" xr:uid="{00000000-0005-0000-0000-000027090000}"/>
    <cellStyle name="Comma 4 3 2 2 2 5 3 2" xfId="14721" xr:uid="{F10F3ED4-99C4-42B4-B51E-14DF3DA2BBFE}"/>
    <cellStyle name="Comma 4 3 2 2 2 5 4" xfId="10503" xr:uid="{513085CB-F995-458B-AAE4-EED71A1B4AF7}"/>
    <cellStyle name="Comma 4 3 2 2 2 6" xfId="2400" xr:uid="{00000000-0005-0000-0000-000028090000}"/>
    <cellStyle name="Comma 4 3 2 2 2 6 2" xfId="6684" xr:uid="{00000000-0005-0000-0000-000029090000}"/>
    <cellStyle name="Comma 4 3 2 2 2 6 2 2" xfId="15134" xr:uid="{E1BF2DA5-5C88-4657-92EB-18BF78B52FDF}"/>
    <cellStyle name="Comma 4 3 2 2 2 6 3" xfId="10916" xr:uid="{682109E0-A513-4381-9388-08AE368F6E1F}"/>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7ABC33C7-BA0E-4B9C-8B8E-F55C4F3CC1D1}"/>
    <cellStyle name="Comma 4 3 2 2 2 8 3" xfId="11233" xr:uid="{3DDD7D09-F95F-43B3-BE59-C1D2FEC2192B}"/>
    <cellStyle name="Comma 4 3 2 2 2 9" xfId="4618" xr:uid="{00000000-0005-0000-0000-00002D090000}"/>
    <cellStyle name="Comma 4 3 2 2 2 9 2" xfId="13068" xr:uid="{3FBC4CC0-D75D-4B79-B8F0-66ECEAC25D12}"/>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1778D608-5CE0-4B17-BF43-E10611F96392}"/>
    <cellStyle name="Comma 4 3 2 2 3 2 3" xfId="11408" xr:uid="{42FA70DE-9C54-4889-B471-33322066889E}"/>
    <cellStyle name="Comma 4 3 2 2 3 3" xfId="5031" xr:uid="{00000000-0005-0000-0000-000031090000}"/>
    <cellStyle name="Comma 4 3 2 2 3 3 2" xfId="13481" xr:uid="{F49DD6A3-1177-40DA-8804-A198DCA13195}"/>
    <cellStyle name="Comma 4 3 2 2 3 4" xfId="9263" xr:uid="{B20A9D64-93C9-495A-A8D2-E0B33DB9F007}"/>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C63BE942-6610-411E-A0FA-13B7851CFE33}"/>
    <cellStyle name="Comma 4 3 2 2 4 2 3" xfId="11821" xr:uid="{461D6C94-B55D-4522-ADA5-B4C2B32B2BF2}"/>
    <cellStyle name="Comma 4 3 2 2 4 3" xfId="5444" xr:uid="{00000000-0005-0000-0000-000035090000}"/>
    <cellStyle name="Comma 4 3 2 2 4 3 2" xfId="13894" xr:uid="{E779D3D5-8DF9-4F34-B717-1ED733DFDDE9}"/>
    <cellStyle name="Comma 4 3 2 2 4 4" xfId="9676" xr:uid="{747A2389-88B5-4EC4-9966-D6A40BA3AC5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B1D18C1A-B44B-4666-B6C9-F2E7030ECAB3}"/>
    <cellStyle name="Comma 4 3 2 2 5 2 3" xfId="12234" xr:uid="{32BE5194-F781-4C59-B584-600FB6E2C2C0}"/>
    <cellStyle name="Comma 4 3 2 2 5 3" xfId="5857" xr:uid="{00000000-0005-0000-0000-000039090000}"/>
    <cellStyle name="Comma 4 3 2 2 5 3 2" xfId="14307" xr:uid="{9C7706DC-BB2C-45AE-8ABB-D9707235AB28}"/>
    <cellStyle name="Comma 4 3 2 2 5 4" xfId="10089" xr:uid="{97744A86-A922-43F0-827B-5D27F3BB00B4}"/>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70011B8D-1224-4DE8-971B-089D552B7560}"/>
    <cellStyle name="Comma 4 3 2 2 6 2 3" xfId="12647" xr:uid="{5612AB29-6C83-4C74-A693-391D2A63C211}"/>
    <cellStyle name="Comma 4 3 2 2 6 3" xfId="6270" xr:uid="{00000000-0005-0000-0000-00003D090000}"/>
    <cellStyle name="Comma 4 3 2 2 6 3 2" xfId="14720" xr:uid="{83F711A5-1D78-46BF-87DA-30F549102717}"/>
    <cellStyle name="Comma 4 3 2 2 6 4" xfId="10502" xr:uid="{B79C1CF2-52F3-4B92-BAC5-E85B6C5A9424}"/>
    <cellStyle name="Comma 4 3 2 2 7" xfId="2399" xr:uid="{00000000-0005-0000-0000-00003E090000}"/>
    <cellStyle name="Comma 4 3 2 2 7 2" xfId="6683" xr:uid="{00000000-0005-0000-0000-00003F090000}"/>
    <cellStyle name="Comma 4 3 2 2 7 2 2" xfId="15133" xr:uid="{776C7FBC-33F9-42DB-9948-A08A8E41D54D}"/>
    <cellStyle name="Comma 4 3 2 2 7 3" xfId="10915" xr:uid="{C320D656-3F99-43CA-A74C-9797777D74C4}"/>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8E20E1DA-0F83-47C4-950E-8DEF37201F52}"/>
    <cellStyle name="Comma 4 3 2 2 9 3" xfId="11232" xr:uid="{8220AA00-E90E-4B11-BCB4-91AE9E747FF5}"/>
    <cellStyle name="Comma 4 3 2 3" xfId="148" xr:uid="{00000000-0005-0000-0000-000043090000}"/>
    <cellStyle name="Comma 4 3 2 3 10" xfId="8851" xr:uid="{5BCF3CFD-ABAC-4E01-A8E8-547D97828622}"/>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1F2E9964-3C75-47E9-9900-421CCDE676B9}"/>
    <cellStyle name="Comma 4 3 2 3 2 2 3" xfId="11410" xr:uid="{CA9F79BB-FBFA-4063-B269-6C8999BBE8DF}"/>
    <cellStyle name="Comma 4 3 2 3 2 3" xfId="5033" xr:uid="{00000000-0005-0000-0000-000047090000}"/>
    <cellStyle name="Comma 4 3 2 3 2 3 2" xfId="13483" xr:uid="{BC29B1A0-F281-4032-A62E-038EEA4AEAE9}"/>
    <cellStyle name="Comma 4 3 2 3 2 4" xfId="9265" xr:uid="{68D119D8-F8E2-42E5-8E11-78AB29BA2953}"/>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7B901D27-6D5C-455A-814A-C2695964051F}"/>
    <cellStyle name="Comma 4 3 2 3 3 2 3" xfId="11823" xr:uid="{E4F2626F-A320-491E-ACD0-31A8ECC4CCEC}"/>
    <cellStyle name="Comma 4 3 2 3 3 3" xfId="5446" xr:uid="{00000000-0005-0000-0000-00004B090000}"/>
    <cellStyle name="Comma 4 3 2 3 3 3 2" xfId="13896" xr:uid="{228ADD63-4C8E-4F98-8AA6-74BD66C3C284}"/>
    <cellStyle name="Comma 4 3 2 3 3 4" xfId="9678" xr:uid="{102B24AE-EAAA-4E62-B245-70FFC08874DD}"/>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0FA4E05F-0927-4420-8423-C51E1B7016CC}"/>
    <cellStyle name="Comma 4 3 2 3 4 2 3" xfId="12236" xr:uid="{9C56A827-559D-4AAB-A134-38D61FE6FB46}"/>
    <cellStyle name="Comma 4 3 2 3 4 3" xfId="5859" xr:uid="{00000000-0005-0000-0000-00004F090000}"/>
    <cellStyle name="Comma 4 3 2 3 4 3 2" xfId="14309" xr:uid="{574A4DBF-CD4B-46C5-9B1A-69505A25A22C}"/>
    <cellStyle name="Comma 4 3 2 3 4 4" xfId="10091" xr:uid="{A7C664FF-A2C1-4F8A-B306-777DD21A2190}"/>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626DA1A3-F0CB-4634-AC81-24307999C5A0}"/>
    <cellStyle name="Comma 4 3 2 3 5 2 3" xfId="12649" xr:uid="{11992AB4-667E-44B6-8EB9-09467D59DD07}"/>
    <cellStyle name="Comma 4 3 2 3 5 3" xfId="6272" xr:uid="{00000000-0005-0000-0000-000053090000}"/>
    <cellStyle name="Comma 4 3 2 3 5 3 2" xfId="14722" xr:uid="{E3A57ED8-1F7A-47DC-A035-9ACE5A459A9B}"/>
    <cellStyle name="Comma 4 3 2 3 5 4" xfId="10504" xr:uid="{FC46CF1F-582B-43D7-BE17-D8DE4330407B}"/>
    <cellStyle name="Comma 4 3 2 3 6" xfId="2401" xr:uid="{00000000-0005-0000-0000-000054090000}"/>
    <cellStyle name="Comma 4 3 2 3 6 2" xfId="6685" xr:uid="{00000000-0005-0000-0000-000055090000}"/>
    <cellStyle name="Comma 4 3 2 3 6 2 2" xfId="15135" xr:uid="{6BE80002-F796-40D4-A126-2C4748C4D062}"/>
    <cellStyle name="Comma 4 3 2 3 6 3" xfId="10917" xr:uid="{1AED5C6B-A3C0-4714-B41E-DF7D9B610048}"/>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67EA6302-C497-4DBB-8C03-69F4099BEBC6}"/>
    <cellStyle name="Comma 4 3 2 3 8 3" xfId="11234" xr:uid="{19E099EA-D87D-4836-B327-8038FF12E7D3}"/>
    <cellStyle name="Comma 4 3 2 3 9" xfId="4619" xr:uid="{00000000-0005-0000-0000-000059090000}"/>
    <cellStyle name="Comma 4 3 2 3 9 2" xfId="13069" xr:uid="{390EFFD1-DFE4-450B-9B0A-3A9318AD4089}"/>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0AFBCFAB-28AC-4BBF-93F2-AFBC8733095C}"/>
    <cellStyle name="Comma 4 3 2 4 2 3" xfId="11407" xr:uid="{5561F7C3-B11A-4D68-A950-26A44F222547}"/>
    <cellStyle name="Comma 4 3 2 4 3" xfId="5030" xr:uid="{00000000-0005-0000-0000-00005D090000}"/>
    <cellStyle name="Comma 4 3 2 4 3 2" xfId="13480" xr:uid="{1BCB35FB-0BE0-408B-8870-0A372E801F41}"/>
    <cellStyle name="Comma 4 3 2 4 4" xfId="9262" xr:uid="{C64B4A82-2397-40BE-8689-73355301D1B5}"/>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12A8819-F49B-4234-93E8-CE2596BEE452}"/>
    <cellStyle name="Comma 4 3 2 5 2 3" xfId="11820" xr:uid="{9F3E3CCB-16DF-495D-AF07-4CE9F777BCF4}"/>
    <cellStyle name="Comma 4 3 2 5 3" xfId="5443" xr:uid="{00000000-0005-0000-0000-000061090000}"/>
    <cellStyle name="Comma 4 3 2 5 3 2" xfId="13893" xr:uid="{D1B0A43B-1C1D-43E7-B15A-6FE4D2A45BE0}"/>
    <cellStyle name="Comma 4 3 2 5 4" xfId="9675" xr:uid="{5B54A4AD-D886-439C-9BBD-F79F0C336C27}"/>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D636A9B2-6D54-4A06-B064-75B13D92D6C9}"/>
    <cellStyle name="Comma 4 3 2 6 2 3" xfId="12233" xr:uid="{BB020F75-5158-42BC-B015-94990B18688F}"/>
    <cellStyle name="Comma 4 3 2 6 3" xfId="5856" xr:uid="{00000000-0005-0000-0000-000065090000}"/>
    <cellStyle name="Comma 4 3 2 6 3 2" xfId="14306" xr:uid="{2944F5BC-2687-4D46-8AF7-0B62B6C585E5}"/>
    <cellStyle name="Comma 4 3 2 6 4" xfId="10088" xr:uid="{6EFDB9AC-4725-4FCF-B66C-E62F3700A75C}"/>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2B3B6108-4A79-4506-A84B-EB6FCF2528D4}"/>
    <cellStyle name="Comma 4 3 2 7 2 3" xfId="12646" xr:uid="{6962930F-E3BA-4280-9667-A3F9EFD8CAA4}"/>
    <cellStyle name="Comma 4 3 2 7 3" xfId="6269" xr:uid="{00000000-0005-0000-0000-000069090000}"/>
    <cellStyle name="Comma 4 3 2 7 3 2" xfId="14719" xr:uid="{9BEAF842-45B0-4CB8-B070-59A82F2057BF}"/>
    <cellStyle name="Comma 4 3 2 7 4" xfId="10501" xr:uid="{E985F579-18D7-4252-B817-302DC80B3F09}"/>
    <cellStyle name="Comma 4 3 2 8" xfId="2398" xr:uid="{00000000-0005-0000-0000-00006A090000}"/>
    <cellStyle name="Comma 4 3 2 8 2" xfId="6682" xr:uid="{00000000-0005-0000-0000-00006B090000}"/>
    <cellStyle name="Comma 4 3 2 8 2 2" xfId="15132" xr:uid="{21E8021A-6772-47F0-BB94-FA699803EB64}"/>
    <cellStyle name="Comma 4 3 2 8 3" xfId="10914" xr:uid="{18C3B83E-DA45-471C-80E5-B31916B8EE33}"/>
    <cellStyle name="Comma 4 3 2 9" xfId="2365" xr:uid="{00000000-0005-0000-0000-00006C090000}"/>
    <cellStyle name="Comma 4 3 3" xfId="149" xr:uid="{00000000-0005-0000-0000-00006D090000}"/>
    <cellStyle name="Comma 4 3 3 10" xfId="4620" xr:uid="{00000000-0005-0000-0000-00006E090000}"/>
    <cellStyle name="Comma 4 3 3 10 2" xfId="13070" xr:uid="{99525DAB-1259-4E82-9115-EC584BC8E28E}"/>
    <cellStyle name="Comma 4 3 3 11" xfId="8852" xr:uid="{E0AEFF94-C535-44EA-87A3-83F8BD8FBF7E}"/>
    <cellStyle name="Comma 4 3 3 2" xfId="150" xr:uid="{00000000-0005-0000-0000-00006F090000}"/>
    <cellStyle name="Comma 4 3 3 2 10" xfId="8853" xr:uid="{B20F0776-8B5D-4F75-AD13-DE537533F18A}"/>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47A7F9C4-AA5F-4866-ADE3-5364BED32933}"/>
    <cellStyle name="Comma 4 3 3 2 2 2 3" xfId="11412" xr:uid="{FE924647-720C-4318-B974-200561F05D30}"/>
    <cellStyle name="Comma 4 3 3 2 2 3" xfId="5035" xr:uid="{00000000-0005-0000-0000-000073090000}"/>
    <cellStyle name="Comma 4 3 3 2 2 3 2" xfId="13485" xr:uid="{B9C03849-4B7A-4AEB-96F7-26D4DBF4AD16}"/>
    <cellStyle name="Comma 4 3 3 2 2 4" xfId="9267" xr:uid="{BB02E86E-1B0A-4C2C-94AA-5142362911DF}"/>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AEDD48A9-2DDF-48F5-AD96-C51C56B1F850}"/>
    <cellStyle name="Comma 4 3 3 2 3 2 3" xfId="11825" xr:uid="{68ACE2DF-EF27-4771-B22E-EF16669B0922}"/>
    <cellStyle name="Comma 4 3 3 2 3 3" xfId="5448" xr:uid="{00000000-0005-0000-0000-000077090000}"/>
    <cellStyle name="Comma 4 3 3 2 3 3 2" xfId="13898" xr:uid="{EE93F9B0-1BB8-4A20-9D06-C9F998F64BC9}"/>
    <cellStyle name="Comma 4 3 3 2 3 4" xfId="9680" xr:uid="{D3A68BB7-A182-4081-947E-F54D31DC1DAA}"/>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6CF0E640-A2E2-4E6C-9D05-F4CB0EDA6A5A}"/>
    <cellStyle name="Comma 4 3 3 2 4 2 3" xfId="12238" xr:uid="{3E7EE647-AA29-4DDC-9DA0-3251AA14615F}"/>
    <cellStyle name="Comma 4 3 3 2 4 3" xfId="5861" xr:uid="{00000000-0005-0000-0000-00007B090000}"/>
    <cellStyle name="Comma 4 3 3 2 4 3 2" xfId="14311" xr:uid="{A3F5C331-CD98-43CD-B7F9-1829678F4ED9}"/>
    <cellStyle name="Comma 4 3 3 2 4 4" xfId="10093" xr:uid="{8CD5381F-4925-430F-AA6D-27509C40BDE4}"/>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0B122A34-EF27-4E1D-A4B3-217519D882C3}"/>
    <cellStyle name="Comma 4 3 3 2 5 2 3" xfId="12651" xr:uid="{BE73B069-888F-440C-BE4A-A9BCB9A973C9}"/>
    <cellStyle name="Comma 4 3 3 2 5 3" xfId="6274" xr:uid="{00000000-0005-0000-0000-00007F090000}"/>
    <cellStyle name="Comma 4 3 3 2 5 3 2" xfId="14724" xr:uid="{3B161A10-9630-4A96-9438-E763EEA95A23}"/>
    <cellStyle name="Comma 4 3 3 2 5 4" xfId="10506" xr:uid="{8BCD2A0A-2BA9-4DE7-A178-8446276C1307}"/>
    <cellStyle name="Comma 4 3 3 2 6" xfId="2403" xr:uid="{00000000-0005-0000-0000-000080090000}"/>
    <cellStyle name="Comma 4 3 3 2 6 2" xfId="6687" xr:uid="{00000000-0005-0000-0000-000081090000}"/>
    <cellStyle name="Comma 4 3 3 2 6 2 2" xfId="15137" xr:uid="{1B33DD89-5489-4B3D-B3AF-B25B8A5346F3}"/>
    <cellStyle name="Comma 4 3 3 2 6 3" xfId="10919" xr:uid="{21A1AEE5-DEAB-48E2-B726-C17F0D6F782C}"/>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23C5365B-87D6-4E95-BF01-BEBA7D268F0C}"/>
    <cellStyle name="Comma 4 3 3 2 8 3" xfId="11236" xr:uid="{D5A725FB-4079-4545-9F42-156C071DE590}"/>
    <cellStyle name="Comma 4 3 3 2 9" xfId="4621" xr:uid="{00000000-0005-0000-0000-000085090000}"/>
    <cellStyle name="Comma 4 3 3 2 9 2" xfId="13071" xr:uid="{05EA4AC6-620B-4825-8894-C39BFE1AFB5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0221D7F7-9F70-4553-A69B-C3579B889A08}"/>
    <cellStyle name="Comma 4 3 3 3 2 3" xfId="11411" xr:uid="{F0ACEAE9-9E04-497F-897F-31820D530653}"/>
    <cellStyle name="Comma 4 3 3 3 3" xfId="5034" xr:uid="{00000000-0005-0000-0000-000089090000}"/>
    <cellStyle name="Comma 4 3 3 3 3 2" xfId="13484" xr:uid="{50CDC40E-ED43-43EA-A5EA-09F5207B47EF}"/>
    <cellStyle name="Comma 4 3 3 3 4" xfId="9266" xr:uid="{B207F892-0E06-414D-B1D5-5655E3BF4580}"/>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7A668E42-AC26-4E96-9C08-4DDF18B45951}"/>
    <cellStyle name="Comma 4 3 3 4 2 3" xfId="11824" xr:uid="{CDF5EF63-F7D5-46F8-AB4F-3406AC152385}"/>
    <cellStyle name="Comma 4 3 3 4 3" xfId="5447" xr:uid="{00000000-0005-0000-0000-00008D090000}"/>
    <cellStyle name="Comma 4 3 3 4 3 2" xfId="13897" xr:uid="{79228CC8-0FDC-4E59-AAAD-159DF4BCAAE9}"/>
    <cellStyle name="Comma 4 3 3 4 4" xfId="9679" xr:uid="{C6319779-5A49-467C-A774-E6CCBA2ADE0A}"/>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4F7D91CB-A1B1-4F7D-955A-2D5E67AC02C5}"/>
    <cellStyle name="Comma 4 3 3 5 2 3" xfId="12237" xr:uid="{E9964373-88DB-4ED4-862A-8F758954617D}"/>
    <cellStyle name="Comma 4 3 3 5 3" xfId="5860" xr:uid="{00000000-0005-0000-0000-000091090000}"/>
    <cellStyle name="Comma 4 3 3 5 3 2" xfId="14310" xr:uid="{1576CC61-0898-47E2-A9E5-CC5B54744ED9}"/>
    <cellStyle name="Comma 4 3 3 5 4" xfId="10092" xr:uid="{D4AE5C0A-4800-412C-89C5-895F21E0A126}"/>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293BB5D1-D316-49FF-856A-7666FF9FAF61}"/>
    <cellStyle name="Comma 4 3 3 6 2 3" xfId="12650" xr:uid="{9B237224-F080-4F69-91A0-A158CA32E675}"/>
    <cellStyle name="Comma 4 3 3 6 3" xfId="6273" xr:uid="{00000000-0005-0000-0000-000095090000}"/>
    <cellStyle name="Comma 4 3 3 6 3 2" xfId="14723" xr:uid="{F1E399C2-1258-4D17-B6E1-6C86E5DF19C4}"/>
    <cellStyle name="Comma 4 3 3 6 4" xfId="10505" xr:uid="{1BF49C80-40D7-456F-96D6-DB7D5E29AE65}"/>
    <cellStyle name="Comma 4 3 3 7" xfId="2402" xr:uid="{00000000-0005-0000-0000-000096090000}"/>
    <cellStyle name="Comma 4 3 3 7 2" xfId="6686" xr:uid="{00000000-0005-0000-0000-000097090000}"/>
    <cellStyle name="Comma 4 3 3 7 2 2" xfId="15136" xr:uid="{9EC5807D-7126-4FC7-B27D-03E5C1E590F5}"/>
    <cellStyle name="Comma 4 3 3 7 3" xfId="10918" xr:uid="{6BFB7F2C-A6BA-4ED3-9D8E-AB82ADEA3FDE}"/>
    <cellStyle name="Comma 4 3 3 8" xfId="2361" xr:uid="{00000000-0005-0000-0000-000098090000}"/>
    <cellStyle name="Comma 4 3 3 9" xfId="2780" xr:uid="{00000000-0005-0000-0000-000099090000}"/>
    <cellStyle name="Comma 4 3 3 9 2" xfId="7003" xr:uid="{00000000-0005-0000-0000-00009A090000}"/>
    <cellStyle name="Comma 4 3 3 9 2 2" xfId="15453" xr:uid="{B4E68031-66BB-440C-8B45-82A28F48E4A4}"/>
    <cellStyle name="Comma 4 3 3 9 3" xfId="11235" xr:uid="{B53092D8-E0C1-4870-89BD-B68F402E7687}"/>
    <cellStyle name="Comma 4 3 4" xfId="151" xr:uid="{00000000-0005-0000-0000-00009B090000}"/>
    <cellStyle name="Comma 4 3 4 10" xfId="8854" xr:uid="{E861DEE7-AE25-48BA-801B-8F39BE40A06D}"/>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95BE3EE7-7ADC-4EEC-B9B9-B32174FC6310}"/>
    <cellStyle name="Comma 4 3 4 2 2 3" xfId="11413" xr:uid="{5C711655-0C59-4B43-B8AB-17EB5AFB6B7F}"/>
    <cellStyle name="Comma 4 3 4 2 3" xfId="5036" xr:uid="{00000000-0005-0000-0000-00009F090000}"/>
    <cellStyle name="Comma 4 3 4 2 3 2" xfId="13486" xr:uid="{A8A0124E-9A71-498E-824E-C89A8DDF9F76}"/>
    <cellStyle name="Comma 4 3 4 2 4" xfId="9268" xr:uid="{96BF7F84-D472-4448-B32F-7C7C38F39D2B}"/>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8A13FA75-5FB6-4390-B108-8CA8AF4C0E59}"/>
    <cellStyle name="Comma 4 3 4 3 2 3" xfId="11826" xr:uid="{44BBD5F4-6A2F-4A6E-B385-B634EFBFCA0D}"/>
    <cellStyle name="Comma 4 3 4 3 3" xfId="5449" xr:uid="{00000000-0005-0000-0000-0000A3090000}"/>
    <cellStyle name="Comma 4 3 4 3 3 2" xfId="13899" xr:uid="{03A928C3-E75D-468D-BFD5-17241B3666A9}"/>
    <cellStyle name="Comma 4 3 4 3 4" xfId="9681" xr:uid="{E9B06E75-A3B1-4047-A562-842E59FDB961}"/>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BA67FA32-36A7-4FC3-80E9-51A0B86EDC0B}"/>
    <cellStyle name="Comma 4 3 4 4 2 3" xfId="12239" xr:uid="{ABB2AB46-106D-4CEE-B855-09033D0D2C03}"/>
    <cellStyle name="Comma 4 3 4 4 3" xfId="5862" xr:uid="{00000000-0005-0000-0000-0000A7090000}"/>
    <cellStyle name="Comma 4 3 4 4 3 2" xfId="14312" xr:uid="{1985F8CD-2EB3-4AEB-A41A-B05A98DCDE85}"/>
    <cellStyle name="Comma 4 3 4 4 4" xfId="10094" xr:uid="{55DABE50-1A83-4EAB-BEA1-836533F01865}"/>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12B7D86A-3DA9-42D8-B3F2-6497A33ADC85}"/>
    <cellStyle name="Comma 4 3 4 5 2 3" xfId="12652" xr:uid="{3C96EC99-71AD-4ADC-BDA7-876A1BFE57DC}"/>
    <cellStyle name="Comma 4 3 4 5 3" xfId="6275" xr:uid="{00000000-0005-0000-0000-0000AB090000}"/>
    <cellStyle name="Comma 4 3 4 5 3 2" xfId="14725" xr:uid="{27BBFD85-619C-44E1-9F76-53339CCEFBA4}"/>
    <cellStyle name="Comma 4 3 4 5 4" xfId="10507" xr:uid="{9C513239-4F94-4B18-BDBA-A23A732D8DDE}"/>
    <cellStyle name="Comma 4 3 4 6" xfId="2404" xr:uid="{00000000-0005-0000-0000-0000AC090000}"/>
    <cellStyle name="Comma 4 3 4 6 2" xfId="6688" xr:uid="{00000000-0005-0000-0000-0000AD090000}"/>
    <cellStyle name="Comma 4 3 4 6 2 2" xfId="15138" xr:uid="{337D79AD-F33D-4C84-8ECB-062ECC1C8842}"/>
    <cellStyle name="Comma 4 3 4 6 3" xfId="10920" xr:uid="{EB0AF6F3-44E5-4E20-9E5F-99A226E9F6E1}"/>
    <cellStyle name="Comma 4 3 4 7" xfId="2700" xr:uid="{00000000-0005-0000-0000-0000AE090000}"/>
    <cellStyle name="Comma 4 3 4 8" xfId="2782" xr:uid="{00000000-0005-0000-0000-0000AF090000}"/>
    <cellStyle name="Comma 4 3 4 8 2" xfId="7005" xr:uid="{00000000-0005-0000-0000-0000B0090000}"/>
    <cellStyle name="Comma 4 3 4 8 2 2" xfId="15455" xr:uid="{877DCC72-2139-4852-B93C-E77DC4CA0E4A}"/>
    <cellStyle name="Comma 4 3 4 8 3" xfId="11237" xr:uid="{BA4CC4C0-B4AC-4E1D-AE07-5D3FC02A47DB}"/>
    <cellStyle name="Comma 4 3 4 9" xfId="4622" xr:uid="{00000000-0005-0000-0000-0000B1090000}"/>
    <cellStyle name="Comma 4 3 4 9 2" xfId="13072" xr:uid="{2A7F4D87-432C-4B53-87E0-A837AA03D3B0}"/>
    <cellStyle name="Comma 4 3 5" xfId="152" xr:uid="{00000000-0005-0000-0000-0000B2090000}"/>
    <cellStyle name="Comma 4 3 5 10" xfId="8855" xr:uid="{5D67A6B8-D9C9-4719-B724-184B8CE6DFD8}"/>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90553410-F4C8-4101-AA67-36DB9EA0DF2C}"/>
    <cellStyle name="Comma 4 3 5 2 2 3" xfId="11414" xr:uid="{BED197C7-F63C-45B8-ABA2-468CE04EAD78}"/>
    <cellStyle name="Comma 4 3 5 2 3" xfId="5037" xr:uid="{00000000-0005-0000-0000-0000B6090000}"/>
    <cellStyle name="Comma 4 3 5 2 3 2" xfId="13487" xr:uid="{D046A718-E672-47A0-9927-601C298DBD41}"/>
    <cellStyle name="Comma 4 3 5 2 4" xfId="9269" xr:uid="{74E087B8-EF89-4290-B5FF-E6109186AF54}"/>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F2153561-8537-4E59-90B2-3E6B595357D9}"/>
    <cellStyle name="Comma 4 3 5 3 2 3" xfId="11827" xr:uid="{74A61F82-02B5-42EB-875B-D0F87F3DBED9}"/>
    <cellStyle name="Comma 4 3 5 3 3" xfId="5450" xr:uid="{00000000-0005-0000-0000-0000BA090000}"/>
    <cellStyle name="Comma 4 3 5 3 3 2" xfId="13900" xr:uid="{D1AE7752-AE7E-4EDA-AB2C-D2601844ADFB}"/>
    <cellStyle name="Comma 4 3 5 3 4" xfId="9682" xr:uid="{8A4F9878-E521-4371-BC25-66A10C6531C3}"/>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8815CF35-4F62-410D-8C45-AE414F181AF7}"/>
    <cellStyle name="Comma 4 3 5 4 2 3" xfId="12240" xr:uid="{F6457715-79EC-4752-918D-63AD2DA33923}"/>
    <cellStyle name="Comma 4 3 5 4 3" xfId="5863" xr:uid="{00000000-0005-0000-0000-0000BE090000}"/>
    <cellStyle name="Comma 4 3 5 4 3 2" xfId="14313" xr:uid="{0049B73F-901B-4F87-817C-BA0F6A80ADD7}"/>
    <cellStyle name="Comma 4 3 5 4 4" xfId="10095" xr:uid="{D6B841BD-8A6E-4625-9070-8BFC20D1A9E5}"/>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7FCD41EE-DF3B-45DA-961D-2E93AEBAA207}"/>
    <cellStyle name="Comma 4 3 5 5 2 3" xfId="12653" xr:uid="{F428F4C1-50A4-4972-BC23-D5861D3BE7C3}"/>
    <cellStyle name="Comma 4 3 5 5 3" xfId="6276" xr:uid="{00000000-0005-0000-0000-0000C2090000}"/>
    <cellStyle name="Comma 4 3 5 5 3 2" xfId="14726" xr:uid="{BC0F916C-AA2C-41B0-AAA4-A2C2E90D42D3}"/>
    <cellStyle name="Comma 4 3 5 5 4" xfId="10508" xr:uid="{BDE0CF91-B031-4E8D-AA01-D6D44D1C65BA}"/>
    <cellStyle name="Comma 4 3 5 6" xfId="2405" xr:uid="{00000000-0005-0000-0000-0000C3090000}"/>
    <cellStyle name="Comma 4 3 5 6 2" xfId="6689" xr:uid="{00000000-0005-0000-0000-0000C4090000}"/>
    <cellStyle name="Comma 4 3 5 6 2 2" xfId="15139" xr:uid="{BBAECF93-BF93-4E95-8F31-1A8A517D6B61}"/>
    <cellStyle name="Comma 4 3 5 6 3" xfId="10921" xr:uid="{B34260F7-83EE-43B7-BC0A-08ECCFA6C3BE}"/>
    <cellStyle name="Comma 4 3 5 7" xfId="2701" xr:uid="{00000000-0005-0000-0000-0000C5090000}"/>
    <cellStyle name="Comma 4 3 5 8" xfId="2783" xr:uid="{00000000-0005-0000-0000-0000C6090000}"/>
    <cellStyle name="Comma 4 3 5 8 2" xfId="7006" xr:uid="{00000000-0005-0000-0000-0000C7090000}"/>
    <cellStyle name="Comma 4 3 5 8 2 2" xfId="15456" xr:uid="{3DDBFB8A-3472-4105-B0D2-FD7E63228401}"/>
    <cellStyle name="Comma 4 3 5 8 3" xfId="11238" xr:uid="{74F578E1-4812-4629-9A58-444EA3D87460}"/>
    <cellStyle name="Comma 4 3 5 9" xfId="4623" xr:uid="{00000000-0005-0000-0000-0000C8090000}"/>
    <cellStyle name="Comma 4 3 5 9 2" xfId="13073" xr:uid="{0698D04C-55BF-4595-8325-18B53FDBB835}"/>
    <cellStyle name="Comma 4 4" xfId="153" xr:uid="{00000000-0005-0000-0000-0000C9090000}"/>
    <cellStyle name="Comma 4 4 10" xfId="2784" xr:uid="{00000000-0005-0000-0000-0000CA090000}"/>
    <cellStyle name="Comma 4 4 10 2" xfId="7007" xr:uid="{00000000-0005-0000-0000-0000CB090000}"/>
    <cellStyle name="Comma 4 4 10 2 2" xfId="15457" xr:uid="{1FD2B647-58BC-46F9-AE5A-702D27609835}"/>
    <cellStyle name="Comma 4 4 10 3" xfId="11239" xr:uid="{DB0DA0D1-F413-4E6B-9369-805FD1B3F707}"/>
    <cellStyle name="Comma 4 4 11" xfId="4624" xr:uid="{00000000-0005-0000-0000-0000CC090000}"/>
    <cellStyle name="Comma 4 4 11 2" xfId="13074" xr:uid="{8E602C43-5133-4CCE-AD5F-39B0337C5E1A}"/>
    <cellStyle name="Comma 4 4 12" xfId="8856" xr:uid="{DCFDD73B-8592-4EE0-A118-1003F56BAAD9}"/>
    <cellStyle name="Comma 4 4 2" xfId="154" xr:uid="{00000000-0005-0000-0000-0000CD090000}"/>
    <cellStyle name="Comma 4 4 2 10" xfId="4625" xr:uid="{00000000-0005-0000-0000-0000CE090000}"/>
    <cellStyle name="Comma 4 4 2 10 2" xfId="13075" xr:uid="{77EDED9C-FDAA-4BAE-9271-46D8E32BD18C}"/>
    <cellStyle name="Comma 4 4 2 11" xfId="8857" xr:uid="{2C1C3552-E955-4E5D-9B1B-6EC4074B40B5}"/>
    <cellStyle name="Comma 4 4 2 2" xfId="155" xr:uid="{00000000-0005-0000-0000-0000CF090000}"/>
    <cellStyle name="Comma 4 4 2 2 10" xfId="8858" xr:uid="{1F173228-2D8F-4D42-905D-E808CDB2C9E7}"/>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6D9B08E2-1306-4AD7-90C2-AE94A8066845}"/>
    <cellStyle name="Comma 4 4 2 2 2 2 3" xfId="11417" xr:uid="{24113470-D4E8-4D41-87FB-E557503D16F0}"/>
    <cellStyle name="Comma 4 4 2 2 2 3" xfId="5040" xr:uid="{00000000-0005-0000-0000-0000D3090000}"/>
    <cellStyle name="Comma 4 4 2 2 2 3 2" xfId="13490" xr:uid="{8CC08545-D92D-4BC1-8004-2A215E8DD82B}"/>
    <cellStyle name="Comma 4 4 2 2 2 4" xfId="9272" xr:uid="{2392C52D-04BD-47A1-9372-8B469442D42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CABE9CA5-05CF-4637-944F-96492A0BFBD7}"/>
    <cellStyle name="Comma 4 4 2 2 3 2 3" xfId="11830" xr:uid="{36EEE131-B0CA-4456-88BC-B701004FBF5C}"/>
    <cellStyle name="Comma 4 4 2 2 3 3" xfId="5453" xr:uid="{00000000-0005-0000-0000-0000D7090000}"/>
    <cellStyle name="Comma 4 4 2 2 3 3 2" xfId="13903" xr:uid="{63068C19-4198-4929-BCB3-CA387A27BD5A}"/>
    <cellStyle name="Comma 4 4 2 2 3 4" xfId="9685" xr:uid="{66E4F662-2976-4A8B-AE22-807731AC1B26}"/>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20C57C56-2814-4B42-BD97-17A7C986DED2}"/>
    <cellStyle name="Comma 4 4 2 2 4 2 3" xfId="12243" xr:uid="{096D1749-EF47-4BB5-8382-6B4135C38528}"/>
    <cellStyle name="Comma 4 4 2 2 4 3" xfId="5866" xr:uid="{00000000-0005-0000-0000-0000DB090000}"/>
    <cellStyle name="Comma 4 4 2 2 4 3 2" xfId="14316" xr:uid="{B8FEF21F-FDB9-4724-846C-D159EBC47745}"/>
    <cellStyle name="Comma 4 4 2 2 4 4" xfId="10098" xr:uid="{8AA7BFD3-5F4F-4669-A69B-61AF8CBAD4C0}"/>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A6638A9F-4033-4ABC-8E7E-C2E55A9BE7B7}"/>
    <cellStyle name="Comma 4 4 2 2 5 2 3" xfId="12656" xr:uid="{21398C30-51FB-40AA-B3F7-11BF10F91A7D}"/>
    <cellStyle name="Comma 4 4 2 2 5 3" xfId="6279" xr:uid="{00000000-0005-0000-0000-0000DF090000}"/>
    <cellStyle name="Comma 4 4 2 2 5 3 2" xfId="14729" xr:uid="{D9FAF40D-600C-474D-ADD2-177294663D34}"/>
    <cellStyle name="Comma 4 4 2 2 5 4" xfId="10511" xr:uid="{2478412D-F766-4B75-897C-DAF9A24BFDF7}"/>
    <cellStyle name="Comma 4 4 2 2 6" xfId="2408" xr:uid="{00000000-0005-0000-0000-0000E0090000}"/>
    <cellStyle name="Comma 4 4 2 2 6 2" xfId="6692" xr:uid="{00000000-0005-0000-0000-0000E1090000}"/>
    <cellStyle name="Comma 4 4 2 2 6 2 2" xfId="15142" xr:uid="{606A1878-B23F-4A21-BA57-953E94840562}"/>
    <cellStyle name="Comma 4 4 2 2 6 3" xfId="10924" xr:uid="{63E343F7-34D0-4591-A764-E51449CD1636}"/>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7390892F-AF93-4A0E-9CCB-CA5905E0DBB0}"/>
    <cellStyle name="Comma 4 4 2 2 8 3" xfId="11241" xr:uid="{65A7EFB9-1693-4E63-A23F-77B4775A9B8F}"/>
    <cellStyle name="Comma 4 4 2 2 9" xfId="4626" xr:uid="{00000000-0005-0000-0000-0000E5090000}"/>
    <cellStyle name="Comma 4 4 2 2 9 2" xfId="13076" xr:uid="{8E8E0AB3-4B19-44CE-BB14-2425EFD19A4A}"/>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805980EF-71DD-43F3-AD92-DA3F7B1F1D6E}"/>
    <cellStyle name="Comma 4 4 2 3 2 3" xfId="11416" xr:uid="{DF4A0419-B515-49DB-9732-B82ECF719B96}"/>
    <cellStyle name="Comma 4 4 2 3 3" xfId="5039" xr:uid="{00000000-0005-0000-0000-0000E9090000}"/>
    <cellStyle name="Comma 4 4 2 3 3 2" xfId="13489" xr:uid="{EA953F20-657C-4834-A239-BC2830C79DF8}"/>
    <cellStyle name="Comma 4 4 2 3 4" xfId="9271" xr:uid="{A30849A2-77B9-4379-A093-F35B02C8CAF1}"/>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9C9BDCDA-53CF-4B86-8F0A-EE5DF9D4BBAF}"/>
    <cellStyle name="Comma 4 4 2 4 2 3" xfId="11829" xr:uid="{CE3DB6B4-3D1D-4B22-926B-935CBC991CB3}"/>
    <cellStyle name="Comma 4 4 2 4 3" xfId="5452" xr:uid="{00000000-0005-0000-0000-0000ED090000}"/>
    <cellStyle name="Comma 4 4 2 4 3 2" xfId="13902" xr:uid="{EE86146B-5585-4058-8202-28D332242D63}"/>
    <cellStyle name="Comma 4 4 2 4 4" xfId="9684" xr:uid="{07053840-AEF6-4B94-9DBF-158216BC5ECB}"/>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2BDAF2DC-F27E-4182-AC38-1CE12BE048AA}"/>
    <cellStyle name="Comma 4 4 2 5 2 3" xfId="12242" xr:uid="{8E809757-DAAF-49E8-A418-0FEA19454491}"/>
    <cellStyle name="Comma 4 4 2 5 3" xfId="5865" xr:uid="{00000000-0005-0000-0000-0000F1090000}"/>
    <cellStyle name="Comma 4 4 2 5 3 2" xfId="14315" xr:uid="{85082EE6-233D-4FDD-9548-CCA7880949F5}"/>
    <cellStyle name="Comma 4 4 2 5 4" xfId="10097" xr:uid="{E74FD751-41C3-4B7A-B94C-2BD8F7475BD3}"/>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BC7B0FBB-84E6-4037-A0CA-4F7F23F7ACCE}"/>
    <cellStyle name="Comma 4 4 2 6 2 3" xfId="12655" xr:uid="{D0DD7116-7BCA-4FF0-ABA8-993EDF3142ED}"/>
    <cellStyle name="Comma 4 4 2 6 3" xfId="6278" xr:uid="{00000000-0005-0000-0000-0000F5090000}"/>
    <cellStyle name="Comma 4 4 2 6 3 2" xfId="14728" xr:uid="{F06E2380-2BE6-4383-B128-19067111C06D}"/>
    <cellStyle name="Comma 4 4 2 6 4" xfId="10510" xr:uid="{FE25CA9C-F320-4B2B-928D-63C5AAC4B639}"/>
    <cellStyle name="Comma 4 4 2 7" xfId="2407" xr:uid="{00000000-0005-0000-0000-0000F6090000}"/>
    <cellStyle name="Comma 4 4 2 7 2" xfId="6691" xr:uid="{00000000-0005-0000-0000-0000F7090000}"/>
    <cellStyle name="Comma 4 4 2 7 2 2" xfId="15141" xr:uid="{02A45EF8-A505-4A13-BA9F-508A7D6A20D5}"/>
    <cellStyle name="Comma 4 4 2 7 3" xfId="10923" xr:uid="{6171EED8-3DA2-48F1-884D-89303C596F71}"/>
    <cellStyle name="Comma 4 4 2 8" xfId="2703" xr:uid="{00000000-0005-0000-0000-0000F8090000}"/>
    <cellStyle name="Comma 4 4 2 9" xfId="2785" xr:uid="{00000000-0005-0000-0000-0000F9090000}"/>
    <cellStyle name="Comma 4 4 2 9 2" xfId="7008" xr:uid="{00000000-0005-0000-0000-0000FA090000}"/>
    <cellStyle name="Comma 4 4 2 9 2 2" xfId="15458" xr:uid="{F04E5909-3EC3-4AD0-BD53-68EB225A1428}"/>
    <cellStyle name="Comma 4 4 2 9 3" xfId="11240" xr:uid="{6416E00F-3B37-4656-B08C-4720BB472FC6}"/>
    <cellStyle name="Comma 4 4 3" xfId="156" xr:uid="{00000000-0005-0000-0000-0000FB090000}"/>
    <cellStyle name="Comma 4 4 3 10" xfId="8859" xr:uid="{B280DA3F-1C7A-48E7-9F8D-DCE75B1D7C9D}"/>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0B706CC5-07F9-4D09-A221-679851547F65}"/>
    <cellStyle name="Comma 4 4 3 2 2 3" xfId="11418" xr:uid="{48D20780-DA5B-43C5-92BF-B3F186110EA5}"/>
    <cellStyle name="Comma 4 4 3 2 3" xfId="5041" xr:uid="{00000000-0005-0000-0000-0000FF090000}"/>
    <cellStyle name="Comma 4 4 3 2 3 2" xfId="13491" xr:uid="{7C1A84A3-4158-403F-81A0-A1C44B30680D}"/>
    <cellStyle name="Comma 4 4 3 2 4" xfId="9273" xr:uid="{696A0C62-508C-460A-B980-F5788B4A5957}"/>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B1B7DF9E-6DF7-4ADA-891B-996BEC3CFE6A}"/>
    <cellStyle name="Comma 4 4 3 3 2 3" xfId="11831" xr:uid="{E1C334E8-506A-4FF6-A8DD-654C32834483}"/>
    <cellStyle name="Comma 4 4 3 3 3" xfId="5454" xr:uid="{00000000-0005-0000-0000-0000030A0000}"/>
    <cellStyle name="Comma 4 4 3 3 3 2" xfId="13904" xr:uid="{3801F071-30CA-4BCE-A36A-163D3D979D92}"/>
    <cellStyle name="Comma 4 4 3 3 4" xfId="9686" xr:uid="{CE4A2543-FEE5-4393-B310-9B809CBC69F0}"/>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DB9B484A-8B8A-4EE3-8618-DF42CE17B250}"/>
    <cellStyle name="Comma 4 4 3 4 2 3" xfId="12244" xr:uid="{EB657508-02E6-4BEA-AF6B-F0106EEB7942}"/>
    <cellStyle name="Comma 4 4 3 4 3" xfId="5867" xr:uid="{00000000-0005-0000-0000-0000070A0000}"/>
    <cellStyle name="Comma 4 4 3 4 3 2" xfId="14317" xr:uid="{1D351B4B-6590-4558-9217-FC44C8548592}"/>
    <cellStyle name="Comma 4 4 3 4 4" xfId="10099" xr:uid="{804C9EE2-F3A3-4623-B912-0B7F4D869F98}"/>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D78BB539-1A80-4ADD-BE51-CB6C54B46A93}"/>
    <cellStyle name="Comma 4 4 3 5 2 3" xfId="12657" xr:uid="{5CE0521D-E365-4850-A51E-AC7A7FF67286}"/>
    <cellStyle name="Comma 4 4 3 5 3" xfId="6280" xr:uid="{00000000-0005-0000-0000-00000B0A0000}"/>
    <cellStyle name="Comma 4 4 3 5 3 2" xfId="14730" xr:uid="{98D1357C-0A24-44BD-9B61-85F3769B7C6B}"/>
    <cellStyle name="Comma 4 4 3 5 4" xfId="10512" xr:uid="{7EBCB8AB-B62C-4CAC-A6A3-E2C4488B1A0A}"/>
    <cellStyle name="Comma 4 4 3 6" xfId="2409" xr:uid="{00000000-0005-0000-0000-00000C0A0000}"/>
    <cellStyle name="Comma 4 4 3 6 2" xfId="6693" xr:uid="{00000000-0005-0000-0000-00000D0A0000}"/>
    <cellStyle name="Comma 4 4 3 6 2 2" xfId="15143" xr:uid="{C9EBE814-E712-4756-B491-41FDE121C06E}"/>
    <cellStyle name="Comma 4 4 3 6 3" xfId="10925" xr:uid="{40F12CFA-61DD-4A0D-BC6B-EDF264EAC44A}"/>
    <cellStyle name="Comma 4 4 3 7" xfId="2705" xr:uid="{00000000-0005-0000-0000-00000E0A0000}"/>
    <cellStyle name="Comma 4 4 3 8" xfId="2787" xr:uid="{00000000-0005-0000-0000-00000F0A0000}"/>
    <cellStyle name="Comma 4 4 3 8 2" xfId="7010" xr:uid="{00000000-0005-0000-0000-0000100A0000}"/>
    <cellStyle name="Comma 4 4 3 8 2 2" xfId="15460" xr:uid="{641F1BBD-DD92-4045-9D37-12B80B5AA571}"/>
    <cellStyle name="Comma 4 4 3 8 3" xfId="11242" xr:uid="{96407528-431C-4761-809C-BCC8A152F885}"/>
    <cellStyle name="Comma 4 4 3 9" xfId="4627" xr:uid="{00000000-0005-0000-0000-0000110A0000}"/>
    <cellStyle name="Comma 4 4 3 9 2" xfId="13077" xr:uid="{7D2778F0-4AA0-47C6-9F7D-BA922E2158F1}"/>
    <cellStyle name="Comma 4 4 4" xfId="690" xr:uid="{00000000-0005-0000-0000-0000120A0000}"/>
    <cellStyle name="Comma 4 4 4 2" xfId="2961" xr:uid="{00000000-0005-0000-0000-0000130A0000}"/>
    <cellStyle name="Comma 4 4 4 2 2" xfId="7183" xr:uid="{00000000-0005-0000-0000-0000140A0000}"/>
    <cellStyle name="Comma 4 4 4 2 2 2" xfId="15633" xr:uid="{35D83633-44CA-443F-A841-47C4CF1A4B77}"/>
    <cellStyle name="Comma 4 4 4 2 3" xfId="11415" xr:uid="{4E5D7ED9-0F53-4AEC-963A-5EB518BAFC7A}"/>
    <cellStyle name="Comma 4 4 4 3" xfId="5038" xr:uid="{00000000-0005-0000-0000-0000150A0000}"/>
    <cellStyle name="Comma 4 4 4 3 2" xfId="13488" xr:uid="{904BF516-659E-457D-8580-68BA270846B7}"/>
    <cellStyle name="Comma 4 4 4 4" xfId="9270" xr:uid="{2C8CFE79-A87F-47BA-84C9-0A1887C31534}"/>
    <cellStyle name="Comma 4 4 5" xfId="1143" xr:uid="{00000000-0005-0000-0000-0000160A0000}"/>
    <cellStyle name="Comma 4 4 5 2" xfId="3374" xr:uid="{00000000-0005-0000-0000-0000170A0000}"/>
    <cellStyle name="Comma 4 4 5 2 2" xfId="7596" xr:uid="{00000000-0005-0000-0000-0000180A0000}"/>
    <cellStyle name="Comma 4 4 5 2 2 2" xfId="16046" xr:uid="{7A5074F9-A68D-4965-A223-3B6FF7054E52}"/>
    <cellStyle name="Comma 4 4 5 2 3" xfId="11828" xr:uid="{4D269597-5072-42D2-BB9B-FD8BE06B35C7}"/>
    <cellStyle name="Comma 4 4 5 3" xfId="5451" xr:uid="{00000000-0005-0000-0000-0000190A0000}"/>
    <cellStyle name="Comma 4 4 5 3 2" xfId="13901" xr:uid="{A6F6AC94-4661-4505-8E30-6B6E400B854C}"/>
    <cellStyle name="Comma 4 4 5 4" xfId="9683" xr:uid="{8B71EC37-3D3A-42D7-99E8-880BAFF41913}"/>
    <cellStyle name="Comma 4 4 6" xfId="1557" xr:uid="{00000000-0005-0000-0000-00001A0A0000}"/>
    <cellStyle name="Comma 4 4 6 2" xfId="3787" xr:uid="{00000000-0005-0000-0000-00001B0A0000}"/>
    <cellStyle name="Comma 4 4 6 2 2" xfId="8009" xr:uid="{00000000-0005-0000-0000-00001C0A0000}"/>
    <cellStyle name="Comma 4 4 6 2 2 2" xfId="16459" xr:uid="{132EE704-3576-4103-B27E-C67BAC773BBB}"/>
    <cellStyle name="Comma 4 4 6 2 3" xfId="12241" xr:uid="{7FA730AC-7581-4C22-B1D0-0661E2DB96DF}"/>
    <cellStyle name="Comma 4 4 6 3" xfId="5864" xr:uid="{00000000-0005-0000-0000-00001D0A0000}"/>
    <cellStyle name="Comma 4 4 6 3 2" xfId="14314" xr:uid="{AB786876-84E9-45BF-8A50-68C6037897C8}"/>
    <cellStyle name="Comma 4 4 6 4" xfId="10096" xr:uid="{96215C73-631C-4E73-885D-3451865898B1}"/>
    <cellStyle name="Comma 4 4 7" xfId="1971" xr:uid="{00000000-0005-0000-0000-00001E0A0000}"/>
    <cellStyle name="Comma 4 4 7 2" xfId="4200" xr:uid="{00000000-0005-0000-0000-00001F0A0000}"/>
    <cellStyle name="Comma 4 4 7 2 2" xfId="8422" xr:uid="{00000000-0005-0000-0000-0000200A0000}"/>
    <cellStyle name="Comma 4 4 7 2 2 2" xfId="16872" xr:uid="{B1D21019-D4C5-427F-BC1F-9F9BB666650D}"/>
    <cellStyle name="Comma 4 4 7 2 3" xfId="12654" xr:uid="{DB82D50D-E1AF-4B46-AE51-15423BBCE3B5}"/>
    <cellStyle name="Comma 4 4 7 3" xfId="6277" xr:uid="{00000000-0005-0000-0000-0000210A0000}"/>
    <cellStyle name="Comma 4 4 7 3 2" xfId="14727" xr:uid="{96112BBD-1725-47A9-9AFB-849893A4AEA1}"/>
    <cellStyle name="Comma 4 4 7 4" xfId="10509" xr:uid="{657C611B-8F1B-4234-B77C-E898B20FF9C6}"/>
    <cellStyle name="Comma 4 4 8" xfId="2406" xr:uid="{00000000-0005-0000-0000-0000220A0000}"/>
    <cellStyle name="Comma 4 4 8 2" xfId="6690" xr:uid="{00000000-0005-0000-0000-0000230A0000}"/>
    <cellStyle name="Comma 4 4 8 2 2" xfId="15140" xr:uid="{4FE3E52B-EF8D-4C7F-8FF0-3F7DD3C366F1}"/>
    <cellStyle name="Comma 4 4 8 3" xfId="10922" xr:uid="{7268C054-6330-456E-8E52-32ACCA0ED257}"/>
    <cellStyle name="Comma 4 4 9" xfId="2702" xr:uid="{00000000-0005-0000-0000-0000240A0000}"/>
    <cellStyle name="Comma 4 5" xfId="157" xr:uid="{00000000-0005-0000-0000-0000250A0000}"/>
    <cellStyle name="Comma 4 5 10" xfId="4628" xr:uid="{00000000-0005-0000-0000-0000260A0000}"/>
    <cellStyle name="Comma 4 5 10 2" xfId="13078" xr:uid="{ACBDA68F-735A-4122-A44D-2A62C816C89A}"/>
    <cellStyle name="Comma 4 5 11" xfId="8860" xr:uid="{8CF12C5E-3CA4-4B27-9858-0EE579013460}"/>
    <cellStyle name="Comma 4 5 2" xfId="158" xr:uid="{00000000-0005-0000-0000-0000270A0000}"/>
    <cellStyle name="Comma 4 5 2 10" xfId="8861" xr:uid="{E65DB80C-5F24-49F3-AEF7-4641D6CE9893}"/>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7EBBE230-3CB6-4EC8-8C9B-0504901056A2}"/>
    <cellStyle name="Comma 4 5 2 2 2 3" xfId="11420" xr:uid="{0C524399-6A0B-492F-B1B8-A9DEB539F839}"/>
    <cellStyle name="Comma 4 5 2 2 3" xfId="5043" xr:uid="{00000000-0005-0000-0000-00002B0A0000}"/>
    <cellStyle name="Comma 4 5 2 2 3 2" xfId="13493" xr:uid="{ADD821E1-A4C3-45A8-9038-677D85323438}"/>
    <cellStyle name="Comma 4 5 2 2 4" xfId="9275" xr:uid="{41F14146-2A94-4F4B-B99D-E7B2BA5F8F37}"/>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F51CBDD8-CBE4-4DEC-B69C-2134DF9E19A7}"/>
    <cellStyle name="Comma 4 5 2 3 2 3" xfId="11833" xr:uid="{04F63E18-3B65-47E9-BFED-8B8EDE2DDBB2}"/>
    <cellStyle name="Comma 4 5 2 3 3" xfId="5456" xr:uid="{00000000-0005-0000-0000-00002F0A0000}"/>
    <cellStyle name="Comma 4 5 2 3 3 2" xfId="13906" xr:uid="{724FC328-A7A9-4694-A41E-B1107FDF8DED}"/>
    <cellStyle name="Comma 4 5 2 3 4" xfId="9688" xr:uid="{761A02AC-7419-4AF5-985E-E162CC0544AE}"/>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0CEF2623-F087-4C31-97C9-2252ABC857B1}"/>
    <cellStyle name="Comma 4 5 2 4 2 3" xfId="12246" xr:uid="{BD63B2F4-A173-4492-AD20-60D697EAB04F}"/>
    <cellStyle name="Comma 4 5 2 4 3" xfId="5869" xr:uid="{00000000-0005-0000-0000-0000330A0000}"/>
    <cellStyle name="Comma 4 5 2 4 3 2" xfId="14319" xr:uid="{69DA2F43-DE19-4DCD-BE54-D09EA2070A42}"/>
    <cellStyle name="Comma 4 5 2 4 4" xfId="10101" xr:uid="{C2C5D3BE-D0CF-411F-9AF9-5049A50C8B56}"/>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A8B1B6A9-18F1-4B7D-A263-0116AC829B62}"/>
    <cellStyle name="Comma 4 5 2 5 2 3" xfId="12659" xr:uid="{06F22D0E-AA1C-4EAA-9EA6-A67A9583612E}"/>
    <cellStyle name="Comma 4 5 2 5 3" xfId="6282" xr:uid="{00000000-0005-0000-0000-0000370A0000}"/>
    <cellStyle name="Comma 4 5 2 5 3 2" xfId="14732" xr:uid="{122C8E6C-6472-4851-8049-82F08148C5E6}"/>
    <cellStyle name="Comma 4 5 2 5 4" xfId="10514" xr:uid="{CA19E0F5-FF0F-4F80-B455-D82B24738115}"/>
    <cellStyle name="Comma 4 5 2 6" xfId="2411" xr:uid="{00000000-0005-0000-0000-0000380A0000}"/>
    <cellStyle name="Comma 4 5 2 6 2" xfId="6695" xr:uid="{00000000-0005-0000-0000-0000390A0000}"/>
    <cellStyle name="Comma 4 5 2 6 2 2" xfId="15145" xr:uid="{5B01E61D-5F8A-448B-8D1E-302333A6DC55}"/>
    <cellStyle name="Comma 4 5 2 6 3" xfId="10927" xr:uid="{0DCC6C43-C584-4A59-A46C-977128CA5A1C}"/>
    <cellStyle name="Comma 4 5 2 7" xfId="2707" xr:uid="{00000000-0005-0000-0000-00003A0A0000}"/>
    <cellStyle name="Comma 4 5 2 8" xfId="2789" xr:uid="{00000000-0005-0000-0000-00003B0A0000}"/>
    <cellStyle name="Comma 4 5 2 8 2" xfId="7012" xr:uid="{00000000-0005-0000-0000-00003C0A0000}"/>
    <cellStyle name="Comma 4 5 2 8 2 2" xfId="15462" xr:uid="{FE0A3225-6F53-4755-B554-F0544C287DCF}"/>
    <cellStyle name="Comma 4 5 2 8 3" xfId="11244" xr:uid="{A755845A-DBB3-4F4B-9949-EF267A4CA435}"/>
    <cellStyle name="Comma 4 5 2 9" xfId="4629" xr:uid="{00000000-0005-0000-0000-00003D0A0000}"/>
    <cellStyle name="Comma 4 5 2 9 2" xfId="13079" xr:uid="{3ABAE69F-157C-4046-8E91-8AEAF1C632E0}"/>
    <cellStyle name="Comma 4 5 3" xfId="694" xr:uid="{00000000-0005-0000-0000-00003E0A0000}"/>
    <cellStyle name="Comma 4 5 3 2" xfId="2965" xr:uid="{00000000-0005-0000-0000-00003F0A0000}"/>
    <cellStyle name="Comma 4 5 3 2 2" xfId="7187" xr:uid="{00000000-0005-0000-0000-0000400A0000}"/>
    <cellStyle name="Comma 4 5 3 2 2 2" xfId="15637" xr:uid="{52EA8B78-8966-452F-B24E-EA433C762EBF}"/>
    <cellStyle name="Comma 4 5 3 2 3" xfId="11419" xr:uid="{8A154E0F-B9EE-40E5-A768-0B2832591655}"/>
    <cellStyle name="Comma 4 5 3 3" xfId="5042" xr:uid="{00000000-0005-0000-0000-0000410A0000}"/>
    <cellStyle name="Comma 4 5 3 3 2" xfId="13492" xr:uid="{5A0B21A5-915E-47B7-88BB-10AC94243349}"/>
    <cellStyle name="Comma 4 5 3 4" xfId="9274" xr:uid="{BDD95F97-E06B-4F7F-8614-CF9C1328242B}"/>
    <cellStyle name="Comma 4 5 4" xfId="1147" xr:uid="{00000000-0005-0000-0000-0000420A0000}"/>
    <cellStyle name="Comma 4 5 4 2" xfId="3378" xr:uid="{00000000-0005-0000-0000-0000430A0000}"/>
    <cellStyle name="Comma 4 5 4 2 2" xfId="7600" xr:uid="{00000000-0005-0000-0000-0000440A0000}"/>
    <cellStyle name="Comma 4 5 4 2 2 2" xfId="16050" xr:uid="{104387D3-7C8B-4A8B-90B3-84FF418D5ABC}"/>
    <cellStyle name="Comma 4 5 4 2 3" xfId="11832" xr:uid="{5D7AE85B-3A8C-4E65-9A0A-842369FF95E5}"/>
    <cellStyle name="Comma 4 5 4 3" xfId="5455" xr:uid="{00000000-0005-0000-0000-0000450A0000}"/>
    <cellStyle name="Comma 4 5 4 3 2" xfId="13905" xr:uid="{686522F4-0468-4200-93DB-99349357F565}"/>
    <cellStyle name="Comma 4 5 4 4" xfId="9687" xr:uid="{51E5E95E-B1AD-4AE9-9D91-8F23F444B4E9}"/>
    <cellStyle name="Comma 4 5 5" xfId="1561" xr:uid="{00000000-0005-0000-0000-0000460A0000}"/>
    <cellStyle name="Comma 4 5 5 2" xfId="3791" xr:uid="{00000000-0005-0000-0000-0000470A0000}"/>
    <cellStyle name="Comma 4 5 5 2 2" xfId="8013" xr:uid="{00000000-0005-0000-0000-0000480A0000}"/>
    <cellStyle name="Comma 4 5 5 2 2 2" xfId="16463" xr:uid="{1CAF1546-6929-4FAF-B169-A6C0A9B3A918}"/>
    <cellStyle name="Comma 4 5 5 2 3" xfId="12245" xr:uid="{68F3150C-9053-478B-BB16-ACFA8687FCD0}"/>
    <cellStyle name="Comma 4 5 5 3" xfId="5868" xr:uid="{00000000-0005-0000-0000-0000490A0000}"/>
    <cellStyle name="Comma 4 5 5 3 2" xfId="14318" xr:uid="{253BC51E-E60C-4AF2-A800-EE9536BE4502}"/>
    <cellStyle name="Comma 4 5 5 4" xfId="10100" xr:uid="{F43AFBC5-A6CE-4A0B-8E44-71DF04D91E34}"/>
    <cellStyle name="Comma 4 5 6" xfId="1975" xr:uid="{00000000-0005-0000-0000-00004A0A0000}"/>
    <cellStyle name="Comma 4 5 6 2" xfId="4204" xr:uid="{00000000-0005-0000-0000-00004B0A0000}"/>
    <cellStyle name="Comma 4 5 6 2 2" xfId="8426" xr:uid="{00000000-0005-0000-0000-00004C0A0000}"/>
    <cellStyle name="Comma 4 5 6 2 2 2" xfId="16876" xr:uid="{08D3E97D-C927-42F0-AE51-B7BBA4BBAFDF}"/>
    <cellStyle name="Comma 4 5 6 2 3" xfId="12658" xr:uid="{ABD3F0B1-DC7D-47DF-B812-FB1A79E4BC69}"/>
    <cellStyle name="Comma 4 5 6 3" xfId="6281" xr:uid="{00000000-0005-0000-0000-00004D0A0000}"/>
    <cellStyle name="Comma 4 5 6 3 2" xfId="14731" xr:uid="{7C01A636-33F0-4803-9A69-0B4170CC646E}"/>
    <cellStyle name="Comma 4 5 6 4" xfId="10513" xr:uid="{D1096400-BA8F-4967-A94E-A855B030AEEB}"/>
    <cellStyle name="Comma 4 5 7" xfId="2410" xr:uid="{00000000-0005-0000-0000-00004E0A0000}"/>
    <cellStyle name="Comma 4 5 7 2" xfId="6694" xr:uid="{00000000-0005-0000-0000-00004F0A0000}"/>
    <cellStyle name="Comma 4 5 7 2 2" xfId="15144" xr:uid="{F1A2B988-852B-4361-9E44-D204FFDFAB4C}"/>
    <cellStyle name="Comma 4 5 7 3" xfId="10926" xr:uid="{243B6413-E547-41DD-928D-B0A3B6F1E5F4}"/>
    <cellStyle name="Comma 4 5 8" xfId="2706" xr:uid="{00000000-0005-0000-0000-0000500A0000}"/>
    <cellStyle name="Comma 4 5 9" xfId="2788" xr:uid="{00000000-0005-0000-0000-0000510A0000}"/>
    <cellStyle name="Comma 4 5 9 2" xfId="7011" xr:uid="{00000000-0005-0000-0000-0000520A0000}"/>
    <cellStyle name="Comma 4 5 9 2 2" xfId="15461" xr:uid="{FBBD2070-B6DE-4B2D-AA43-0A353A315433}"/>
    <cellStyle name="Comma 4 5 9 3" xfId="11243" xr:uid="{068FED5A-2A2C-4AC8-8E66-D2EEFE5987E8}"/>
    <cellStyle name="Comma 4 6" xfId="159" xr:uid="{00000000-0005-0000-0000-0000530A0000}"/>
    <cellStyle name="Comma 4 6 10" xfId="8862" xr:uid="{3E0A2CD9-20CD-4962-BC81-F90D54F54D44}"/>
    <cellStyle name="Comma 4 6 2" xfId="696" xr:uid="{00000000-0005-0000-0000-0000540A0000}"/>
    <cellStyle name="Comma 4 6 2 2" xfId="2967" xr:uid="{00000000-0005-0000-0000-0000550A0000}"/>
    <cellStyle name="Comma 4 6 2 2 2" xfId="7189" xr:uid="{00000000-0005-0000-0000-0000560A0000}"/>
    <cellStyle name="Comma 4 6 2 2 2 2" xfId="15639" xr:uid="{998CED3C-1FBF-4BAF-A014-4E47543C7527}"/>
    <cellStyle name="Comma 4 6 2 2 3" xfId="11421" xr:uid="{B74BC16E-7E31-49AD-AED7-5D984B64F274}"/>
    <cellStyle name="Comma 4 6 2 3" xfId="5044" xr:uid="{00000000-0005-0000-0000-0000570A0000}"/>
    <cellStyle name="Comma 4 6 2 3 2" xfId="13494" xr:uid="{35B34A11-9351-4D2F-9A22-1DBDDF42A123}"/>
    <cellStyle name="Comma 4 6 2 4" xfId="9276" xr:uid="{370FA053-2CFC-4C1E-BD85-40711CA20DE0}"/>
    <cellStyle name="Comma 4 6 3" xfId="1149" xr:uid="{00000000-0005-0000-0000-0000580A0000}"/>
    <cellStyle name="Comma 4 6 3 2" xfId="3380" xr:uid="{00000000-0005-0000-0000-0000590A0000}"/>
    <cellStyle name="Comma 4 6 3 2 2" xfId="7602" xr:uid="{00000000-0005-0000-0000-00005A0A0000}"/>
    <cellStyle name="Comma 4 6 3 2 2 2" xfId="16052" xr:uid="{B2E4749B-8FB3-4886-B5EF-DF590C85ABD0}"/>
    <cellStyle name="Comma 4 6 3 2 3" xfId="11834" xr:uid="{155DCF24-821F-46CC-A540-80AB8A7189A2}"/>
    <cellStyle name="Comma 4 6 3 3" xfId="5457" xr:uid="{00000000-0005-0000-0000-00005B0A0000}"/>
    <cellStyle name="Comma 4 6 3 3 2" xfId="13907" xr:uid="{58C5EC8E-C251-419F-950D-88ECDBB7F3F3}"/>
    <cellStyle name="Comma 4 6 3 4" xfId="9689" xr:uid="{061078F0-0587-4DDB-8DC1-0BEC1419549E}"/>
    <cellStyle name="Comma 4 6 4" xfId="1563" xr:uid="{00000000-0005-0000-0000-00005C0A0000}"/>
    <cellStyle name="Comma 4 6 4 2" xfId="3793" xr:uid="{00000000-0005-0000-0000-00005D0A0000}"/>
    <cellStyle name="Comma 4 6 4 2 2" xfId="8015" xr:uid="{00000000-0005-0000-0000-00005E0A0000}"/>
    <cellStyle name="Comma 4 6 4 2 2 2" xfId="16465" xr:uid="{1E46F8F7-3227-49E8-B184-44BF0949B89E}"/>
    <cellStyle name="Comma 4 6 4 2 3" xfId="12247" xr:uid="{11681829-1D6D-4A80-877B-37EB4FF4C359}"/>
    <cellStyle name="Comma 4 6 4 3" xfId="5870" xr:uid="{00000000-0005-0000-0000-00005F0A0000}"/>
    <cellStyle name="Comma 4 6 4 3 2" xfId="14320" xr:uid="{054C06F8-8977-454C-9CAC-59CE2A5C5152}"/>
    <cellStyle name="Comma 4 6 4 4" xfId="10102" xr:uid="{5F072D7E-9443-4DCD-A97E-6B221E4A2C18}"/>
    <cellStyle name="Comma 4 6 5" xfId="1977" xr:uid="{00000000-0005-0000-0000-0000600A0000}"/>
    <cellStyle name="Comma 4 6 5 2" xfId="4206" xr:uid="{00000000-0005-0000-0000-0000610A0000}"/>
    <cellStyle name="Comma 4 6 5 2 2" xfId="8428" xr:uid="{00000000-0005-0000-0000-0000620A0000}"/>
    <cellStyle name="Comma 4 6 5 2 2 2" xfId="16878" xr:uid="{B009ED89-97EA-4C9A-BDF9-292D9F31C823}"/>
    <cellStyle name="Comma 4 6 5 2 3" xfId="12660" xr:uid="{94139EC3-C3FD-4DD0-B171-C8A81715E8F4}"/>
    <cellStyle name="Comma 4 6 5 3" xfId="6283" xr:uid="{00000000-0005-0000-0000-0000630A0000}"/>
    <cellStyle name="Comma 4 6 5 3 2" xfId="14733" xr:uid="{A13B4EFE-2BBA-42D9-B809-995ED2A49849}"/>
    <cellStyle name="Comma 4 6 5 4" xfId="10515" xr:uid="{212AC2DC-7BD5-4098-AF54-A8E40C5985B3}"/>
    <cellStyle name="Comma 4 6 6" xfId="2412" xr:uid="{00000000-0005-0000-0000-0000640A0000}"/>
    <cellStyle name="Comma 4 6 6 2" xfId="6696" xr:uid="{00000000-0005-0000-0000-0000650A0000}"/>
    <cellStyle name="Comma 4 6 6 2 2" xfId="15146" xr:uid="{34EF3C77-95ED-4DFA-AE74-DD0989865B02}"/>
    <cellStyle name="Comma 4 6 6 3" xfId="10928" xr:uid="{3D95BC6C-F004-4FDA-BA7D-8884B06406E8}"/>
    <cellStyle name="Comma 4 6 7" xfId="2708" xr:uid="{00000000-0005-0000-0000-0000660A0000}"/>
    <cellStyle name="Comma 4 6 8" xfId="2790" xr:uid="{00000000-0005-0000-0000-0000670A0000}"/>
    <cellStyle name="Comma 4 6 8 2" xfId="7013" xr:uid="{00000000-0005-0000-0000-0000680A0000}"/>
    <cellStyle name="Comma 4 6 8 2 2" xfId="15463" xr:uid="{592EBC9C-24F7-4364-B6EB-DEFBB0DB4901}"/>
    <cellStyle name="Comma 4 6 8 3" xfId="11245" xr:uid="{E8890C46-556B-4C05-BE7C-805D3ADD5566}"/>
    <cellStyle name="Comma 4 6 9" xfId="4630" xr:uid="{00000000-0005-0000-0000-0000690A0000}"/>
    <cellStyle name="Comma 4 6 9 2" xfId="13080" xr:uid="{CAE3CC71-ABFB-4BF4-AE39-686F61F7A97B}"/>
    <cellStyle name="Comma 4 7" xfId="160" xr:uid="{00000000-0005-0000-0000-00006A0A0000}"/>
    <cellStyle name="Comma 4 7 10" xfId="8863" xr:uid="{5E697261-8A57-443B-AC0E-9E8FF9A56513}"/>
    <cellStyle name="Comma 4 7 2" xfId="697" xr:uid="{00000000-0005-0000-0000-00006B0A0000}"/>
    <cellStyle name="Comma 4 7 2 2" xfId="2968" xr:uid="{00000000-0005-0000-0000-00006C0A0000}"/>
    <cellStyle name="Comma 4 7 2 2 2" xfId="7190" xr:uid="{00000000-0005-0000-0000-00006D0A0000}"/>
    <cellStyle name="Comma 4 7 2 2 2 2" xfId="15640" xr:uid="{56298039-322D-4609-B9B0-A6A7B2C633B6}"/>
    <cellStyle name="Comma 4 7 2 2 3" xfId="11422" xr:uid="{A0A1F92A-6670-4E23-A98E-3324508A26B0}"/>
    <cellStyle name="Comma 4 7 2 3" xfId="5045" xr:uid="{00000000-0005-0000-0000-00006E0A0000}"/>
    <cellStyle name="Comma 4 7 2 3 2" xfId="13495" xr:uid="{325BD144-A730-4AD3-BC83-C2AC271B5353}"/>
    <cellStyle name="Comma 4 7 2 4" xfId="9277" xr:uid="{2DD6F34F-3CE9-42FF-872A-0A98AA37AA96}"/>
    <cellStyle name="Comma 4 7 3" xfId="1150" xr:uid="{00000000-0005-0000-0000-00006F0A0000}"/>
    <cellStyle name="Comma 4 7 3 2" xfId="3381" xr:uid="{00000000-0005-0000-0000-0000700A0000}"/>
    <cellStyle name="Comma 4 7 3 2 2" xfId="7603" xr:uid="{00000000-0005-0000-0000-0000710A0000}"/>
    <cellStyle name="Comma 4 7 3 2 2 2" xfId="16053" xr:uid="{42B9795F-D28E-4C8B-8B17-4B1C8CC039CF}"/>
    <cellStyle name="Comma 4 7 3 2 3" xfId="11835" xr:uid="{F82BFAE5-4564-4851-A359-94187EF7EC20}"/>
    <cellStyle name="Comma 4 7 3 3" xfId="5458" xr:uid="{00000000-0005-0000-0000-0000720A0000}"/>
    <cellStyle name="Comma 4 7 3 3 2" xfId="13908" xr:uid="{8D1CC2C5-B56B-4103-BBAD-A1C872ABB9B7}"/>
    <cellStyle name="Comma 4 7 3 4" xfId="9690" xr:uid="{87AB60A5-5021-4CFC-871D-74DACBA4EB23}"/>
    <cellStyle name="Comma 4 7 4" xfId="1564" xr:uid="{00000000-0005-0000-0000-0000730A0000}"/>
    <cellStyle name="Comma 4 7 4 2" xfId="3794" xr:uid="{00000000-0005-0000-0000-0000740A0000}"/>
    <cellStyle name="Comma 4 7 4 2 2" xfId="8016" xr:uid="{00000000-0005-0000-0000-0000750A0000}"/>
    <cellStyle name="Comma 4 7 4 2 2 2" xfId="16466" xr:uid="{0F4EDCD5-0EC8-41AD-9565-F6FF67B395C2}"/>
    <cellStyle name="Comma 4 7 4 2 3" xfId="12248" xr:uid="{95A63FB0-010A-48B3-A897-3401F0A9D739}"/>
    <cellStyle name="Comma 4 7 4 3" xfId="5871" xr:uid="{00000000-0005-0000-0000-0000760A0000}"/>
    <cellStyle name="Comma 4 7 4 3 2" xfId="14321" xr:uid="{BC9E1926-8FAD-479B-BA57-62C540496D67}"/>
    <cellStyle name="Comma 4 7 4 4" xfId="10103" xr:uid="{2566303D-8EA1-46CF-B146-98BFB640E0F9}"/>
    <cellStyle name="Comma 4 7 5" xfId="1978" xr:uid="{00000000-0005-0000-0000-0000770A0000}"/>
    <cellStyle name="Comma 4 7 5 2" xfId="4207" xr:uid="{00000000-0005-0000-0000-0000780A0000}"/>
    <cellStyle name="Comma 4 7 5 2 2" xfId="8429" xr:uid="{00000000-0005-0000-0000-0000790A0000}"/>
    <cellStyle name="Comma 4 7 5 2 2 2" xfId="16879" xr:uid="{E926EE0D-65D1-4B4E-A9E6-B7F6C0E84EEF}"/>
    <cellStyle name="Comma 4 7 5 2 3" xfId="12661" xr:uid="{504C354B-D091-43FA-BE02-96D28F239BCA}"/>
    <cellStyle name="Comma 4 7 5 3" xfId="6284" xr:uid="{00000000-0005-0000-0000-00007A0A0000}"/>
    <cellStyle name="Comma 4 7 5 3 2" xfId="14734" xr:uid="{4E6CEB13-771B-4142-9831-4D878D5CF1FF}"/>
    <cellStyle name="Comma 4 7 5 4" xfId="10516" xr:uid="{7BD7E345-6F31-49D9-B409-CF5CA0C5AD37}"/>
    <cellStyle name="Comma 4 7 6" xfId="2413" xr:uid="{00000000-0005-0000-0000-00007B0A0000}"/>
    <cellStyle name="Comma 4 7 6 2" xfId="6697" xr:uid="{00000000-0005-0000-0000-00007C0A0000}"/>
    <cellStyle name="Comma 4 7 6 2 2" xfId="15147" xr:uid="{F65E7863-8DB3-4271-B2B5-5FB031D3A8D4}"/>
    <cellStyle name="Comma 4 7 6 3" xfId="10929" xr:uid="{5BC80A62-E6C8-4C80-9D0C-88C20FDD3D68}"/>
    <cellStyle name="Comma 4 7 7" xfId="2709" xr:uid="{00000000-0005-0000-0000-00007D0A0000}"/>
    <cellStyle name="Comma 4 7 8" xfId="2791" xr:uid="{00000000-0005-0000-0000-00007E0A0000}"/>
    <cellStyle name="Comma 4 7 8 2" xfId="7014" xr:uid="{00000000-0005-0000-0000-00007F0A0000}"/>
    <cellStyle name="Comma 4 7 8 2 2" xfId="15464" xr:uid="{11C95B3A-E3E6-486D-BB0E-DC6276AB1D0F}"/>
    <cellStyle name="Comma 4 7 8 3" xfId="11246" xr:uid="{3F6CBE0B-BA70-497A-A8B4-74B10F097A24}"/>
    <cellStyle name="Comma 4 7 9" xfId="4631" xr:uid="{00000000-0005-0000-0000-0000800A0000}"/>
    <cellStyle name="Comma 4 7 9 2" xfId="13081" xr:uid="{ACFBADE7-4EB4-4836-9682-8BB9F2AB0DD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4C928016-4D1E-4182-AFD8-236257D6C5D2}"/>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B2599358-14AB-4B2F-A597-83D41D3508C9}"/>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62DA5736-4E5D-4B68-A920-DD0FAA3BEF48}"/>
    <cellStyle name="Currency 14 3 2 2 2 3" xfId="17179" xr:uid="{6C1CE3C3-B779-40D8-B741-3D1B9ADA67A6}"/>
    <cellStyle name="Currency 14 3 2 2 3" xfId="17175" xr:uid="{EFE62E49-1A85-4D53-892A-2FDB9D281BF8}"/>
    <cellStyle name="Currency 14 3 2 3" xfId="17172" xr:uid="{BD8114CB-18BC-4E03-B8E4-429AA082B2DA}"/>
    <cellStyle name="Currency 14 3 3" xfId="17169" xr:uid="{E3090DC5-5910-4814-B4AD-E4BEFAF4EEC6}"/>
    <cellStyle name="Currency 14 4" xfId="12952" xr:uid="{FF9D03D5-68A3-4466-ABAD-4965F813C70A}"/>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C3F49A92-BD21-42E2-B35A-0A88F583204E}"/>
    <cellStyle name="Currency 3 2 2 10 3" xfId="11247" xr:uid="{08AC3411-6255-4E11-AF36-CA0EFD344220}"/>
    <cellStyle name="Currency 3 2 2 11" xfId="4632" xr:uid="{00000000-0005-0000-0000-0000A50A0000}"/>
    <cellStyle name="Currency 3 2 2 11 2" xfId="13082" xr:uid="{58612EBE-E98A-4AF5-A38F-ABE9CAA8CE7B}"/>
    <cellStyle name="Currency 3 2 2 12" xfId="8864" xr:uid="{DD173AA4-6A70-468D-8E7E-E235E6BCB36D}"/>
    <cellStyle name="Currency 3 2 2 2" xfId="179" xr:uid="{00000000-0005-0000-0000-0000A60A0000}"/>
    <cellStyle name="Currency 3 2 2 2 10" xfId="4633" xr:uid="{00000000-0005-0000-0000-0000A70A0000}"/>
    <cellStyle name="Currency 3 2 2 2 10 2" xfId="13083" xr:uid="{DD0FBCAA-56C0-4026-AE0B-581F0912AF5F}"/>
    <cellStyle name="Currency 3 2 2 2 11" xfId="8865" xr:uid="{B761059A-7C85-4B83-94E2-F20BDDB299EB}"/>
    <cellStyle name="Currency 3 2 2 2 2" xfId="180" xr:uid="{00000000-0005-0000-0000-0000A80A0000}"/>
    <cellStyle name="Currency 3 2 2 2 2 10" xfId="8866" xr:uid="{25064926-00AD-47D4-8283-C13D63B5A077}"/>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953FD051-BEB6-41F8-ABA1-D62858BAC4D9}"/>
    <cellStyle name="Currency 3 2 2 2 2 2 2 3" xfId="11425" xr:uid="{14EB6D4C-A575-412A-8FE8-C64A14665F3E}"/>
    <cellStyle name="Currency 3 2 2 2 2 2 3" xfId="5048" xr:uid="{00000000-0005-0000-0000-0000AC0A0000}"/>
    <cellStyle name="Currency 3 2 2 2 2 2 3 2" xfId="13498" xr:uid="{15349234-B3E6-4F07-BAF9-26D799370648}"/>
    <cellStyle name="Currency 3 2 2 2 2 2 4" xfId="9280" xr:uid="{7A7AA3DF-0A12-4C26-B3F9-90EDE16AF7F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F89C399A-72C7-4491-9F76-53EEEDB30C56}"/>
    <cellStyle name="Currency 3 2 2 2 2 3 2 3" xfId="11838" xr:uid="{474C5ABB-F2A5-4002-BD06-C82442124F56}"/>
    <cellStyle name="Currency 3 2 2 2 2 3 3" xfId="5461" xr:uid="{00000000-0005-0000-0000-0000B00A0000}"/>
    <cellStyle name="Currency 3 2 2 2 2 3 3 2" xfId="13911" xr:uid="{F28EC46B-CD3B-42AB-98D5-6F7F7389C5ED}"/>
    <cellStyle name="Currency 3 2 2 2 2 3 4" xfId="9693" xr:uid="{59EE4E39-DA4A-472A-BD48-F2A3923692B8}"/>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71A0466F-D5BF-40B1-9ABC-D05BF4F500FE}"/>
    <cellStyle name="Currency 3 2 2 2 2 4 2 3" xfId="12251" xr:uid="{87C9FC6A-1779-443C-AD14-B72327F97BA2}"/>
    <cellStyle name="Currency 3 2 2 2 2 4 3" xfId="5874" xr:uid="{00000000-0005-0000-0000-0000B40A0000}"/>
    <cellStyle name="Currency 3 2 2 2 2 4 3 2" xfId="14324" xr:uid="{C9787F6B-2E93-4EE2-A78E-5421AFD55560}"/>
    <cellStyle name="Currency 3 2 2 2 2 4 4" xfId="10106" xr:uid="{DE2D3261-FB70-4BA4-BABA-97A3F2685EEE}"/>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CB480BCD-9406-41AA-A1A8-49F73369276E}"/>
    <cellStyle name="Currency 3 2 2 2 2 5 2 3" xfId="12664" xr:uid="{8011374F-6783-487F-94B1-64ECD3F194A5}"/>
    <cellStyle name="Currency 3 2 2 2 2 5 3" xfId="6287" xr:uid="{00000000-0005-0000-0000-0000B80A0000}"/>
    <cellStyle name="Currency 3 2 2 2 2 5 3 2" xfId="14737" xr:uid="{4C88BDE3-8101-4CE2-993F-75F6E98C79FE}"/>
    <cellStyle name="Currency 3 2 2 2 2 5 4" xfId="10519" xr:uid="{FE11334E-4002-4AFA-9A33-411A03FB6F2E}"/>
    <cellStyle name="Currency 3 2 2 2 2 6" xfId="2416" xr:uid="{00000000-0005-0000-0000-0000B90A0000}"/>
    <cellStyle name="Currency 3 2 2 2 2 6 2" xfId="6700" xr:uid="{00000000-0005-0000-0000-0000BA0A0000}"/>
    <cellStyle name="Currency 3 2 2 2 2 6 2 2" xfId="15150" xr:uid="{B0EDD226-54AB-43AC-9D18-8424831A6C27}"/>
    <cellStyle name="Currency 3 2 2 2 2 6 3" xfId="10932" xr:uid="{2C8CFEB5-B000-4AE0-B43F-1A40679FC7A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05ED29F3-DDAA-41D2-A4B8-3B82E2559D18}"/>
    <cellStyle name="Currency 3 2 2 2 2 8 3" xfId="11249" xr:uid="{B2C36F33-348F-4B51-BD7E-AD60F902903B}"/>
    <cellStyle name="Currency 3 2 2 2 2 9" xfId="4634" xr:uid="{00000000-0005-0000-0000-0000BE0A0000}"/>
    <cellStyle name="Currency 3 2 2 2 2 9 2" xfId="13084" xr:uid="{BFC10E37-F088-4540-A902-181C498B28A9}"/>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81A9452E-D26A-4837-B439-AB7F4154405D}"/>
    <cellStyle name="Currency 3 2 2 2 3 2 3" xfId="11424" xr:uid="{D8F36720-A48A-4C5C-BB8B-111D8FF28352}"/>
    <cellStyle name="Currency 3 2 2 2 3 3" xfId="5047" xr:uid="{00000000-0005-0000-0000-0000C20A0000}"/>
    <cellStyle name="Currency 3 2 2 2 3 3 2" xfId="13497" xr:uid="{E6871D9B-F939-4EB6-B516-54431DCC9000}"/>
    <cellStyle name="Currency 3 2 2 2 3 4" xfId="9279" xr:uid="{913EF08F-2939-42DB-A272-7A128554DAF4}"/>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705DD9F7-3E0C-4E3B-A18E-60A4F1163458}"/>
    <cellStyle name="Currency 3 2 2 2 4 2 3" xfId="11837" xr:uid="{F3EDF109-9D92-4DF9-9281-D67E251C35AA}"/>
    <cellStyle name="Currency 3 2 2 2 4 3" xfId="5460" xr:uid="{00000000-0005-0000-0000-0000C60A0000}"/>
    <cellStyle name="Currency 3 2 2 2 4 3 2" xfId="13910" xr:uid="{C847C6B1-41CE-4F18-B5CE-98AC16B21D0F}"/>
    <cellStyle name="Currency 3 2 2 2 4 4" xfId="9692" xr:uid="{492CD46E-42D9-44F0-BFB9-AAE5F9EBC95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62DDA683-EF3E-405B-9CD1-2D7F80BF2773}"/>
    <cellStyle name="Currency 3 2 2 2 5 2 3" xfId="12250" xr:uid="{446BA670-9465-42D2-B8F9-FBB45B8C1AAD}"/>
    <cellStyle name="Currency 3 2 2 2 5 3" xfId="5873" xr:uid="{00000000-0005-0000-0000-0000CA0A0000}"/>
    <cellStyle name="Currency 3 2 2 2 5 3 2" xfId="14323" xr:uid="{DEBB67DE-03F4-4DE4-BD2A-D7E12A3CFB35}"/>
    <cellStyle name="Currency 3 2 2 2 5 4" xfId="10105" xr:uid="{827E5738-9F32-4583-8A1C-859C990BBF9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20612CA8-56CE-4904-A8DA-ABBE73962A34}"/>
    <cellStyle name="Currency 3 2 2 2 6 2 3" xfId="12663" xr:uid="{3C1EF35C-1D97-4CED-AC5C-BE2D948C1208}"/>
    <cellStyle name="Currency 3 2 2 2 6 3" xfId="6286" xr:uid="{00000000-0005-0000-0000-0000CE0A0000}"/>
    <cellStyle name="Currency 3 2 2 2 6 3 2" xfId="14736" xr:uid="{B2BA4C2A-F4D9-48DB-8D77-918937369384}"/>
    <cellStyle name="Currency 3 2 2 2 6 4" xfId="10518" xr:uid="{68B4E8DB-C627-4991-9D74-4499D5CD6BCD}"/>
    <cellStyle name="Currency 3 2 2 2 7" xfId="2415" xr:uid="{00000000-0005-0000-0000-0000CF0A0000}"/>
    <cellStyle name="Currency 3 2 2 2 7 2" xfId="6699" xr:uid="{00000000-0005-0000-0000-0000D00A0000}"/>
    <cellStyle name="Currency 3 2 2 2 7 2 2" xfId="15149" xr:uid="{16488224-5ADD-40D3-8C2B-E6AAC116216C}"/>
    <cellStyle name="Currency 3 2 2 2 7 3" xfId="10931" xr:uid="{6AA29C35-665B-462B-9F99-9F6725C46FC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5060FCA7-5AD7-4741-A903-4621FA966671}"/>
    <cellStyle name="Currency 3 2 2 2 9 3" xfId="11248" xr:uid="{7B48D1E2-8C88-4A63-830D-AD743A3BD0C1}"/>
    <cellStyle name="Currency 3 2 2 3" xfId="181" xr:uid="{00000000-0005-0000-0000-0000D40A0000}"/>
    <cellStyle name="Currency 3 2 2 3 10" xfId="8867" xr:uid="{0D5167DD-0B04-4D04-8D4A-D7302449C0E2}"/>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3F166874-0C94-45B1-B91A-55844D3561F5}"/>
    <cellStyle name="Currency 3 2 2 3 2 2 3" xfId="11426" xr:uid="{583D08C6-2BFE-47F4-8193-7DD4B8E0E2D0}"/>
    <cellStyle name="Currency 3 2 2 3 2 3" xfId="5049" xr:uid="{00000000-0005-0000-0000-0000D80A0000}"/>
    <cellStyle name="Currency 3 2 2 3 2 3 2" xfId="13499" xr:uid="{25F847E8-971E-458D-A251-6FE9E6D5B07B}"/>
    <cellStyle name="Currency 3 2 2 3 2 4" xfId="9281" xr:uid="{8777F352-A026-4755-928A-1C03F2CB700D}"/>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F30292A4-63D8-4D92-B597-49BA791426FB}"/>
    <cellStyle name="Currency 3 2 2 3 3 2 3" xfId="11839" xr:uid="{6CE8340E-6E51-4B9F-BB93-B97E09571855}"/>
    <cellStyle name="Currency 3 2 2 3 3 3" xfId="5462" xr:uid="{00000000-0005-0000-0000-0000DC0A0000}"/>
    <cellStyle name="Currency 3 2 2 3 3 3 2" xfId="13912" xr:uid="{1337924F-7167-46C8-A6E6-A2D81F977C32}"/>
    <cellStyle name="Currency 3 2 2 3 3 4" xfId="9694" xr:uid="{7D9F2C55-B3B2-4CAF-8D24-9F5B98BB9F3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193F1671-F234-4AC6-8F83-9404CDFF95C9}"/>
    <cellStyle name="Currency 3 2 2 3 4 2 3" xfId="12252" xr:uid="{4DF1B571-8425-4325-B7B2-1698A0568730}"/>
    <cellStyle name="Currency 3 2 2 3 4 3" xfId="5875" xr:uid="{00000000-0005-0000-0000-0000E00A0000}"/>
    <cellStyle name="Currency 3 2 2 3 4 3 2" xfId="14325" xr:uid="{C47F62FD-FBF3-48DD-BB24-B18AD5625554}"/>
    <cellStyle name="Currency 3 2 2 3 4 4" xfId="10107" xr:uid="{E61C15B7-8178-4A32-9273-3AB26A3882EE}"/>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E807684C-8830-4A27-9CFE-EE6973C018C4}"/>
    <cellStyle name="Currency 3 2 2 3 5 2 3" xfId="12665" xr:uid="{DA62D3BE-C440-4BF1-987D-619C675CDCE1}"/>
    <cellStyle name="Currency 3 2 2 3 5 3" xfId="6288" xr:uid="{00000000-0005-0000-0000-0000E40A0000}"/>
    <cellStyle name="Currency 3 2 2 3 5 3 2" xfId="14738" xr:uid="{983BB3D7-4813-468F-A892-0DC8244DE6E6}"/>
    <cellStyle name="Currency 3 2 2 3 5 4" xfId="10520" xr:uid="{D2238235-A390-4AAB-A13D-6790ECED2466}"/>
    <cellStyle name="Currency 3 2 2 3 6" xfId="2417" xr:uid="{00000000-0005-0000-0000-0000E50A0000}"/>
    <cellStyle name="Currency 3 2 2 3 6 2" xfId="6701" xr:uid="{00000000-0005-0000-0000-0000E60A0000}"/>
    <cellStyle name="Currency 3 2 2 3 6 2 2" xfId="15151" xr:uid="{421CE631-2211-4421-A0AA-97E55D07446D}"/>
    <cellStyle name="Currency 3 2 2 3 6 3" xfId="10933" xr:uid="{9666696A-D610-435F-A526-D5DAD58D9444}"/>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8404A15D-06D8-4806-9C8D-CD02038F6EC2}"/>
    <cellStyle name="Currency 3 2 2 3 8 3" xfId="11250" xr:uid="{FBD00F60-3261-4DE0-AA3B-3F011AD83971}"/>
    <cellStyle name="Currency 3 2 2 3 9" xfId="4635" xr:uid="{00000000-0005-0000-0000-0000EA0A0000}"/>
    <cellStyle name="Currency 3 2 2 3 9 2" xfId="13085" xr:uid="{77D0845F-BFD0-4F29-89C4-2AC1BA2656B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114D1186-3878-4C1F-B23D-842E41308FCF}"/>
    <cellStyle name="Currency 3 2 2 4 2 3" xfId="11423" xr:uid="{E1C1DC89-5CDB-4017-8B21-87A09AEB8A07}"/>
    <cellStyle name="Currency 3 2 2 4 3" xfId="5046" xr:uid="{00000000-0005-0000-0000-0000EE0A0000}"/>
    <cellStyle name="Currency 3 2 2 4 3 2" xfId="13496" xr:uid="{99D3F175-53B3-44BC-8337-ED16785702F4}"/>
    <cellStyle name="Currency 3 2 2 4 4" xfId="9278" xr:uid="{320549B9-02B4-47D4-BB51-B5839541FA86}"/>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6274C6B9-F9DD-43D5-BFDF-5B62B784D217}"/>
    <cellStyle name="Currency 3 2 2 5 2 3" xfId="11836" xr:uid="{9F6DDA19-7481-40D8-B496-E399AA030FBA}"/>
    <cellStyle name="Currency 3 2 2 5 3" xfId="5459" xr:uid="{00000000-0005-0000-0000-0000F20A0000}"/>
    <cellStyle name="Currency 3 2 2 5 3 2" xfId="13909" xr:uid="{07554D0E-B7B0-434F-BDD8-1C74B4B81FD9}"/>
    <cellStyle name="Currency 3 2 2 5 4" xfId="9691" xr:uid="{17D72454-7419-4FAE-BAB0-FDA3A53A8EB9}"/>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FC20A035-948F-4810-B57F-F12859EC817C}"/>
    <cellStyle name="Currency 3 2 2 6 2 3" xfId="12249" xr:uid="{99F29174-0C7C-4D48-92F5-0D6C41A64226}"/>
    <cellStyle name="Currency 3 2 2 6 3" xfId="5872" xr:uid="{00000000-0005-0000-0000-0000F60A0000}"/>
    <cellStyle name="Currency 3 2 2 6 3 2" xfId="14322" xr:uid="{D37B0579-C63D-42B9-9FA9-A7DE03874D40}"/>
    <cellStyle name="Currency 3 2 2 6 4" xfId="10104" xr:uid="{06544C1F-1835-45EB-9825-5E085BDCFDE7}"/>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99EBC3C4-591E-41C8-A8F3-7AFC7C3DAFF7}"/>
    <cellStyle name="Currency 3 2 2 7 2 3" xfId="12662" xr:uid="{2ADCD3E8-779C-4D46-BD9B-F430D0FFE8BA}"/>
    <cellStyle name="Currency 3 2 2 7 3" xfId="6285" xr:uid="{00000000-0005-0000-0000-0000FA0A0000}"/>
    <cellStyle name="Currency 3 2 2 7 3 2" xfId="14735" xr:uid="{C07D86C7-27C0-45A2-8C28-1CAEB1FBF29B}"/>
    <cellStyle name="Currency 3 2 2 7 4" xfId="10517" xr:uid="{ACA124DE-D99B-4029-8E4E-750656C53D6B}"/>
    <cellStyle name="Currency 3 2 2 8" xfId="2414" xr:uid="{00000000-0005-0000-0000-0000FB0A0000}"/>
    <cellStyle name="Currency 3 2 2 8 2" xfId="6698" xr:uid="{00000000-0005-0000-0000-0000FC0A0000}"/>
    <cellStyle name="Currency 3 2 2 8 2 2" xfId="15148" xr:uid="{12881473-5FF0-4AD1-8285-6FD5F459E855}"/>
    <cellStyle name="Currency 3 2 2 8 3" xfId="10930" xr:uid="{46C74674-D2BD-4015-9D14-5243C1B592A9}"/>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1EEA44B8-960C-4EFD-A420-32B6653FDB67}"/>
    <cellStyle name="Currency 3 2 3 11" xfId="8868" xr:uid="{24A68241-C6B1-41F0-AC16-864B8FE5E422}"/>
    <cellStyle name="Currency 3 2 3 2" xfId="183" xr:uid="{00000000-0005-0000-0000-0000000B0000}"/>
    <cellStyle name="Currency 3 2 3 2 10" xfId="8869" xr:uid="{A8C5B3B3-7928-4867-8923-9B5328392718}"/>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C388FCF5-DE8B-4ACA-9D77-BF61D26DA4AC}"/>
    <cellStyle name="Currency 3 2 3 2 2 2 3" xfId="11428" xr:uid="{A44A7DC3-3275-402E-8710-F8A84B442ED1}"/>
    <cellStyle name="Currency 3 2 3 2 2 3" xfId="5051" xr:uid="{00000000-0005-0000-0000-0000040B0000}"/>
    <cellStyle name="Currency 3 2 3 2 2 3 2" xfId="13501" xr:uid="{7C0D751B-8A6B-4547-8CE8-CACC7155FAD5}"/>
    <cellStyle name="Currency 3 2 3 2 2 4" xfId="9283" xr:uid="{AACD495F-DA8A-4E40-89D2-D1E38BD33D36}"/>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6DC7A0E7-A666-482D-B5A3-210C7100622A}"/>
    <cellStyle name="Currency 3 2 3 2 3 2 3" xfId="11841" xr:uid="{F55DC019-EE0E-4D17-B6C4-C5607B94778D}"/>
    <cellStyle name="Currency 3 2 3 2 3 3" xfId="5464" xr:uid="{00000000-0005-0000-0000-0000080B0000}"/>
    <cellStyle name="Currency 3 2 3 2 3 3 2" xfId="13914" xr:uid="{85AE881A-4DF8-4FD2-A500-B3C589377A96}"/>
    <cellStyle name="Currency 3 2 3 2 3 4" xfId="9696" xr:uid="{94051F55-FF47-459E-9015-488DD0BAFAA1}"/>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D7C15FD2-38AE-437E-A8C0-AC63F10E7574}"/>
    <cellStyle name="Currency 3 2 3 2 4 2 3" xfId="12254" xr:uid="{CA845B90-4E16-42C8-81F3-B43F654E0301}"/>
    <cellStyle name="Currency 3 2 3 2 4 3" xfId="5877" xr:uid="{00000000-0005-0000-0000-00000C0B0000}"/>
    <cellStyle name="Currency 3 2 3 2 4 3 2" xfId="14327" xr:uid="{5075CA6C-18BC-4CA8-8CC5-EF6B13D6D0C7}"/>
    <cellStyle name="Currency 3 2 3 2 4 4" xfId="10109" xr:uid="{3107BA1B-DC95-44DE-BEF7-72E4ADA7DB2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F9DE3F0A-7DF2-449D-95F6-CE5FF0CF4154}"/>
    <cellStyle name="Currency 3 2 3 2 5 2 3" xfId="12667" xr:uid="{2238115B-3FAF-416D-B8C4-AF7BBC61E791}"/>
    <cellStyle name="Currency 3 2 3 2 5 3" xfId="6290" xr:uid="{00000000-0005-0000-0000-0000100B0000}"/>
    <cellStyle name="Currency 3 2 3 2 5 3 2" xfId="14740" xr:uid="{F921C26D-7114-4019-A780-F9411674EAC3}"/>
    <cellStyle name="Currency 3 2 3 2 5 4" xfId="10522" xr:uid="{D7926B24-2281-44DA-AD63-37B3C7E7DF15}"/>
    <cellStyle name="Currency 3 2 3 2 6" xfId="2419" xr:uid="{00000000-0005-0000-0000-0000110B0000}"/>
    <cellStyle name="Currency 3 2 3 2 6 2" xfId="6703" xr:uid="{00000000-0005-0000-0000-0000120B0000}"/>
    <cellStyle name="Currency 3 2 3 2 6 2 2" xfId="15153" xr:uid="{FFF764DE-F032-4DAD-8620-9906E74800E8}"/>
    <cellStyle name="Currency 3 2 3 2 6 3" xfId="10935" xr:uid="{2CC08EB2-317C-4608-AB8F-548829FE4F5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E59C9FB5-A6D8-4D1E-9E84-5C13BDC8063C}"/>
    <cellStyle name="Currency 3 2 3 2 8 3" xfId="11252" xr:uid="{C5A000A2-69F6-47A2-B5D4-3437EF12E0AA}"/>
    <cellStyle name="Currency 3 2 3 2 9" xfId="4637" xr:uid="{00000000-0005-0000-0000-0000160B0000}"/>
    <cellStyle name="Currency 3 2 3 2 9 2" xfId="13087" xr:uid="{E1F79727-D793-4C2A-8E7E-06D8DB774DA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D6006283-2309-46A2-A6B1-DECC87D66CFE}"/>
    <cellStyle name="Currency 3 2 3 3 2 3" xfId="11427" xr:uid="{46F16539-B10F-44CE-AE7A-ED32A7B05C9F}"/>
    <cellStyle name="Currency 3 2 3 3 3" xfId="5050" xr:uid="{00000000-0005-0000-0000-00001A0B0000}"/>
    <cellStyle name="Currency 3 2 3 3 3 2" xfId="13500" xr:uid="{699C353B-5FD6-4FDF-BC3B-0B72444121DC}"/>
    <cellStyle name="Currency 3 2 3 3 4" xfId="9282" xr:uid="{5149C16C-BF7C-45C8-B039-736DC6379149}"/>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0FD07C1F-0923-4F8A-A8E0-5EE856166984}"/>
    <cellStyle name="Currency 3 2 3 4 2 3" xfId="11840" xr:uid="{9126DBFC-659A-4926-8BEF-A5E3099BFF21}"/>
    <cellStyle name="Currency 3 2 3 4 3" xfId="5463" xr:uid="{00000000-0005-0000-0000-00001E0B0000}"/>
    <cellStyle name="Currency 3 2 3 4 3 2" xfId="13913" xr:uid="{594EBC43-D154-4B73-9106-B7A8514D5422}"/>
    <cellStyle name="Currency 3 2 3 4 4" xfId="9695" xr:uid="{3E3C181D-4502-45B3-B018-8BD0683FAFD0}"/>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7BBD268A-3922-4B58-ADAC-DDFEEC1129A4}"/>
    <cellStyle name="Currency 3 2 3 5 2 3" xfId="12253" xr:uid="{A4D81FB8-3735-43CC-A0AA-04EB9CDD154D}"/>
    <cellStyle name="Currency 3 2 3 5 3" xfId="5876" xr:uid="{00000000-0005-0000-0000-0000220B0000}"/>
    <cellStyle name="Currency 3 2 3 5 3 2" xfId="14326" xr:uid="{D39FBDA7-4B5D-499E-8827-E4D7082B2435}"/>
    <cellStyle name="Currency 3 2 3 5 4" xfId="10108" xr:uid="{7AA03679-B4BE-4CFE-8243-E4029B0DC93B}"/>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A15E16E7-4ACB-4176-ABBB-20DE72CB7308}"/>
    <cellStyle name="Currency 3 2 3 6 2 3" xfId="12666" xr:uid="{914BA9E7-E936-4DA4-AD6B-E75DA792EA8F}"/>
    <cellStyle name="Currency 3 2 3 6 3" xfId="6289" xr:uid="{00000000-0005-0000-0000-0000260B0000}"/>
    <cellStyle name="Currency 3 2 3 6 3 2" xfId="14739" xr:uid="{4187448D-881B-474C-B2DB-884B0EC06A8F}"/>
    <cellStyle name="Currency 3 2 3 6 4" xfId="10521" xr:uid="{A129FF71-C45C-47AB-BBBA-57E80C4B779B}"/>
    <cellStyle name="Currency 3 2 3 7" xfId="2418" xr:uid="{00000000-0005-0000-0000-0000270B0000}"/>
    <cellStyle name="Currency 3 2 3 7 2" xfId="6702" xr:uid="{00000000-0005-0000-0000-0000280B0000}"/>
    <cellStyle name="Currency 3 2 3 7 2 2" xfId="15152" xr:uid="{BB5363AD-D8F9-4CF7-BD14-681D93DCE6BD}"/>
    <cellStyle name="Currency 3 2 3 7 3" xfId="10934" xr:uid="{471B7A1A-F335-48B5-8ECB-1BED2B8CD67C}"/>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E22F7066-3031-49FC-95D0-7EEBE8DA2948}"/>
    <cellStyle name="Currency 3 2 3 9 3" xfId="11251" xr:uid="{E19FCBB8-80DA-4590-9597-2E4D4EEAFABB}"/>
    <cellStyle name="Currency 3 2 4" xfId="184" xr:uid="{00000000-0005-0000-0000-00002C0B0000}"/>
    <cellStyle name="Currency 3 2 4 10" xfId="8870" xr:uid="{50938134-9881-4028-8D3C-904B75779331}"/>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E814F905-D6EF-458C-9925-A9157828BDC5}"/>
    <cellStyle name="Currency 3 2 4 2 2 3" xfId="11429" xr:uid="{632C227B-3C83-4A6B-89A5-CA7ED2DFF693}"/>
    <cellStyle name="Currency 3 2 4 2 3" xfId="5052" xr:uid="{00000000-0005-0000-0000-0000300B0000}"/>
    <cellStyle name="Currency 3 2 4 2 3 2" xfId="13502" xr:uid="{241E1907-F1E7-40B0-9264-AB006047B837}"/>
    <cellStyle name="Currency 3 2 4 2 4" xfId="9284" xr:uid="{4582BD6E-F397-4976-B3CF-ACD6BBB29A6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29A6122C-B36D-4884-9EA4-D0C04F7D4E68}"/>
    <cellStyle name="Currency 3 2 4 3 2 3" xfId="11842" xr:uid="{DD78D0D4-B16B-42FE-B251-AE8496259F5F}"/>
    <cellStyle name="Currency 3 2 4 3 3" xfId="5465" xr:uid="{00000000-0005-0000-0000-0000340B0000}"/>
    <cellStyle name="Currency 3 2 4 3 3 2" xfId="13915" xr:uid="{26D80CDE-717B-4299-AA05-1ECE17430F69}"/>
    <cellStyle name="Currency 3 2 4 3 4" xfId="9697" xr:uid="{AB4276F5-F7BE-4B67-9FBB-EC1272EC841F}"/>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FFB56DB3-7500-41AD-8BEA-11CC7A70A8A5}"/>
    <cellStyle name="Currency 3 2 4 4 2 3" xfId="12255" xr:uid="{9B4D26CF-FC92-4884-998E-E562C5E1FE24}"/>
    <cellStyle name="Currency 3 2 4 4 3" xfId="5878" xr:uid="{00000000-0005-0000-0000-0000380B0000}"/>
    <cellStyle name="Currency 3 2 4 4 3 2" xfId="14328" xr:uid="{0795E7E6-9411-4117-AA64-FD6D5E8A9E92}"/>
    <cellStyle name="Currency 3 2 4 4 4" xfId="10110" xr:uid="{DA606D5E-4B87-44BA-BB0A-3EB2201FFD8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37E75E91-6FDF-48EE-9B3B-2FA992BC757F}"/>
    <cellStyle name="Currency 3 2 4 5 2 3" xfId="12668" xr:uid="{B44DDAD2-B6C2-4C6C-BB8E-094D31E67725}"/>
    <cellStyle name="Currency 3 2 4 5 3" xfId="6291" xr:uid="{00000000-0005-0000-0000-00003C0B0000}"/>
    <cellStyle name="Currency 3 2 4 5 3 2" xfId="14741" xr:uid="{9247DA86-3E99-4016-BA80-7B323C71113E}"/>
    <cellStyle name="Currency 3 2 4 5 4" xfId="10523" xr:uid="{202A1DAB-90FA-4FF0-81F6-DB7FF0DAFDCB}"/>
    <cellStyle name="Currency 3 2 4 6" xfId="2420" xr:uid="{00000000-0005-0000-0000-00003D0B0000}"/>
    <cellStyle name="Currency 3 2 4 6 2" xfId="6704" xr:uid="{00000000-0005-0000-0000-00003E0B0000}"/>
    <cellStyle name="Currency 3 2 4 6 2 2" xfId="15154" xr:uid="{537A6F69-BB23-4C2B-8FFF-64034CDF7286}"/>
    <cellStyle name="Currency 3 2 4 6 3" xfId="10936" xr:uid="{BCC06E2D-B5ED-4603-9AD2-AE96673A6ECB}"/>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8ABC1E9C-80E8-49D6-B1D2-E8E0271B6380}"/>
    <cellStyle name="Currency 3 2 4 8 3" xfId="11253" xr:uid="{586ABD93-4C64-4A83-8B57-D598EEB045AD}"/>
    <cellStyle name="Currency 3 2 4 9" xfId="4638" xr:uid="{00000000-0005-0000-0000-0000420B0000}"/>
    <cellStyle name="Currency 3 2 4 9 2" xfId="13088" xr:uid="{BEC299AF-296A-48FF-A8D0-249EB424C5B9}"/>
    <cellStyle name="Currency 3 2 5" xfId="185" xr:uid="{00000000-0005-0000-0000-0000430B0000}"/>
    <cellStyle name="Currency 3 2 5 10" xfId="8871" xr:uid="{8584D204-BD11-436F-A142-DF12A0D3A973}"/>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BF12C247-F7D8-4400-A077-0A37C2761824}"/>
    <cellStyle name="Currency 3 2 5 2 2 3" xfId="11430" xr:uid="{B5983FBF-B1E3-419D-BB09-F75F2E45282D}"/>
    <cellStyle name="Currency 3 2 5 2 3" xfId="5053" xr:uid="{00000000-0005-0000-0000-0000470B0000}"/>
    <cellStyle name="Currency 3 2 5 2 3 2" xfId="13503" xr:uid="{569AC992-BF07-4737-B216-13FCA5BE1F47}"/>
    <cellStyle name="Currency 3 2 5 2 4" xfId="9285" xr:uid="{09B0F498-01BB-484A-8E02-D5BA8C32956A}"/>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BCC2C5BA-9BB6-4FF7-B760-2C23C9060216}"/>
    <cellStyle name="Currency 3 2 5 3 2 3" xfId="11843" xr:uid="{8E0A69D9-9F53-48CA-9C82-C4F8BE6FE4EA}"/>
    <cellStyle name="Currency 3 2 5 3 3" xfId="5466" xr:uid="{00000000-0005-0000-0000-00004B0B0000}"/>
    <cellStyle name="Currency 3 2 5 3 3 2" xfId="13916" xr:uid="{FBA13BA3-762F-44D2-B513-3E1D57CC147C}"/>
    <cellStyle name="Currency 3 2 5 3 4" xfId="9698" xr:uid="{BBBC8465-F220-46CC-A4CB-E64376452A8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33A66E87-2CF2-4B91-92C5-99F31F026538}"/>
    <cellStyle name="Currency 3 2 5 4 2 3" xfId="12256" xr:uid="{80808258-855C-46C3-AD3A-9F88477204F2}"/>
    <cellStyle name="Currency 3 2 5 4 3" xfId="5879" xr:uid="{00000000-0005-0000-0000-00004F0B0000}"/>
    <cellStyle name="Currency 3 2 5 4 3 2" xfId="14329" xr:uid="{BD579AE5-7F2F-45C6-8B30-5CA0D1F785BA}"/>
    <cellStyle name="Currency 3 2 5 4 4" xfId="10111" xr:uid="{37CCAFA0-4452-43B2-AF84-C67E9503A6A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494E147C-DCD6-47B6-ACF9-5A2EB5D0C408}"/>
    <cellStyle name="Currency 3 2 5 5 2 3" xfId="12669" xr:uid="{AD2C44B5-211A-4D94-A913-06C63194DF60}"/>
    <cellStyle name="Currency 3 2 5 5 3" xfId="6292" xr:uid="{00000000-0005-0000-0000-0000530B0000}"/>
    <cellStyle name="Currency 3 2 5 5 3 2" xfId="14742" xr:uid="{2AC17B33-78E5-496E-B078-4EDF46D661CE}"/>
    <cellStyle name="Currency 3 2 5 5 4" xfId="10524" xr:uid="{21463E7D-880D-4160-AA1A-2836091A117D}"/>
    <cellStyle name="Currency 3 2 5 6" xfId="2421" xr:uid="{00000000-0005-0000-0000-0000540B0000}"/>
    <cellStyle name="Currency 3 2 5 6 2" xfId="6705" xr:uid="{00000000-0005-0000-0000-0000550B0000}"/>
    <cellStyle name="Currency 3 2 5 6 2 2" xfId="15155" xr:uid="{CB38D47F-A210-4808-B60D-182B39151974}"/>
    <cellStyle name="Currency 3 2 5 6 3" xfId="10937" xr:uid="{A024CE6F-8E33-45F9-8CA7-29E31B887452}"/>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A43EF7BC-CB5C-4AE6-975D-142BB1117D55}"/>
    <cellStyle name="Currency 3 2 5 8 3" xfId="11254" xr:uid="{8A95AC56-7309-4BD6-8B6A-619662834ADC}"/>
    <cellStyle name="Currency 3 2 5 9" xfId="4639" xr:uid="{00000000-0005-0000-0000-0000590B0000}"/>
    <cellStyle name="Currency 3 2 5 9 2" xfId="13089" xr:uid="{D8F29A90-9FEF-48E3-A107-9E362FEA7B9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6C02137B-C9AF-47E7-9744-C6EB7DFA2807}"/>
    <cellStyle name="Currency 5 2 2 2 10 3" xfId="11255" xr:uid="{F3785FD9-03BA-4977-A9A9-F876977299C2}"/>
    <cellStyle name="Currency 5 2 2 2 11" xfId="4640" xr:uid="{00000000-0005-0000-0000-00006C0B0000}"/>
    <cellStyle name="Currency 5 2 2 2 11 2" xfId="13090" xr:uid="{C4A163EA-0614-4323-B1D8-409ED7292CB4}"/>
    <cellStyle name="Currency 5 2 2 2 12" xfId="8872" xr:uid="{046ED640-2029-457B-9FBA-5A759B82D708}"/>
    <cellStyle name="Currency 5 2 2 2 2" xfId="197" xr:uid="{00000000-0005-0000-0000-00006D0B0000}"/>
    <cellStyle name="Currency 5 2 2 2 2 10" xfId="4641" xr:uid="{00000000-0005-0000-0000-00006E0B0000}"/>
    <cellStyle name="Currency 5 2 2 2 2 10 2" xfId="13091" xr:uid="{B9BF335C-3559-4FCA-BBDD-1FCF4C9600AD}"/>
    <cellStyle name="Currency 5 2 2 2 2 11" xfId="8873" xr:uid="{F83D684E-34EE-439D-BABB-BBC4C0C21830}"/>
    <cellStyle name="Currency 5 2 2 2 2 2" xfId="198" xr:uid="{00000000-0005-0000-0000-00006F0B0000}"/>
    <cellStyle name="Currency 5 2 2 2 2 2 10" xfId="8874" xr:uid="{3E9393DA-2479-42EA-8D61-282B9C57555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FC711ACB-E508-41D4-84F2-C331FAF9FC58}"/>
    <cellStyle name="Currency 5 2 2 2 2 2 2 2 3" xfId="11433" xr:uid="{62AEED6B-7C87-447E-B9CA-4390988E0486}"/>
    <cellStyle name="Currency 5 2 2 2 2 2 2 3" xfId="5056" xr:uid="{00000000-0005-0000-0000-0000730B0000}"/>
    <cellStyle name="Currency 5 2 2 2 2 2 2 3 2" xfId="13506" xr:uid="{A1F920B6-141C-4D38-8C3E-CEF35980CF96}"/>
    <cellStyle name="Currency 5 2 2 2 2 2 2 4" xfId="9288" xr:uid="{DB5C80A3-9A2A-4029-B764-388E17A4907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60C7FB01-3E8C-4BE8-8BE6-1C3B8DE4E7FC}"/>
    <cellStyle name="Currency 5 2 2 2 2 2 3 2 3" xfId="11846" xr:uid="{4A26E34F-C765-4686-818D-14A1154BCE36}"/>
    <cellStyle name="Currency 5 2 2 2 2 2 3 3" xfId="5469" xr:uid="{00000000-0005-0000-0000-0000770B0000}"/>
    <cellStyle name="Currency 5 2 2 2 2 2 3 3 2" xfId="13919" xr:uid="{A48829F6-685E-44E4-BCB6-462B5E02C816}"/>
    <cellStyle name="Currency 5 2 2 2 2 2 3 4" xfId="9701" xr:uid="{096A233D-CA94-4757-8EA0-C33C3346C2EE}"/>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8FB85673-87DA-48D9-9F3D-3EA233B137C2}"/>
    <cellStyle name="Currency 5 2 2 2 2 2 4 2 3" xfId="12259" xr:uid="{ECCFDDC7-24CF-42AA-A09F-15B6893A0773}"/>
    <cellStyle name="Currency 5 2 2 2 2 2 4 3" xfId="5882" xr:uid="{00000000-0005-0000-0000-00007B0B0000}"/>
    <cellStyle name="Currency 5 2 2 2 2 2 4 3 2" xfId="14332" xr:uid="{39C4E0AE-212A-450A-ADF3-64D5B1AF18FD}"/>
    <cellStyle name="Currency 5 2 2 2 2 2 4 4" xfId="10114" xr:uid="{7CB93975-2690-4E7C-8AE4-26880CCF186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131555C7-A962-4598-8668-FB5973F5D127}"/>
    <cellStyle name="Currency 5 2 2 2 2 2 5 2 3" xfId="12672" xr:uid="{62665DD9-7557-499B-B0A4-8534E19F0EEC}"/>
    <cellStyle name="Currency 5 2 2 2 2 2 5 3" xfId="6295" xr:uid="{00000000-0005-0000-0000-00007F0B0000}"/>
    <cellStyle name="Currency 5 2 2 2 2 2 5 3 2" xfId="14745" xr:uid="{471F970F-360A-4A3E-8BFF-C8DBC3696D6C}"/>
    <cellStyle name="Currency 5 2 2 2 2 2 5 4" xfId="10527" xr:uid="{BBF64BAD-A115-4B73-98B6-3D286986F448}"/>
    <cellStyle name="Currency 5 2 2 2 2 2 6" xfId="2424" xr:uid="{00000000-0005-0000-0000-0000800B0000}"/>
    <cellStyle name="Currency 5 2 2 2 2 2 6 2" xfId="6708" xr:uid="{00000000-0005-0000-0000-0000810B0000}"/>
    <cellStyle name="Currency 5 2 2 2 2 2 6 2 2" xfId="15158" xr:uid="{8C0D3E1E-65B1-4072-9A18-51FBF010C3FF}"/>
    <cellStyle name="Currency 5 2 2 2 2 2 6 3" xfId="10940" xr:uid="{47A937C9-A498-42F9-A398-37606CBE8DF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3E2E5DBD-A4D9-4780-927E-1B9D2BADF78B}"/>
    <cellStyle name="Currency 5 2 2 2 2 2 8 3" xfId="11257" xr:uid="{64C2ECA9-C039-4A11-9723-DFCAFB09E634}"/>
    <cellStyle name="Currency 5 2 2 2 2 2 9" xfId="4642" xr:uid="{00000000-0005-0000-0000-0000850B0000}"/>
    <cellStyle name="Currency 5 2 2 2 2 2 9 2" xfId="13092" xr:uid="{6693EB33-33BB-4C9D-BCF7-76ACA7DEDA9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E71537FA-264E-4ABF-96B2-68BCF32CD46A}"/>
    <cellStyle name="Currency 5 2 2 2 2 3 2 3" xfId="11432" xr:uid="{5EC06861-F642-449F-AE14-7586D59F349A}"/>
    <cellStyle name="Currency 5 2 2 2 2 3 3" xfId="5055" xr:uid="{00000000-0005-0000-0000-0000890B0000}"/>
    <cellStyle name="Currency 5 2 2 2 2 3 3 2" xfId="13505" xr:uid="{4DA56F46-430B-463E-88B6-AD76F1F88787}"/>
    <cellStyle name="Currency 5 2 2 2 2 3 4" xfId="9287" xr:uid="{CEC13ECC-BDF6-449D-9671-F6014A9A4166}"/>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59D18D63-0E88-4D9B-85EA-10414CA78D73}"/>
    <cellStyle name="Currency 5 2 2 2 2 4 2 3" xfId="11845" xr:uid="{226E0699-4818-4B89-A19E-CD6347AD7DD1}"/>
    <cellStyle name="Currency 5 2 2 2 2 4 3" xfId="5468" xr:uid="{00000000-0005-0000-0000-00008D0B0000}"/>
    <cellStyle name="Currency 5 2 2 2 2 4 3 2" xfId="13918" xr:uid="{9AB4672F-450F-430F-81A1-271B58EE24C0}"/>
    <cellStyle name="Currency 5 2 2 2 2 4 4" xfId="9700" xr:uid="{4462E89B-A37F-4743-AA41-23A85D18DAF4}"/>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D29E9136-3D0D-4917-9E15-143408B56C7E}"/>
    <cellStyle name="Currency 5 2 2 2 2 5 2 3" xfId="12258" xr:uid="{F56912A3-9B99-4AA6-8926-84CF9CF0F22D}"/>
    <cellStyle name="Currency 5 2 2 2 2 5 3" xfId="5881" xr:uid="{00000000-0005-0000-0000-0000910B0000}"/>
    <cellStyle name="Currency 5 2 2 2 2 5 3 2" xfId="14331" xr:uid="{519BD15C-E14B-4292-A623-A391994C728A}"/>
    <cellStyle name="Currency 5 2 2 2 2 5 4" xfId="10113" xr:uid="{EFC8C6E2-E6A9-4CBF-B458-8B14133FBDD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D7467187-8D0B-4365-9814-622B29B7744F}"/>
    <cellStyle name="Currency 5 2 2 2 2 6 2 3" xfId="12671" xr:uid="{FCAA186F-92DD-4A9F-BA31-CEB6CB9EA28B}"/>
    <cellStyle name="Currency 5 2 2 2 2 6 3" xfId="6294" xr:uid="{00000000-0005-0000-0000-0000950B0000}"/>
    <cellStyle name="Currency 5 2 2 2 2 6 3 2" xfId="14744" xr:uid="{21E6DBC1-48D9-4C00-BC88-68C7CC032A74}"/>
    <cellStyle name="Currency 5 2 2 2 2 6 4" xfId="10526" xr:uid="{3831D6C3-8218-4D39-A526-FA5885BCAF13}"/>
    <cellStyle name="Currency 5 2 2 2 2 7" xfId="2423" xr:uid="{00000000-0005-0000-0000-0000960B0000}"/>
    <cellStyle name="Currency 5 2 2 2 2 7 2" xfId="6707" xr:uid="{00000000-0005-0000-0000-0000970B0000}"/>
    <cellStyle name="Currency 5 2 2 2 2 7 2 2" xfId="15157" xr:uid="{11ABB1B0-B37A-4C04-940A-1013DBB05B5B}"/>
    <cellStyle name="Currency 5 2 2 2 2 7 3" xfId="10939" xr:uid="{38C7C837-35C5-451C-ADA7-900E9481188D}"/>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B7603526-E57B-44FB-879E-376CE214B0EB}"/>
    <cellStyle name="Currency 5 2 2 2 2 9 3" xfId="11256" xr:uid="{D3C31BE8-724E-4E8F-8DA1-45CC9E65AE2B}"/>
    <cellStyle name="Currency 5 2 2 2 3" xfId="199" xr:uid="{00000000-0005-0000-0000-00009B0B0000}"/>
    <cellStyle name="Currency 5 2 2 2 3 10" xfId="8875" xr:uid="{F80A47B6-D6DB-4E17-8045-6308EDBDF23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7032486D-1991-480A-9AE3-A8DD3A7807AD}"/>
    <cellStyle name="Currency 5 2 2 2 3 2 2 3" xfId="11434" xr:uid="{E2D17312-FE61-4E8A-8F13-8A9FBC89C421}"/>
    <cellStyle name="Currency 5 2 2 2 3 2 3" xfId="5057" xr:uid="{00000000-0005-0000-0000-00009F0B0000}"/>
    <cellStyle name="Currency 5 2 2 2 3 2 3 2" xfId="13507" xr:uid="{710E51E5-7292-4D9B-B916-360D8BB2C372}"/>
    <cellStyle name="Currency 5 2 2 2 3 2 4" xfId="9289" xr:uid="{35D3F7EA-770E-42EC-9E0E-819004B9F94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F88FD3CE-A0AC-43D3-BEDB-4EE2114235C3}"/>
    <cellStyle name="Currency 5 2 2 2 3 3 2 3" xfId="11847" xr:uid="{2D9F0AC7-0AAE-49F6-874A-F60B6991AC9A}"/>
    <cellStyle name="Currency 5 2 2 2 3 3 3" xfId="5470" xr:uid="{00000000-0005-0000-0000-0000A30B0000}"/>
    <cellStyle name="Currency 5 2 2 2 3 3 3 2" xfId="13920" xr:uid="{849FE626-CE3C-4462-B071-B18DA8A4B1B9}"/>
    <cellStyle name="Currency 5 2 2 2 3 3 4" xfId="9702" xr:uid="{6A9A9911-53BF-4559-A854-9CEEFD0CCF9F}"/>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A3E49B77-77B4-48F3-843B-58A98E8A6577}"/>
    <cellStyle name="Currency 5 2 2 2 3 4 2 3" xfId="12260" xr:uid="{1E116BF4-DB00-444E-B5E3-580BAB8477C0}"/>
    <cellStyle name="Currency 5 2 2 2 3 4 3" xfId="5883" xr:uid="{00000000-0005-0000-0000-0000A70B0000}"/>
    <cellStyle name="Currency 5 2 2 2 3 4 3 2" xfId="14333" xr:uid="{7E0F1C4E-E615-4465-9AD0-378E930E46A2}"/>
    <cellStyle name="Currency 5 2 2 2 3 4 4" xfId="10115" xr:uid="{9C52B32E-E3C6-46F9-BF76-ADC796CDE64F}"/>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A8E4E0F3-683A-4753-80A9-EAA679416A22}"/>
    <cellStyle name="Currency 5 2 2 2 3 5 2 3" xfId="12673" xr:uid="{87D5210F-3778-497F-811E-2C6E4D4258F2}"/>
    <cellStyle name="Currency 5 2 2 2 3 5 3" xfId="6296" xr:uid="{00000000-0005-0000-0000-0000AB0B0000}"/>
    <cellStyle name="Currency 5 2 2 2 3 5 3 2" xfId="14746" xr:uid="{D1F27CC2-1D27-4049-BCFF-74D54E264F7E}"/>
    <cellStyle name="Currency 5 2 2 2 3 5 4" xfId="10528" xr:uid="{356CA1DA-2801-4B32-A646-8F05FEAC71E8}"/>
    <cellStyle name="Currency 5 2 2 2 3 6" xfId="2425" xr:uid="{00000000-0005-0000-0000-0000AC0B0000}"/>
    <cellStyle name="Currency 5 2 2 2 3 6 2" xfId="6709" xr:uid="{00000000-0005-0000-0000-0000AD0B0000}"/>
    <cellStyle name="Currency 5 2 2 2 3 6 2 2" xfId="15159" xr:uid="{D83B8E8C-67EB-4044-ADA1-72F417851CB2}"/>
    <cellStyle name="Currency 5 2 2 2 3 6 3" xfId="10941" xr:uid="{17E238BA-DA16-49B0-820C-401F1A9ED533}"/>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5D8AA5C9-C673-41A9-B220-5DB7BE778C84}"/>
    <cellStyle name="Currency 5 2 2 2 3 8 3" xfId="11258" xr:uid="{CD140AC3-4361-4201-A22F-83F1434F3825}"/>
    <cellStyle name="Currency 5 2 2 2 3 9" xfId="4643" xr:uid="{00000000-0005-0000-0000-0000B10B0000}"/>
    <cellStyle name="Currency 5 2 2 2 3 9 2" xfId="13093" xr:uid="{84BF47AA-73BC-4299-802A-95E8E6125DF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A8D06C9F-46A6-4F85-BA45-0D45C8448894}"/>
    <cellStyle name="Currency 5 2 2 2 4 2 3" xfId="11431" xr:uid="{2463C734-C136-40DB-918A-2702AD5432CF}"/>
    <cellStyle name="Currency 5 2 2 2 4 3" xfId="5054" xr:uid="{00000000-0005-0000-0000-0000B50B0000}"/>
    <cellStyle name="Currency 5 2 2 2 4 3 2" xfId="13504" xr:uid="{2F0B23E2-82C6-45C3-AC6B-BC75BB4E05CE}"/>
    <cellStyle name="Currency 5 2 2 2 4 4" xfId="9286" xr:uid="{D9A2F7D6-0D16-4132-A29E-A8BAF4488526}"/>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7E57BF98-7676-4421-918B-01A4B39B74D5}"/>
    <cellStyle name="Currency 5 2 2 2 5 2 3" xfId="11844" xr:uid="{FE431BF2-99EA-49AE-9F3A-6E7E17775507}"/>
    <cellStyle name="Currency 5 2 2 2 5 3" xfId="5467" xr:uid="{00000000-0005-0000-0000-0000B90B0000}"/>
    <cellStyle name="Currency 5 2 2 2 5 3 2" xfId="13917" xr:uid="{1A3C1871-EE13-4A97-A455-3AC31B4B8579}"/>
    <cellStyle name="Currency 5 2 2 2 5 4" xfId="9699" xr:uid="{90A0BB2B-3B09-466A-A713-77CAFD50BB41}"/>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C1DC8D68-C23A-44B3-B8BB-ECE2450CD2E5}"/>
    <cellStyle name="Currency 5 2 2 2 6 2 3" xfId="12257" xr:uid="{092B2AD5-A0CC-4702-8E12-823E46128E48}"/>
    <cellStyle name="Currency 5 2 2 2 6 3" xfId="5880" xr:uid="{00000000-0005-0000-0000-0000BD0B0000}"/>
    <cellStyle name="Currency 5 2 2 2 6 3 2" xfId="14330" xr:uid="{8F55387E-18FB-4639-8BA9-0F9C4D17F92F}"/>
    <cellStyle name="Currency 5 2 2 2 6 4" xfId="10112" xr:uid="{9ED7C4BB-2B42-4408-A23D-F18B9B48394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3A028547-F44E-453F-9FA6-A49484EB7C5C}"/>
    <cellStyle name="Currency 5 2 2 2 7 2 3" xfId="12670" xr:uid="{E9124409-C846-4DF6-A8A6-CD20B4E2173F}"/>
    <cellStyle name="Currency 5 2 2 2 7 3" xfId="6293" xr:uid="{00000000-0005-0000-0000-0000C10B0000}"/>
    <cellStyle name="Currency 5 2 2 2 7 3 2" xfId="14743" xr:uid="{DE3E28AB-0CCD-4A77-84B6-857CA60E4E86}"/>
    <cellStyle name="Currency 5 2 2 2 7 4" xfId="10525" xr:uid="{7018624E-984C-466E-B3C0-58E2C59C7C21}"/>
    <cellStyle name="Currency 5 2 2 2 8" xfId="2422" xr:uid="{00000000-0005-0000-0000-0000C20B0000}"/>
    <cellStyle name="Currency 5 2 2 2 8 2" xfId="6706" xr:uid="{00000000-0005-0000-0000-0000C30B0000}"/>
    <cellStyle name="Currency 5 2 2 2 8 2 2" xfId="15156" xr:uid="{F6D72EE6-D505-43CD-AFFD-0ACBC2E659CA}"/>
    <cellStyle name="Currency 5 2 2 2 8 3" xfId="10938" xr:uid="{3CF24DE7-4F2B-4B45-8122-4082F8D49B00}"/>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594529C1-B5C5-49EC-A3D9-7341714F6B25}"/>
    <cellStyle name="Currency 5 2 2 3 11" xfId="8876" xr:uid="{43E8D31D-05D6-4EE4-A48E-082C57BE99A4}"/>
    <cellStyle name="Currency 5 2 2 3 2" xfId="201" xr:uid="{00000000-0005-0000-0000-0000C70B0000}"/>
    <cellStyle name="Currency 5 2 2 3 2 10" xfId="8877" xr:uid="{CFE97EF5-2297-4FC2-8D62-8F3466432EBC}"/>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2926D34C-0C7C-4893-9026-74B67915A62C}"/>
    <cellStyle name="Currency 5 2 2 3 2 2 2 3" xfId="11436" xr:uid="{13AC83E0-25B2-4DF2-BC67-B1A5C957FE3B}"/>
    <cellStyle name="Currency 5 2 2 3 2 2 3" xfId="5059" xr:uid="{00000000-0005-0000-0000-0000CB0B0000}"/>
    <cellStyle name="Currency 5 2 2 3 2 2 3 2" xfId="13509" xr:uid="{18F890D5-75EE-49A3-A8B1-0A72B97FC8C6}"/>
    <cellStyle name="Currency 5 2 2 3 2 2 4" xfId="9291" xr:uid="{ABBC014D-A94E-49BE-BAB3-059A5A3DF3E8}"/>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05734559-FFAD-4091-BCCE-F40F370F8D43}"/>
    <cellStyle name="Currency 5 2 2 3 2 3 2 3" xfId="11849" xr:uid="{29D3035A-918B-49F4-BD94-336B3A551136}"/>
    <cellStyle name="Currency 5 2 2 3 2 3 3" xfId="5472" xr:uid="{00000000-0005-0000-0000-0000CF0B0000}"/>
    <cellStyle name="Currency 5 2 2 3 2 3 3 2" xfId="13922" xr:uid="{4D641C61-EE16-454C-A3FA-B086EA783127}"/>
    <cellStyle name="Currency 5 2 2 3 2 3 4" xfId="9704" xr:uid="{1A6DF95E-5153-4369-A396-5F65BE9E94C9}"/>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11E83772-02A2-4482-AC5E-6547ED46ED1B}"/>
    <cellStyle name="Currency 5 2 2 3 2 4 2 3" xfId="12262" xr:uid="{E9C9F304-3A6D-4071-8045-A89AC00E2E22}"/>
    <cellStyle name="Currency 5 2 2 3 2 4 3" xfId="5885" xr:uid="{00000000-0005-0000-0000-0000D30B0000}"/>
    <cellStyle name="Currency 5 2 2 3 2 4 3 2" xfId="14335" xr:uid="{51D0B075-D8EA-4780-BAAD-2D4276DA7B3E}"/>
    <cellStyle name="Currency 5 2 2 3 2 4 4" xfId="10117" xr:uid="{C49AF61E-2667-40E3-8C61-B78FAB0A532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4A3E6EBF-B94C-4C76-90A1-CE7CDA16E528}"/>
    <cellStyle name="Currency 5 2 2 3 2 5 2 3" xfId="12675" xr:uid="{4A88D6E8-F8FA-4B16-B3A8-27DAB7D6C765}"/>
    <cellStyle name="Currency 5 2 2 3 2 5 3" xfId="6298" xr:uid="{00000000-0005-0000-0000-0000D70B0000}"/>
    <cellStyle name="Currency 5 2 2 3 2 5 3 2" xfId="14748" xr:uid="{7223A059-A409-423B-8073-69ED85FEF183}"/>
    <cellStyle name="Currency 5 2 2 3 2 5 4" xfId="10530" xr:uid="{D0AF4DB8-4C89-43B1-8AAD-ED992C07785C}"/>
    <cellStyle name="Currency 5 2 2 3 2 6" xfId="2427" xr:uid="{00000000-0005-0000-0000-0000D80B0000}"/>
    <cellStyle name="Currency 5 2 2 3 2 6 2" xfId="6711" xr:uid="{00000000-0005-0000-0000-0000D90B0000}"/>
    <cellStyle name="Currency 5 2 2 3 2 6 2 2" xfId="15161" xr:uid="{EDCB4F86-A8FD-41B6-89AF-D9D257C9A5D4}"/>
    <cellStyle name="Currency 5 2 2 3 2 6 3" xfId="10943" xr:uid="{6B517CEC-E00B-4A94-8F34-78948476AD6E}"/>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AE102CB2-ADC6-4A86-8A4F-B189BD5DBFC2}"/>
    <cellStyle name="Currency 5 2 2 3 2 8 3" xfId="11260" xr:uid="{DE61C5B8-C72F-4DCE-889C-D5A89CFCDFFA}"/>
    <cellStyle name="Currency 5 2 2 3 2 9" xfId="4645" xr:uid="{00000000-0005-0000-0000-0000DD0B0000}"/>
    <cellStyle name="Currency 5 2 2 3 2 9 2" xfId="13095" xr:uid="{1714FFFC-239D-43B4-A93E-F02E211AE85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B8812C45-2CCB-443A-8069-7AA4AF270679}"/>
    <cellStyle name="Currency 5 2 2 3 3 2 3" xfId="11435" xr:uid="{8CE112DE-B6B5-4735-A387-F25F3FE5B389}"/>
    <cellStyle name="Currency 5 2 2 3 3 3" xfId="5058" xr:uid="{00000000-0005-0000-0000-0000E10B0000}"/>
    <cellStyle name="Currency 5 2 2 3 3 3 2" xfId="13508" xr:uid="{26414AF0-C59B-4518-B43B-7C6F128AB7F6}"/>
    <cellStyle name="Currency 5 2 2 3 3 4" xfId="9290" xr:uid="{E3C6BD16-9FD4-4A11-B567-8A5C09C75C16}"/>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3A05CCD6-3706-495D-9AB9-EC5FC8B72996}"/>
    <cellStyle name="Currency 5 2 2 3 4 2 3" xfId="11848" xr:uid="{16024BE8-E52E-4183-9A57-F144EE3D26C2}"/>
    <cellStyle name="Currency 5 2 2 3 4 3" xfId="5471" xr:uid="{00000000-0005-0000-0000-0000E50B0000}"/>
    <cellStyle name="Currency 5 2 2 3 4 3 2" xfId="13921" xr:uid="{90FAE941-5555-411A-8C37-3E8381A7AE14}"/>
    <cellStyle name="Currency 5 2 2 3 4 4" xfId="9703" xr:uid="{8F41FE7B-A5AB-40AA-A318-78BCA2079418}"/>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8601D182-34F4-46DE-A428-58F1FEDDD6B2}"/>
    <cellStyle name="Currency 5 2 2 3 5 2 3" xfId="12261" xr:uid="{131B590A-8769-4DF9-97B6-5B3FCDAD3D12}"/>
    <cellStyle name="Currency 5 2 2 3 5 3" xfId="5884" xr:uid="{00000000-0005-0000-0000-0000E90B0000}"/>
    <cellStyle name="Currency 5 2 2 3 5 3 2" xfId="14334" xr:uid="{B263C0E8-F47C-4D2E-90F5-125E29BAA143}"/>
    <cellStyle name="Currency 5 2 2 3 5 4" xfId="10116" xr:uid="{02D5C2E3-B3BE-4150-9BDA-88A8BF67D5D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C7C2DF54-689A-4E3B-B0FE-F23193819CCB}"/>
    <cellStyle name="Currency 5 2 2 3 6 2 3" xfId="12674" xr:uid="{C74E6565-CB49-4A8D-942E-9E849BBE04AB}"/>
    <cellStyle name="Currency 5 2 2 3 6 3" xfId="6297" xr:uid="{00000000-0005-0000-0000-0000ED0B0000}"/>
    <cellStyle name="Currency 5 2 2 3 6 3 2" xfId="14747" xr:uid="{E3698E5D-CFA5-410F-9288-4037DFDECF96}"/>
    <cellStyle name="Currency 5 2 2 3 6 4" xfId="10529" xr:uid="{4ED90652-1ADA-4993-A318-24577465B2F4}"/>
    <cellStyle name="Currency 5 2 2 3 7" xfId="2426" xr:uid="{00000000-0005-0000-0000-0000EE0B0000}"/>
    <cellStyle name="Currency 5 2 2 3 7 2" xfId="6710" xr:uid="{00000000-0005-0000-0000-0000EF0B0000}"/>
    <cellStyle name="Currency 5 2 2 3 7 2 2" xfId="15160" xr:uid="{1C6FBDE0-6D14-4AAD-B0CB-3DF1B8FF0956}"/>
    <cellStyle name="Currency 5 2 2 3 7 3" xfId="10942" xr:uid="{017F806A-9AEC-4750-A421-20F6707EF90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E0AE9E42-EF99-4E7F-B965-E21365A1CB0A}"/>
    <cellStyle name="Currency 5 2 2 3 9 3" xfId="11259" xr:uid="{3816E141-0102-4BF5-918A-EBBEB4A4002D}"/>
    <cellStyle name="Currency 5 2 2 4" xfId="202" xr:uid="{00000000-0005-0000-0000-0000F30B0000}"/>
    <cellStyle name="Currency 5 2 2 4 10" xfId="8878" xr:uid="{A64BEAD8-CFA4-4ABD-B53A-2379D22C214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85E043D6-3154-4D2E-A917-5B734A602A2D}"/>
    <cellStyle name="Currency 5 2 2 4 2 2 3" xfId="11437" xr:uid="{7B694E18-3A64-4C06-BB37-74B54A952EED}"/>
    <cellStyle name="Currency 5 2 2 4 2 3" xfId="5060" xr:uid="{00000000-0005-0000-0000-0000F70B0000}"/>
    <cellStyle name="Currency 5 2 2 4 2 3 2" xfId="13510" xr:uid="{1C65129C-220D-43E2-886F-5774BF67554D}"/>
    <cellStyle name="Currency 5 2 2 4 2 4" xfId="9292" xr:uid="{18041680-BDD8-4FD2-99F9-C0906C5B1FD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72301399-35A3-4E93-8CD0-D131D1912478}"/>
    <cellStyle name="Currency 5 2 2 4 3 2 3" xfId="11850" xr:uid="{92204FB7-A1E6-40E9-A8A5-3B45AF1473B4}"/>
    <cellStyle name="Currency 5 2 2 4 3 3" xfId="5473" xr:uid="{00000000-0005-0000-0000-0000FB0B0000}"/>
    <cellStyle name="Currency 5 2 2 4 3 3 2" xfId="13923" xr:uid="{A628B5AF-08C6-4BBD-9FA8-D04477FCF7FA}"/>
    <cellStyle name="Currency 5 2 2 4 3 4" xfId="9705" xr:uid="{CF3DD70B-3CC9-42FD-A656-51750ABFB1F9}"/>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EE4077C7-CA83-4EC5-8073-54C988F7FE70}"/>
    <cellStyle name="Currency 5 2 2 4 4 2 3" xfId="12263" xr:uid="{01A132BA-CA0D-4CC4-AC3B-C5E1E687B9D3}"/>
    <cellStyle name="Currency 5 2 2 4 4 3" xfId="5886" xr:uid="{00000000-0005-0000-0000-0000FF0B0000}"/>
    <cellStyle name="Currency 5 2 2 4 4 3 2" xfId="14336" xr:uid="{712C94C0-1947-48ED-A2C4-2AB019EA30DB}"/>
    <cellStyle name="Currency 5 2 2 4 4 4" xfId="10118" xr:uid="{E89B7FD9-D8CB-4535-AB5F-12E1F24AE02F}"/>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EFAF5AA4-D3FD-46D1-8D73-9E5843368A94}"/>
    <cellStyle name="Currency 5 2 2 4 5 2 3" xfId="12676" xr:uid="{5C022179-D54F-4417-B605-6642D742A223}"/>
    <cellStyle name="Currency 5 2 2 4 5 3" xfId="6299" xr:uid="{00000000-0005-0000-0000-0000030C0000}"/>
    <cellStyle name="Currency 5 2 2 4 5 3 2" xfId="14749" xr:uid="{C98206BF-B9BB-45F3-9725-9037C83EB54D}"/>
    <cellStyle name="Currency 5 2 2 4 5 4" xfId="10531" xr:uid="{6B2ACC11-7A01-4F8D-AEF3-C6660A13DD65}"/>
    <cellStyle name="Currency 5 2 2 4 6" xfId="2428" xr:uid="{00000000-0005-0000-0000-0000040C0000}"/>
    <cellStyle name="Currency 5 2 2 4 6 2" xfId="6712" xr:uid="{00000000-0005-0000-0000-0000050C0000}"/>
    <cellStyle name="Currency 5 2 2 4 6 2 2" xfId="15162" xr:uid="{3B44B4E3-0AD8-4DA1-B829-764C6A33EC36}"/>
    <cellStyle name="Currency 5 2 2 4 6 3" xfId="10944" xr:uid="{A0088FB1-5A06-45AF-B507-1E2DD135E1EB}"/>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C7DFCC7E-103B-4044-B32D-CB8F7BA913A6}"/>
    <cellStyle name="Currency 5 2 2 4 8 3" xfId="11261" xr:uid="{1934A703-83D5-46E2-9BD8-0CD9F275839E}"/>
    <cellStyle name="Currency 5 2 2 4 9" xfId="4646" xr:uid="{00000000-0005-0000-0000-0000090C0000}"/>
    <cellStyle name="Currency 5 2 2 4 9 2" xfId="13096" xr:uid="{5213D577-199F-46B7-941A-E5EE5C685DA6}"/>
    <cellStyle name="Currency 5 2 2 5" xfId="203" xr:uid="{00000000-0005-0000-0000-00000A0C0000}"/>
    <cellStyle name="Currency 5 2 2 5 10" xfId="8879" xr:uid="{FB62B78E-8996-479C-8E65-5D7957F823F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2D9881C0-33A6-4AC4-A030-3498B793F85C}"/>
    <cellStyle name="Currency 5 2 2 5 2 2 3" xfId="11438" xr:uid="{B5BF6EF5-AFE1-4037-90F1-AC26E588ED3C}"/>
    <cellStyle name="Currency 5 2 2 5 2 3" xfId="5061" xr:uid="{00000000-0005-0000-0000-00000E0C0000}"/>
    <cellStyle name="Currency 5 2 2 5 2 3 2" xfId="13511" xr:uid="{3E1B7AB5-1FF6-4602-B7F8-FA43047466D8}"/>
    <cellStyle name="Currency 5 2 2 5 2 4" xfId="9293" xr:uid="{DAA19953-8BD7-4778-BF35-587AFE4FFDA9}"/>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ABE22190-78B9-46F4-B0EE-22A036B847E2}"/>
    <cellStyle name="Currency 5 2 2 5 3 2 3" xfId="11851" xr:uid="{04B0E573-11E4-4E47-AF54-BDD50660FBE7}"/>
    <cellStyle name="Currency 5 2 2 5 3 3" xfId="5474" xr:uid="{00000000-0005-0000-0000-0000120C0000}"/>
    <cellStyle name="Currency 5 2 2 5 3 3 2" xfId="13924" xr:uid="{211ABFA8-FAA7-4F7E-A536-E79540F8AA9B}"/>
    <cellStyle name="Currency 5 2 2 5 3 4" xfId="9706" xr:uid="{80C078DA-C7AD-4743-9DA4-70E6731F23F8}"/>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42AF9569-6149-4D2F-B0D9-42E9B53227CB}"/>
    <cellStyle name="Currency 5 2 2 5 4 2 3" xfId="12264" xr:uid="{DA671311-7A0C-41E3-BE03-8E3E79060BE7}"/>
    <cellStyle name="Currency 5 2 2 5 4 3" xfId="5887" xr:uid="{00000000-0005-0000-0000-0000160C0000}"/>
    <cellStyle name="Currency 5 2 2 5 4 3 2" xfId="14337" xr:uid="{CF374592-BB0A-4A41-9828-EE534713285C}"/>
    <cellStyle name="Currency 5 2 2 5 4 4" xfId="10119" xr:uid="{DB13DD9E-9891-4AEB-AF3D-B7E520A05E54}"/>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BF5E4328-FFA0-4858-966B-B71DCFCF84CF}"/>
    <cellStyle name="Currency 5 2 2 5 5 2 3" xfId="12677" xr:uid="{8A47198E-C0B8-4FFE-8FDC-1A4BC21468B7}"/>
    <cellStyle name="Currency 5 2 2 5 5 3" xfId="6300" xr:uid="{00000000-0005-0000-0000-00001A0C0000}"/>
    <cellStyle name="Currency 5 2 2 5 5 3 2" xfId="14750" xr:uid="{7B5089C9-0222-465C-9E43-91C4482EE32B}"/>
    <cellStyle name="Currency 5 2 2 5 5 4" xfId="10532" xr:uid="{B4B24F3B-5A3A-49F8-B9AA-9E31253E10B4}"/>
    <cellStyle name="Currency 5 2 2 5 6" xfId="2429" xr:uid="{00000000-0005-0000-0000-00001B0C0000}"/>
    <cellStyle name="Currency 5 2 2 5 6 2" xfId="6713" xr:uid="{00000000-0005-0000-0000-00001C0C0000}"/>
    <cellStyle name="Currency 5 2 2 5 6 2 2" xfId="15163" xr:uid="{2AF31D5A-C43E-4FDF-8C66-C68901995B2D}"/>
    <cellStyle name="Currency 5 2 2 5 6 3" xfId="10945" xr:uid="{0CBC0B97-823F-47F0-88C0-2A2011008E7C}"/>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4BB2AC10-0790-4C32-9DC0-747608C982CE}"/>
    <cellStyle name="Currency 5 2 2 5 8 3" xfId="11262" xr:uid="{E873EB71-E69C-4DB3-B996-AB3750ABF9C2}"/>
    <cellStyle name="Currency 5 2 2 5 9" xfId="4647" xr:uid="{00000000-0005-0000-0000-0000200C0000}"/>
    <cellStyle name="Currency 5 2 2 5 9 2" xfId="13097" xr:uid="{399755FB-4B11-4FD2-9254-115C03A47255}"/>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4FB076F7-45E0-4DE4-AA4B-2DC63A1C1AA8}"/>
    <cellStyle name="Currency 5 2 4 11" xfId="8880" xr:uid="{469D2168-438A-4472-B429-E265EF2E903A}"/>
    <cellStyle name="Currency 5 2 4 2" xfId="206" xr:uid="{00000000-0005-0000-0000-0000250C0000}"/>
    <cellStyle name="Currency 5 2 4 2 10" xfId="8881" xr:uid="{E0BBCAE9-756B-42B3-956C-C65A0D543287}"/>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0366B20E-6C1F-42D3-AF0B-3A2FE5FF1ECD}"/>
    <cellStyle name="Currency 5 2 4 2 2 2 3" xfId="11440" xr:uid="{CDD88A88-2F61-4F98-89EE-A6F78219BF0D}"/>
    <cellStyle name="Currency 5 2 4 2 2 3" xfId="5063" xr:uid="{00000000-0005-0000-0000-0000290C0000}"/>
    <cellStyle name="Currency 5 2 4 2 2 3 2" xfId="13513" xr:uid="{E0B97A49-2ADE-4F3B-9939-351494BF95D4}"/>
    <cellStyle name="Currency 5 2 4 2 2 4" xfId="9295" xr:uid="{CEC636F8-0057-4E17-B53A-0213C1FE9DF2}"/>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81F62240-B3EA-44F1-9BDC-89393C7FDF35}"/>
    <cellStyle name="Currency 5 2 4 2 3 2 3" xfId="11853" xr:uid="{59353CAC-36FD-4DB2-B140-D8586AEB5923}"/>
    <cellStyle name="Currency 5 2 4 2 3 3" xfId="5476" xr:uid="{00000000-0005-0000-0000-00002D0C0000}"/>
    <cellStyle name="Currency 5 2 4 2 3 3 2" xfId="13926" xr:uid="{906BCE18-40AC-47BB-A4F9-EABF4B19A99A}"/>
    <cellStyle name="Currency 5 2 4 2 3 4" xfId="9708" xr:uid="{839DC163-1B8A-42B5-B219-D73BC9F3257B}"/>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E7A97F2C-A332-4190-83A8-D3060F79C304}"/>
    <cellStyle name="Currency 5 2 4 2 4 2 3" xfId="12266" xr:uid="{F73086F4-993A-49CE-8C52-CEDD60E1B88E}"/>
    <cellStyle name="Currency 5 2 4 2 4 3" xfId="5889" xr:uid="{00000000-0005-0000-0000-0000310C0000}"/>
    <cellStyle name="Currency 5 2 4 2 4 3 2" xfId="14339" xr:uid="{A0BB636D-FC31-4B20-8C0E-2FA99F178031}"/>
    <cellStyle name="Currency 5 2 4 2 4 4" xfId="10121" xr:uid="{5169E408-59B8-4F5B-8750-3627C6E33E2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619E78FC-34AA-48CF-A95B-45D685A6F5EA}"/>
    <cellStyle name="Currency 5 2 4 2 5 2 3" xfId="12679" xr:uid="{015A7920-D485-433E-A1B5-B5163E5DB926}"/>
    <cellStyle name="Currency 5 2 4 2 5 3" xfId="6302" xr:uid="{00000000-0005-0000-0000-0000350C0000}"/>
    <cellStyle name="Currency 5 2 4 2 5 3 2" xfId="14752" xr:uid="{3EE75FE3-8467-4FDB-BEAD-BB2EA90961D1}"/>
    <cellStyle name="Currency 5 2 4 2 5 4" xfId="10534" xr:uid="{E01E0112-FAF7-4874-87DD-A58574BF97F2}"/>
    <cellStyle name="Currency 5 2 4 2 6" xfId="2431" xr:uid="{00000000-0005-0000-0000-0000360C0000}"/>
    <cellStyle name="Currency 5 2 4 2 6 2" xfId="6715" xr:uid="{00000000-0005-0000-0000-0000370C0000}"/>
    <cellStyle name="Currency 5 2 4 2 6 2 2" xfId="15165" xr:uid="{2BA499A7-7B73-4624-B06F-5EE2E69E2D38}"/>
    <cellStyle name="Currency 5 2 4 2 6 3" xfId="10947" xr:uid="{CDCCC8EE-CABF-4BC0-B548-67E99BBED20B}"/>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A64D32FF-3017-4748-81B4-01FFF6CFE072}"/>
    <cellStyle name="Currency 5 2 4 2 8 3" xfId="11264" xr:uid="{305E6EB4-B75F-4BCE-863A-A449A7BBA8C7}"/>
    <cellStyle name="Currency 5 2 4 2 9" xfId="4649" xr:uid="{00000000-0005-0000-0000-00003B0C0000}"/>
    <cellStyle name="Currency 5 2 4 2 9 2" xfId="13099" xr:uid="{CB31A2ED-6F70-4D7B-9BF0-98FD84BE32B2}"/>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FF29B2DB-9349-4DD0-8B64-7B2A9EB82590}"/>
    <cellStyle name="Currency 5 2 4 3 2 3" xfId="11439" xr:uid="{FC2D0C88-DFE6-4470-9B76-97BAFF774688}"/>
    <cellStyle name="Currency 5 2 4 3 3" xfId="5062" xr:uid="{00000000-0005-0000-0000-00003F0C0000}"/>
    <cellStyle name="Currency 5 2 4 3 3 2" xfId="13512" xr:uid="{F3AAD025-647B-4FB2-8F9A-9FE9329473ED}"/>
    <cellStyle name="Currency 5 2 4 3 4" xfId="9294" xr:uid="{9A4BFB83-C498-47F3-A3F1-02043ABB9FE4}"/>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6F758E3E-81BF-4C7D-8F6F-921AD1672ADE}"/>
    <cellStyle name="Currency 5 2 4 4 2 3" xfId="11852" xr:uid="{79271461-80ED-4484-81C0-36E40D0CF738}"/>
    <cellStyle name="Currency 5 2 4 4 3" xfId="5475" xr:uid="{00000000-0005-0000-0000-0000430C0000}"/>
    <cellStyle name="Currency 5 2 4 4 3 2" xfId="13925" xr:uid="{B78F9C3B-63CA-41D3-AC10-AAAAD03362D1}"/>
    <cellStyle name="Currency 5 2 4 4 4" xfId="9707" xr:uid="{89BBC470-24DD-4108-AF6D-4F1920CC2B66}"/>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1EF0D3F4-0FA1-4A02-ABAF-F33B9EB9CBD0}"/>
    <cellStyle name="Currency 5 2 4 5 2 3" xfId="12265" xr:uid="{79620653-AFD2-4CC6-A4B7-EF4320382826}"/>
    <cellStyle name="Currency 5 2 4 5 3" xfId="5888" xr:uid="{00000000-0005-0000-0000-0000470C0000}"/>
    <cellStyle name="Currency 5 2 4 5 3 2" xfId="14338" xr:uid="{E222C557-7A29-4C52-9294-DD8787C1E1FE}"/>
    <cellStyle name="Currency 5 2 4 5 4" xfId="10120" xr:uid="{04ACB43F-9CC4-4230-A4C8-C0775826EB42}"/>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F8B43F75-A279-43CA-8B9F-5CABF55C8235}"/>
    <cellStyle name="Currency 5 2 4 6 2 3" xfId="12678" xr:uid="{8DB4843C-A909-4B20-A41B-476BB34255E1}"/>
    <cellStyle name="Currency 5 2 4 6 3" xfId="6301" xr:uid="{00000000-0005-0000-0000-00004B0C0000}"/>
    <cellStyle name="Currency 5 2 4 6 3 2" xfId="14751" xr:uid="{93A47172-38CC-46C7-A5A9-7AAEC0F9152E}"/>
    <cellStyle name="Currency 5 2 4 6 4" xfId="10533" xr:uid="{77B48773-2568-4CD7-AC68-04870236FDB3}"/>
    <cellStyle name="Currency 5 2 4 7" xfId="2430" xr:uid="{00000000-0005-0000-0000-00004C0C0000}"/>
    <cellStyle name="Currency 5 2 4 7 2" xfId="6714" xr:uid="{00000000-0005-0000-0000-00004D0C0000}"/>
    <cellStyle name="Currency 5 2 4 7 2 2" xfId="15164" xr:uid="{3E8D9510-AC75-491A-96DF-411578B65DE3}"/>
    <cellStyle name="Currency 5 2 4 7 3" xfId="10946" xr:uid="{DF16196D-BE13-4A82-8ADD-1270E26930D4}"/>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9AE72DFE-AF27-4E95-9F82-BDAC657C27DD}"/>
    <cellStyle name="Currency 5 2 4 9 3" xfId="11263" xr:uid="{1C999723-8F37-485F-B3FE-A5AFFE6F2472}"/>
    <cellStyle name="Currency 5 2 5" xfId="207" xr:uid="{00000000-0005-0000-0000-0000510C0000}"/>
    <cellStyle name="Currency 5 2 5 10" xfId="8882" xr:uid="{6E44C01E-3D34-4C0D-834B-89025DD7ED3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8A92EBE2-4608-43B3-AAF4-9E41653C23D4}"/>
    <cellStyle name="Currency 5 2 5 2 2 3" xfId="11441" xr:uid="{D87DE3F1-F517-4017-B93F-93540A8409B6}"/>
    <cellStyle name="Currency 5 2 5 2 3" xfId="5064" xr:uid="{00000000-0005-0000-0000-0000550C0000}"/>
    <cellStyle name="Currency 5 2 5 2 3 2" xfId="13514" xr:uid="{2F9A7DA5-A944-4CCF-9B5F-2E7DE5C46470}"/>
    <cellStyle name="Currency 5 2 5 2 4" xfId="9296" xr:uid="{5D0576DA-AF63-4FB3-A72F-382B0824E111}"/>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6EFB6D54-8E02-43A8-9F4F-DB9B9FA713B2}"/>
    <cellStyle name="Currency 5 2 5 3 2 3" xfId="11854" xr:uid="{A1EA9A39-FA19-4726-BF85-5A39F5FAAAE1}"/>
    <cellStyle name="Currency 5 2 5 3 3" xfId="5477" xr:uid="{00000000-0005-0000-0000-0000590C0000}"/>
    <cellStyle name="Currency 5 2 5 3 3 2" xfId="13927" xr:uid="{D69A26EA-47A7-4C84-92C6-6ADF90449847}"/>
    <cellStyle name="Currency 5 2 5 3 4" xfId="9709" xr:uid="{92845F10-D2B6-4AAA-8CFE-36BCB160D6E6}"/>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154585BD-C178-4AE9-BD37-48644DE1ADE9}"/>
    <cellStyle name="Currency 5 2 5 4 2 3" xfId="12267" xr:uid="{283B3495-6820-4A49-B493-93402D1F850F}"/>
    <cellStyle name="Currency 5 2 5 4 3" xfId="5890" xr:uid="{00000000-0005-0000-0000-00005D0C0000}"/>
    <cellStyle name="Currency 5 2 5 4 3 2" xfId="14340" xr:uid="{B757C0B0-CEBD-41D8-8DAF-FDCF15687303}"/>
    <cellStyle name="Currency 5 2 5 4 4" xfId="10122" xr:uid="{CA357E4E-F42F-49D5-8F08-61BCB85D703E}"/>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112B2A4D-19E0-4B77-8F8A-DD1A022BC395}"/>
    <cellStyle name="Currency 5 2 5 5 2 3" xfId="12680" xr:uid="{3EF207E1-D77E-4996-A9E5-AAD7BDF5C2F7}"/>
    <cellStyle name="Currency 5 2 5 5 3" xfId="6303" xr:uid="{00000000-0005-0000-0000-0000610C0000}"/>
    <cellStyle name="Currency 5 2 5 5 3 2" xfId="14753" xr:uid="{17DB5CB3-D5D9-4822-8DDA-93184A8747E3}"/>
    <cellStyle name="Currency 5 2 5 5 4" xfId="10535" xr:uid="{793B1CE2-DF3B-4922-A921-B4BCC489C971}"/>
    <cellStyle name="Currency 5 2 5 6" xfId="2432" xr:uid="{00000000-0005-0000-0000-0000620C0000}"/>
    <cellStyle name="Currency 5 2 5 6 2" xfId="6716" xr:uid="{00000000-0005-0000-0000-0000630C0000}"/>
    <cellStyle name="Currency 5 2 5 6 2 2" xfId="15166" xr:uid="{069E0586-6072-4C6E-B4C7-549EB21A480C}"/>
    <cellStyle name="Currency 5 2 5 6 3" xfId="10948" xr:uid="{D0BEC540-B352-458C-8E0C-E4204AE7A0F3}"/>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C3687E4E-9302-4BE9-B3AF-F526E7CD198F}"/>
    <cellStyle name="Currency 5 2 5 8 3" xfId="11265" xr:uid="{7B62CF18-541D-4839-A193-C544FBCD672E}"/>
    <cellStyle name="Currency 5 2 5 9" xfId="4650" xr:uid="{00000000-0005-0000-0000-0000670C0000}"/>
    <cellStyle name="Currency 5 2 5 9 2" xfId="13100" xr:uid="{59EFBFF1-5D33-473E-9518-84DCDB8CF9B1}"/>
    <cellStyle name="Currency 5 2 6" xfId="208" xr:uid="{00000000-0005-0000-0000-0000680C0000}"/>
    <cellStyle name="Currency 5 2 6 10" xfId="8883" xr:uid="{A68680D1-A21C-41CD-A1DA-C11670008E3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FEBB509D-413C-4327-A7BC-B75A6934D7C9}"/>
    <cellStyle name="Currency 5 2 6 2 2 3" xfId="11442" xr:uid="{519A931A-C057-413C-A06E-3CEA788BF608}"/>
    <cellStyle name="Currency 5 2 6 2 3" xfId="5065" xr:uid="{00000000-0005-0000-0000-00006C0C0000}"/>
    <cellStyle name="Currency 5 2 6 2 3 2" xfId="13515" xr:uid="{1423C1C1-B0B3-405F-8A23-E4080A22A918}"/>
    <cellStyle name="Currency 5 2 6 2 4" xfId="9297" xr:uid="{0D89C490-CC4E-48AE-A55E-769060E0C592}"/>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240A0F6A-326D-4B27-87AB-62DDAA5E8AB1}"/>
    <cellStyle name="Currency 5 2 6 3 2 3" xfId="11855" xr:uid="{CF0F9FA4-0D1F-440C-8582-5E3C68D6FA57}"/>
    <cellStyle name="Currency 5 2 6 3 3" xfId="5478" xr:uid="{00000000-0005-0000-0000-0000700C0000}"/>
    <cellStyle name="Currency 5 2 6 3 3 2" xfId="13928" xr:uid="{7C251C81-C378-49EF-8DCE-812F608767A8}"/>
    <cellStyle name="Currency 5 2 6 3 4" xfId="9710" xr:uid="{8F8010BD-7E78-4269-AA53-765205A31610}"/>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67E63A8B-0F17-4FBF-9135-9DC5D45AC44A}"/>
    <cellStyle name="Currency 5 2 6 4 2 3" xfId="12268" xr:uid="{DDEE9DD1-F88C-45D8-A00C-9F7081990239}"/>
    <cellStyle name="Currency 5 2 6 4 3" xfId="5891" xr:uid="{00000000-0005-0000-0000-0000740C0000}"/>
    <cellStyle name="Currency 5 2 6 4 3 2" xfId="14341" xr:uid="{7C2E51C1-28B1-45FA-9443-C68B84AE475B}"/>
    <cellStyle name="Currency 5 2 6 4 4" xfId="10123" xr:uid="{FBC779AD-4E4F-435E-A739-A64DAEE7D082}"/>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091D31E6-2FF9-4B1D-AF05-B370629828A1}"/>
    <cellStyle name="Currency 5 2 6 5 2 3" xfId="12681" xr:uid="{FDC01C83-8F92-4BA6-833D-CC7FE0294FDC}"/>
    <cellStyle name="Currency 5 2 6 5 3" xfId="6304" xr:uid="{00000000-0005-0000-0000-0000780C0000}"/>
    <cellStyle name="Currency 5 2 6 5 3 2" xfId="14754" xr:uid="{67D3A086-891D-4688-9F43-B36C57E691A6}"/>
    <cellStyle name="Currency 5 2 6 5 4" xfId="10536" xr:uid="{38D54562-F922-4E5E-A3A5-0D4A57C93A39}"/>
    <cellStyle name="Currency 5 2 6 6" xfId="2433" xr:uid="{00000000-0005-0000-0000-0000790C0000}"/>
    <cellStyle name="Currency 5 2 6 6 2" xfId="6717" xr:uid="{00000000-0005-0000-0000-00007A0C0000}"/>
    <cellStyle name="Currency 5 2 6 6 2 2" xfId="15167" xr:uid="{E65C0A74-787E-43DF-9AF2-F8F03DDAE41F}"/>
    <cellStyle name="Currency 5 2 6 6 3" xfId="10949" xr:uid="{AC52CCA8-3A25-4F39-9D68-0512A2CBAACB}"/>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9AF6D8B2-2C9A-4756-99F8-A546E4072AA9}"/>
    <cellStyle name="Currency 5 2 6 8 3" xfId="11266" xr:uid="{E87A6A10-DFEA-441E-A5FE-0766BBE07B63}"/>
    <cellStyle name="Currency 5 2 6 9" xfId="4651" xr:uid="{00000000-0005-0000-0000-00007E0C0000}"/>
    <cellStyle name="Currency 5 2 6 9 2" xfId="13101" xr:uid="{BC5947C5-1D9B-4B7D-8B53-E67AED8570FC}"/>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938A5A78-0D0E-4275-ABEB-243810D90CCA}"/>
    <cellStyle name="Currency 5 3 2 10 3" xfId="11267" xr:uid="{9485FF7B-E4EC-4F38-ADE3-AD7FB60BAEDF}"/>
    <cellStyle name="Currency 5 3 2 11" xfId="4652" xr:uid="{00000000-0005-0000-0000-0000840C0000}"/>
    <cellStyle name="Currency 5 3 2 11 2" xfId="13102" xr:uid="{489410CF-8932-4CBE-8260-E261A8536391}"/>
    <cellStyle name="Currency 5 3 2 12" xfId="8884" xr:uid="{24BC4905-FA8C-481F-BFCE-F012874C8C0C}"/>
    <cellStyle name="Currency 5 3 2 2" xfId="211" xr:uid="{00000000-0005-0000-0000-0000850C0000}"/>
    <cellStyle name="Currency 5 3 2 2 10" xfId="4653" xr:uid="{00000000-0005-0000-0000-0000860C0000}"/>
    <cellStyle name="Currency 5 3 2 2 10 2" xfId="13103" xr:uid="{2DD863D6-431E-471D-A0FA-1CA40CDD8D3A}"/>
    <cellStyle name="Currency 5 3 2 2 11" xfId="8885" xr:uid="{0FC11E3F-5E73-4417-AC1D-FABDE5AF0632}"/>
    <cellStyle name="Currency 5 3 2 2 2" xfId="212" xr:uid="{00000000-0005-0000-0000-0000870C0000}"/>
    <cellStyle name="Currency 5 3 2 2 2 10" xfId="8886" xr:uid="{9C1AEE0D-052D-47B2-9A11-C407BC97E31D}"/>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FCD6AAE9-3D05-40C9-B2B2-AB11DB4CE4B0}"/>
    <cellStyle name="Currency 5 3 2 2 2 2 2 3" xfId="11445" xr:uid="{A152AD67-C3B1-4C56-A4E5-DAF036F9BDD0}"/>
    <cellStyle name="Currency 5 3 2 2 2 2 3" xfId="5068" xr:uid="{00000000-0005-0000-0000-00008B0C0000}"/>
    <cellStyle name="Currency 5 3 2 2 2 2 3 2" xfId="13518" xr:uid="{F18DD6E7-CD02-416C-BF07-2A7C055F8D81}"/>
    <cellStyle name="Currency 5 3 2 2 2 2 4" xfId="9300" xr:uid="{6F619741-F6F3-4D02-AD87-24551F63D0F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11041685-CC10-4318-B146-E61CD7A591FD}"/>
    <cellStyle name="Currency 5 3 2 2 2 3 2 3" xfId="11858" xr:uid="{69262364-A362-4451-B9FC-8396AE32557F}"/>
    <cellStyle name="Currency 5 3 2 2 2 3 3" xfId="5481" xr:uid="{00000000-0005-0000-0000-00008F0C0000}"/>
    <cellStyle name="Currency 5 3 2 2 2 3 3 2" xfId="13931" xr:uid="{FAAC0093-0656-4A97-A44F-B5C3C15AE360}"/>
    <cellStyle name="Currency 5 3 2 2 2 3 4" xfId="9713" xr:uid="{5156B3F9-90BF-44B8-B9F5-03BD17470B76}"/>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78A6AD06-2606-43E9-B8E7-1403AB4DC3B1}"/>
    <cellStyle name="Currency 5 3 2 2 2 4 2 3" xfId="12271" xr:uid="{3D0878E2-5F30-4C28-B9BF-7CD71A6F6B76}"/>
    <cellStyle name="Currency 5 3 2 2 2 4 3" xfId="5894" xr:uid="{00000000-0005-0000-0000-0000930C0000}"/>
    <cellStyle name="Currency 5 3 2 2 2 4 3 2" xfId="14344" xr:uid="{B5C40F7F-1442-4D8C-8059-CEDFD599D65B}"/>
    <cellStyle name="Currency 5 3 2 2 2 4 4" xfId="10126" xr:uid="{E7B7BA74-5BE1-4579-978F-48E3764082BA}"/>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901BB8C1-E61C-4FE7-9D74-DF73BE2F094F}"/>
    <cellStyle name="Currency 5 3 2 2 2 5 2 3" xfId="12684" xr:uid="{970D93A4-96A4-45BF-9828-20125CE7ECA1}"/>
    <cellStyle name="Currency 5 3 2 2 2 5 3" xfId="6307" xr:uid="{00000000-0005-0000-0000-0000970C0000}"/>
    <cellStyle name="Currency 5 3 2 2 2 5 3 2" xfId="14757" xr:uid="{27F0AD78-8266-4838-9D55-307316445E88}"/>
    <cellStyle name="Currency 5 3 2 2 2 5 4" xfId="10539" xr:uid="{93D9A45D-D895-4183-8FC6-5CB97FB448A8}"/>
    <cellStyle name="Currency 5 3 2 2 2 6" xfId="2436" xr:uid="{00000000-0005-0000-0000-0000980C0000}"/>
    <cellStyle name="Currency 5 3 2 2 2 6 2" xfId="6720" xr:uid="{00000000-0005-0000-0000-0000990C0000}"/>
    <cellStyle name="Currency 5 3 2 2 2 6 2 2" xfId="15170" xr:uid="{EBC960F5-65C9-4BA0-B7BE-5EA3334A9E30}"/>
    <cellStyle name="Currency 5 3 2 2 2 6 3" xfId="10952" xr:uid="{73161944-83E6-4E2E-B195-3064D2BC1A99}"/>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52BE32AC-6631-46B3-9B22-749ECCAFF2DA}"/>
    <cellStyle name="Currency 5 3 2 2 2 8 3" xfId="11269" xr:uid="{C648CA55-7AF0-457E-96A1-8EE2CB67A5B2}"/>
    <cellStyle name="Currency 5 3 2 2 2 9" xfId="4654" xr:uid="{00000000-0005-0000-0000-00009D0C0000}"/>
    <cellStyle name="Currency 5 3 2 2 2 9 2" xfId="13104" xr:uid="{9936C6A4-067E-4715-9047-1CD17D2F7D08}"/>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55D0EB0B-87E4-42F3-9955-7BF4B9D35FF2}"/>
    <cellStyle name="Currency 5 3 2 2 3 2 3" xfId="11444" xr:uid="{7F5342C7-83F3-4A48-B95D-05FC2880597E}"/>
    <cellStyle name="Currency 5 3 2 2 3 3" xfId="5067" xr:uid="{00000000-0005-0000-0000-0000A10C0000}"/>
    <cellStyle name="Currency 5 3 2 2 3 3 2" xfId="13517" xr:uid="{0D7B4B37-0239-4D58-B4D5-802AD1BCD5DF}"/>
    <cellStyle name="Currency 5 3 2 2 3 4" xfId="9299" xr:uid="{B0A23C7C-53BA-46A4-B9B5-F9B8786A092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1DA4DF8E-AF25-414F-B7DD-8B42278ECDFF}"/>
    <cellStyle name="Currency 5 3 2 2 4 2 3" xfId="11857" xr:uid="{1B1B8369-EF12-44EF-926A-13A8E113567D}"/>
    <cellStyle name="Currency 5 3 2 2 4 3" xfId="5480" xr:uid="{00000000-0005-0000-0000-0000A50C0000}"/>
    <cellStyle name="Currency 5 3 2 2 4 3 2" xfId="13930" xr:uid="{6138616E-406F-4712-9442-ECD1F106FC8F}"/>
    <cellStyle name="Currency 5 3 2 2 4 4" xfId="9712" xr:uid="{07F6C82E-382A-4517-A2FC-6A91C5B0C041}"/>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210DEE3E-B040-4811-B186-7BA64B3E0B74}"/>
    <cellStyle name="Currency 5 3 2 2 5 2 3" xfId="12270" xr:uid="{60742891-79D9-4CAA-B3C5-9D0FB63E6559}"/>
    <cellStyle name="Currency 5 3 2 2 5 3" xfId="5893" xr:uid="{00000000-0005-0000-0000-0000A90C0000}"/>
    <cellStyle name="Currency 5 3 2 2 5 3 2" xfId="14343" xr:uid="{56CF3B45-D371-43F4-8073-36800FBFFB36}"/>
    <cellStyle name="Currency 5 3 2 2 5 4" xfId="10125" xr:uid="{A94970E6-837F-4B58-87C7-48D8670FCA7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BC437CBA-6A00-45B0-B6D2-1C6EA835D76E}"/>
    <cellStyle name="Currency 5 3 2 2 6 2 3" xfId="12683" xr:uid="{9F413CCD-A321-4A2E-8A70-FF016ABC8FCF}"/>
    <cellStyle name="Currency 5 3 2 2 6 3" xfId="6306" xr:uid="{00000000-0005-0000-0000-0000AD0C0000}"/>
    <cellStyle name="Currency 5 3 2 2 6 3 2" xfId="14756" xr:uid="{B2228F5D-8864-467A-8018-708E9290E26A}"/>
    <cellStyle name="Currency 5 3 2 2 6 4" xfId="10538" xr:uid="{67BDA555-5749-4D13-BB17-F8E99A58E885}"/>
    <cellStyle name="Currency 5 3 2 2 7" xfId="2435" xr:uid="{00000000-0005-0000-0000-0000AE0C0000}"/>
    <cellStyle name="Currency 5 3 2 2 7 2" xfId="6719" xr:uid="{00000000-0005-0000-0000-0000AF0C0000}"/>
    <cellStyle name="Currency 5 3 2 2 7 2 2" xfId="15169" xr:uid="{821707F4-959C-4964-A5F5-0B4D6C060918}"/>
    <cellStyle name="Currency 5 3 2 2 7 3" xfId="10951" xr:uid="{D0B2C0BF-21CF-41A2-B47B-BC4F3BA05AB6}"/>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93D85937-7CDA-45E2-B6B1-660CA26A3392}"/>
    <cellStyle name="Currency 5 3 2 2 9 3" xfId="11268" xr:uid="{3E827DB4-5D18-46C4-AF0F-2099742BEF36}"/>
    <cellStyle name="Currency 5 3 2 3" xfId="213" xr:uid="{00000000-0005-0000-0000-0000B30C0000}"/>
    <cellStyle name="Currency 5 3 2 3 10" xfId="8887" xr:uid="{0648A36B-19AC-4EDD-B3D5-5C7A41E85E7A}"/>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52934EDC-DE70-4ACC-8353-06FAC15EB61A}"/>
    <cellStyle name="Currency 5 3 2 3 2 2 3" xfId="11446" xr:uid="{D9DDB2B4-CE4B-41AC-9A3E-45D7BEDE80E4}"/>
    <cellStyle name="Currency 5 3 2 3 2 3" xfId="5069" xr:uid="{00000000-0005-0000-0000-0000B70C0000}"/>
    <cellStyle name="Currency 5 3 2 3 2 3 2" xfId="13519" xr:uid="{F605F2D2-48F8-4DAD-9F9A-D520DF5626AB}"/>
    <cellStyle name="Currency 5 3 2 3 2 4" xfId="9301" xr:uid="{E5556FAF-CCEB-4430-86ED-675CF4C48422}"/>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0266DC74-6C02-4E1F-81A8-CC4D2F7D54DD}"/>
    <cellStyle name="Currency 5 3 2 3 3 2 3" xfId="11859" xr:uid="{39402990-A85E-4170-B33D-74A8683D01AA}"/>
    <cellStyle name="Currency 5 3 2 3 3 3" xfId="5482" xr:uid="{00000000-0005-0000-0000-0000BB0C0000}"/>
    <cellStyle name="Currency 5 3 2 3 3 3 2" xfId="13932" xr:uid="{4358499A-2263-497E-A56F-C264D38EFB7B}"/>
    <cellStyle name="Currency 5 3 2 3 3 4" xfId="9714" xr:uid="{4DD90EF4-4F16-46EE-B4D8-730B3BEF23E9}"/>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11A05562-A2A1-41A0-B7E5-D8F79176A37F}"/>
    <cellStyle name="Currency 5 3 2 3 4 2 3" xfId="12272" xr:uid="{6F9374D6-EFF9-40C5-8014-9EF9447DCB50}"/>
    <cellStyle name="Currency 5 3 2 3 4 3" xfId="5895" xr:uid="{00000000-0005-0000-0000-0000BF0C0000}"/>
    <cellStyle name="Currency 5 3 2 3 4 3 2" xfId="14345" xr:uid="{D6167518-4920-41AC-B956-71FEF3834897}"/>
    <cellStyle name="Currency 5 3 2 3 4 4" xfId="10127" xr:uid="{1790981A-67DC-41E1-B10E-6DE84C8E494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3F5FE0D5-CC63-40A4-BF38-70F0A2ED778F}"/>
    <cellStyle name="Currency 5 3 2 3 5 2 3" xfId="12685" xr:uid="{168C78B0-C8AC-49E5-9E25-8F6C80FC70C9}"/>
    <cellStyle name="Currency 5 3 2 3 5 3" xfId="6308" xr:uid="{00000000-0005-0000-0000-0000C30C0000}"/>
    <cellStyle name="Currency 5 3 2 3 5 3 2" xfId="14758" xr:uid="{5E5B8F30-B069-47E5-8408-5CA3BC7AF3CD}"/>
    <cellStyle name="Currency 5 3 2 3 5 4" xfId="10540" xr:uid="{4CABEA14-FD68-42C7-94A2-D0C320F05A8E}"/>
    <cellStyle name="Currency 5 3 2 3 6" xfId="2437" xr:uid="{00000000-0005-0000-0000-0000C40C0000}"/>
    <cellStyle name="Currency 5 3 2 3 6 2" xfId="6721" xr:uid="{00000000-0005-0000-0000-0000C50C0000}"/>
    <cellStyle name="Currency 5 3 2 3 6 2 2" xfId="15171" xr:uid="{00C2540F-C1A7-43EB-B408-BD0AC7E5860A}"/>
    <cellStyle name="Currency 5 3 2 3 6 3" xfId="10953" xr:uid="{53E899FA-F769-481D-923C-60BABAD1F6AC}"/>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1FD39DB9-2C89-4179-B95A-A90AE5581DDB}"/>
    <cellStyle name="Currency 5 3 2 3 8 3" xfId="11270" xr:uid="{8FBD56A7-5EC6-428C-892A-9BC452F63E68}"/>
    <cellStyle name="Currency 5 3 2 3 9" xfId="4655" xr:uid="{00000000-0005-0000-0000-0000C90C0000}"/>
    <cellStyle name="Currency 5 3 2 3 9 2" xfId="13105" xr:uid="{6464E806-7525-4161-BA83-7A35CB0052A5}"/>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2F0DA62C-413D-411D-84F7-0FC173F21E2C}"/>
    <cellStyle name="Currency 5 3 2 4 2 3" xfId="11443" xr:uid="{C0BFF4D7-13DE-4509-B782-DF229F357E1B}"/>
    <cellStyle name="Currency 5 3 2 4 3" xfId="5066" xr:uid="{00000000-0005-0000-0000-0000CD0C0000}"/>
    <cellStyle name="Currency 5 3 2 4 3 2" xfId="13516" xr:uid="{57D32CF2-8079-48E4-A3E5-697731CC9A13}"/>
    <cellStyle name="Currency 5 3 2 4 4" xfId="9298" xr:uid="{7779E5D6-B4F1-49A4-893C-034427573D30}"/>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80E76C1A-CA12-46F8-99E1-E5C9176619B3}"/>
    <cellStyle name="Currency 5 3 2 5 2 3" xfId="11856" xr:uid="{F52750D0-A8D0-4B3B-90D1-B7AB4A6E0DBF}"/>
    <cellStyle name="Currency 5 3 2 5 3" xfId="5479" xr:uid="{00000000-0005-0000-0000-0000D10C0000}"/>
    <cellStyle name="Currency 5 3 2 5 3 2" xfId="13929" xr:uid="{E7FBFD83-75DA-4C34-808D-7B7A3B48FC94}"/>
    <cellStyle name="Currency 5 3 2 5 4" xfId="9711" xr:uid="{731DC69F-421D-477C-9261-145DFC221EC4}"/>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19E65B26-5281-4803-AEA5-D18C9CC3E93B}"/>
    <cellStyle name="Currency 5 3 2 6 2 3" xfId="12269" xr:uid="{F0162887-D124-4A26-AD92-39AB8AF0DCF1}"/>
    <cellStyle name="Currency 5 3 2 6 3" xfId="5892" xr:uid="{00000000-0005-0000-0000-0000D50C0000}"/>
    <cellStyle name="Currency 5 3 2 6 3 2" xfId="14342" xr:uid="{E0AFBF49-E097-4210-8543-A7D3C76203E6}"/>
    <cellStyle name="Currency 5 3 2 6 4" xfId="10124" xr:uid="{DFC167F6-38A4-4E56-B5FC-06F0E5252F2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46298C0C-0FB9-4B3A-ACCE-5BB28AEC90A3}"/>
    <cellStyle name="Currency 5 3 2 7 2 3" xfId="12682" xr:uid="{D3B3F567-93FD-4F83-B4D6-B7961A6DB925}"/>
    <cellStyle name="Currency 5 3 2 7 3" xfId="6305" xr:uid="{00000000-0005-0000-0000-0000D90C0000}"/>
    <cellStyle name="Currency 5 3 2 7 3 2" xfId="14755" xr:uid="{9C37E6CD-95AA-4FA1-B39F-ECB9E5B975E8}"/>
    <cellStyle name="Currency 5 3 2 7 4" xfId="10537" xr:uid="{07F0D9F7-A559-4393-B244-647BEF28EEFC}"/>
    <cellStyle name="Currency 5 3 2 8" xfId="2434" xr:uid="{00000000-0005-0000-0000-0000DA0C0000}"/>
    <cellStyle name="Currency 5 3 2 8 2" xfId="6718" xr:uid="{00000000-0005-0000-0000-0000DB0C0000}"/>
    <cellStyle name="Currency 5 3 2 8 2 2" xfId="15168" xr:uid="{71421347-2389-4F95-B469-BD5DD4773538}"/>
    <cellStyle name="Currency 5 3 2 8 3" xfId="10950" xr:uid="{E93057C0-1F8C-4662-A250-934FA76C6655}"/>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1E70A73F-3EC0-4090-89BE-D8935C8875F7}"/>
    <cellStyle name="Currency 5 3 3 11" xfId="8888" xr:uid="{22DDAAC8-9D5B-4636-885D-F1A29C8A7807}"/>
    <cellStyle name="Currency 5 3 3 2" xfId="215" xr:uid="{00000000-0005-0000-0000-0000DF0C0000}"/>
    <cellStyle name="Currency 5 3 3 2 10" xfId="8889" xr:uid="{7F873246-55CB-4CD6-9C44-A25C4971881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D970F98A-7BEF-4655-8430-B7223D0347CC}"/>
    <cellStyle name="Currency 5 3 3 2 2 2 3" xfId="11448" xr:uid="{DFFDF193-1885-48C1-8B82-04479497DF26}"/>
    <cellStyle name="Currency 5 3 3 2 2 3" xfId="5071" xr:uid="{00000000-0005-0000-0000-0000E30C0000}"/>
    <cellStyle name="Currency 5 3 3 2 2 3 2" xfId="13521" xr:uid="{7E066AD1-B895-49D8-BE11-84D9B66BB96B}"/>
    <cellStyle name="Currency 5 3 3 2 2 4" xfId="9303" xr:uid="{DD39FA79-2379-4333-AC2B-BAC0968C63B5}"/>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C852DC79-E18D-4337-90AC-B18E36F09BE7}"/>
    <cellStyle name="Currency 5 3 3 2 3 2 3" xfId="11861" xr:uid="{57BE3693-4A06-4D86-9DBF-30A8AFE50C5F}"/>
    <cellStyle name="Currency 5 3 3 2 3 3" xfId="5484" xr:uid="{00000000-0005-0000-0000-0000E70C0000}"/>
    <cellStyle name="Currency 5 3 3 2 3 3 2" xfId="13934" xr:uid="{89A344D5-4557-43B7-A51E-CE9829248DE9}"/>
    <cellStyle name="Currency 5 3 3 2 3 4" xfId="9716" xr:uid="{8BDE84BE-1C8C-45D8-A0F3-7A1DD31A68EF}"/>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60BEE22E-AA2A-4A1D-8A07-9B11D6925AA5}"/>
    <cellStyle name="Currency 5 3 3 2 4 2 3" xfId="12274" xr:uid="{0A294E88-BF86-4DC5-B91F-C74B977AE3AB}"/>
    <cellStyle name="Currency 5 3 3 2 4 3" xfId="5897" xr:uid="{00000000-0005-0000-0000-0000EB0C0000}"/>
    <cellStyle name="Currency 5 3 3 2 4 3 2" xfId="14347" xr:uid="{561254FF-2499-4E3E-9CDD-BB5EE2992C34}"/>
    <cellStyle name="Currency 5 3 3 2 4 4" xfId="10129" xr:uid="{7DFF7D77-68D9-4253-8F1A-5F49125BD4F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94244426-77D1-4628-A5F9-E90FBBD096FC}"/>
    <cellStyle name="Currency 5 3 3 2 5 2 3" xfId="12687" xr:uid="{BBA1181D-F9C2-4CB1-B8DD-B26EDCBC2996}"/>
    <cellStyle name="Currency 5 3 3 2 5 3" xfId="6310" xr:uid="{00000000-0005-0000-0000-0000EF0C0000}"/>
    <cellStyle name="Currency 5 3 3 2 5 3 2" xfId="14760" xr:uid="{95DA70FC-A33F-4C50-89EA-50F46CADA382}"/>
    <cellStyle name="Currency 5 3 3 2 5 4" xfId="10542" xr:uid="{DE000A1C-8412-46B3-AE7A-C31073DF238C}"/>
    <cellStyle name="Currency 5 3 3 2 6" xfId="2439" xr:uid="{00000000-0005-0000-0000-0000F00C0000}"/>
    <cellStyle name="Currency 5 3 3 2 6 2" xfId="6723" xr:uid="{00000000-0005-0000-0000-0000F10C0000}"/>
    <cellStyle name="Currency 5 3 3 2 6 2 2" xfId="15173" xr:uid="{ACD608B1-8313-4AE4-9CF8-910947606EEB}"/>
    <cellStyle name="Currency 5 3 3 2 6 3" xfId="10955" xr:uid="{41C75FA0-EC5A-49C4-9252-F988CE3062A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2F179E6C-580F-457C-AD34-52B5784533D0}"/>
    <cellStyle name="Currency 5 3 3 2 8 3" xfId="11272" xr:uid="{7E4BC226-8795-4B37-B164-48F899BED380}"/>
    <cellStyle name="Currency 5 3 3 2 9" xfId="4657" xr:uid="{00000000-0005-0000-0000-0000F50C0000}"/>
    <cellStyle name="Currency 5 3 3 2 9 2" xfId="13107" xr:uid="{A5CD1993-0E5F-43C0-BEFF-B3A23D5913A5}"/>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DDE1CC5E-424D-4526-8813-BDAD004EAE35}"/>
    <cellStyle name="Currency 5 3 3 3 2 3" xfId="11447" xr:uid="{1CB3FD0C-4E1A-46CA-A2AE-351836B65941}"/>
    <cellStyle name="Currency 5 3 3 3 3" xfId="5070" xr:uid="{00000000-0005-0000-0000-0000F90C0000}"/>
    <cellStyle name="Currency 5 3 3 3 3 2" xfId="13520" xr:uid="{2765E196-0C37-4631-9A95-58D774E28EA7}"/>
    <cellStyle name="Currency 5 3 3 3 4" xfId="9302" xr:uid="{9C5BB01E-6DE4-46D8-87A3-9BE6571C8FAA}"/>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5BEAD8BD-B6A4-49C2-ACB2-FBA666F8680B}"/>
    <cellStyle name="Currency 5 3 3 4 2 3" xfId="11860" xr:uid="{A86A600F-301A-4E7B-9F77-661D07B3C844}"/>
    <cellStyle name="Currency 5 3 3 4 3" xfId="5483" xr:uid="{00000000-0005-0000-0000-0000FD0C0000}"/>
    <cellStyle name="Currency 5 3 3 4 3 2" xfId="13933" xr:uid="{E1E355B2-47C8-4CEC-ACDC-5A1C1507149D}"/>
    <cellStyle name="Currency 5 3 3 4 4" xfId="9715" xr:uid="{861CD11B-6794-4B0A-9DDB-49A20E79F33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D0DA3AFB-97CD-4F5E-9F3D-26C135341006}"/>
    <cellStyle name="Currency 5 3 3 5 2 3" xfId="12273" xr:uid="{BC816E05-5F1A-47F2-8F40-77E48DB510D4}"/>
    <cellStyle name="Currency 5 3 3 5 3" xfId="5896" xr:uid="{00000000-0005-0000-0000-0000010D0000}"/>
    <cellStyle name="Currency 5 3 3 5 3 2" xfId="14346" xr:uid="{121D801A-D310-4664-B9EC-941BC5D5E0B1}"/>
    <cellStyle name="Currency 5 3 3 5 4" xfId="10128" xr:uid="{752CEDB3-494D-488F-9CA2-ECFDC74F174C}"/>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8FDB0A76-7BB2-4893-903A-061C2BBE533D}"/>
    <cellStyle name="Currency 5 3 3 6 2 3" xfId="12686" xr:uid="{55639FF5-6FD3-4D49-B78F-2B2767332846}"/>
    <cellStyle name="Currency 5 3 3 6 3" xfId="6309" xr:uid="{00000000-0005-0000-0000-0000050D0000}"/>
    <cellStyle name="Currency 5 3 3 6 3 2" xfId="14759" xr:uid="{1725B564-A61C-47BD-9B28-717D15809EA2}"/>
    <cellStyle name="Currency 5 3 3 6 4" xfId="10541" xr:uid="{5658411A-DCFE-4CA4-B76D-A5276BEA9187}"/>
    <cellStyle name="Currency 5 3 3 7" xfId="2438" xr:uid="{00000000-0005-0000-0000-0000060D0000}"/>
    <cellStyle name="Currency 5 3 3 7 2" xfId="6722" xr:uid="{00000000-0005-0000-0000-0000070D0000}"/>
    <cellStyle name="Currency 5 3 3 7 2 2" xfId="15172" xr:uid="{BBFA777E-4FBB-4A05-A440-C0139050527D}"/>
    <cellStyle name="Currency 5 3 3 7 3" xfId="10954" xr:uid="{35877AD6-ED17-4A37-9255-76C8356EAEE8}"/>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E84B4FDC-1F99-48FF-8018-03366A0711E6}"/>
    <cellStyle name="Currency 5 3 3 9 3" xfId="11271" xr:uid="{1783EA39-8228-42C4-9CAC-17F2B984D223}"/>
    <cellStyle name="Currency 5 3 4" xfId="216" xr:uid="{00000000-0005-0000-0000-00000B0D0000}"/>
    <cellStyle name="Currency 5 3 4 10" xfId="8890" xr:uid="{A0848BE7-B300-41D1-B21A-55F311692B0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7BFCE501-539B-4606-9FB6-89F5523089C4}"/>
    <cellStyle name="Currency 5 3 4 2 2 3" xfId="11449" xr:uid="{A29E905C-CE1B-43CD-9626-A3EE4EAC035D}"/>
    <cellStyle name="Currency 5 3 4 2 3" xfId="5072" xr:uid="{00000000-0005-0000-0000-00000F0D0000}"/>
    <cellStyle name="Currency 5 3 4 2 3 2" xfId="13522" xr:uid="{5B63E728-E19E-4F3E-855F-C96556EEFA1E}"/>
    <cellStyle name="Currency 5 3 4 2 4" xfId="9304" xr:uid="{65DD38D3-C970-4D03-A54B-3B95B28EEE46}"/>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23D5FF8D-0796-458A-B7C4-E3650F68D593}"/>
    <cellStyle name="Currency 5 3 4 3 2 3" xfId="11862" xr:uid="{1CE0F56B-7329-40A6-A49C-0C985E6DEAAF}"/>
    <cellStyle name="Currency 5 3 4 3 3" xfId="5485" xr:uid="{00000000-0005-0000-0000-0000130D0000}"/>
    <cellStyle name="Currency 5 3 4 3 3 2" xfId="13935" xr:uid="{F7B4973F-82DF-488D-9CBA-8512D974061D}"/>
    <cellStyle name="Currency 5 3 4 3 4" xfId="9717" xr:uid="{1E14EA32-807F-4D46-A4B9-2B62083ED1B0}"/>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CB1185D9-B45A-4A7F-A2A9-8A41AD81938B}"/>
    <cellStyle name="Currency 5 3 4 4 2 3" xfId="12275" xr:uid="{F4B439C0-55BF-434A-A9C4-E3A8B5E11496}"/>
    <cellStyle name="Currency 5 3 4 4 3" xfId="5898" xr:uid="{00000000-0005-0000-0000-0000170D0000}"/>
    <cellStyle name="Currency 5 3 4 4 3 2" xfId="14348" xr:uid="{3C3C424D-7A2D-4FA4-9684-195BCE8AF1D2}"/>
    <cellStyle name="Currency 5 3 4 4 4" xfId="10130" xr:uid="{B3E7721C-E12F-47EB-BA27-1B29DE219C9A}"/>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F1573C9A-D185-4718-A44A-EBB8ECAEF291}"/>
    <cellStyle name="Currency 5 3 4 5 2 3" xfId="12688" xr:uid="{124ECA28-0E6F-4E89-8948-C785F3779DEA}"/>
    <cellStyle name="Currency 5 3 4 5 3" xfId="6311" xr:uid="{00000000-0005-0000-0000-00001B0D0000}"/>
    <cellStyle name="Currency 5 3 4 5 3 2" xfId="14761" xr:uid="{9EB90360-26EE-447B-A654-4977473C807A}"/>
    <cellStyle name="Currency 5 3 4 5 4" xfId="10543" xr:uid="{AA575F64-63F0-4DE3-9860-C559D05D920D}"/>
    <cellStyle name="Currency 5 3 4 6" xfId="2440" xr:uid="{00000000-0005-0000-0000-00001C0D0000}"/>
    <cellStyle name="Currency 5 3 4 6 2" xfId="6724" xr:uid="{00000000-0005-0000-0000-00001D0D0000}"/>
    <cellStyle name="Currency 5 3 4 6 2 2" xfId="15174" xr:uid="{74695EE8-A791-4793-BD77-4D0271C3C5D6}"/>
    <cellStyle name="Currency 5 3 4 6 3" xfId="10956" xr:uid="{D09E470F-515C-4A98-9281-25FA8667584B}"/>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962E11C9-48C6-404A-842E-B679A642CAF8}"/>
    <cellStyle name="Currency 5 3 4 8 3" xfId="11273" xr:uid="{96F8A7D3-64AD-4D4E-92BF-A4C1B6C7E1A8}"/>
    <cellStyle name="Currency 5 3 4 9" xfId="4658" xr:uid="{00000000-0005-0000-0000-0000210D0000}"/>
    <cellStyle name="Currency 5 3 4 9 2" xfId="13108" xr:uid="{8BE7F6E4-E2E2-4607-98A5-0BD0AC35B4CD}"/>
    <cellStyle name="Currency 5 3 5" xfId="217" xr:uid="{00000000-0005-0000-0000-0000220D0000}"/>
    <cellStyle name="Currency 5 3 5 10" xfId="8891" xr:uid="{7267ACEA-FA20-4EFF-9B9C-D193802DB01E}"/>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E768F24B-A084-46D6-A2C0-C6E3DBF93288}"/>
    <cellStyle name="Currency 5 3 5 2 2 3" xfId="11450" xr:uid="{A28C61F8-1354-49D2-9511-2EA8514BB929}"/>
    <cellStyle name="Currency 5 3 5 2 3" xfId="5073" xr:uid="{00000000-0005-0000-0000-0000260D0000}"/>
    <cellStyle name="Currency 5 3 5 2 3 2" xfId="13523" xr:uid="{E1ECCB5F-ADFB-4327-9693-2C237584F273}"/>
    <cellStyle name="Currency 5 3 5 2 4" xfId="9305" xr:uid="{83ACAB84-CB59-4BE6-8C29-B1162269CD5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D2E9AF84-8D45-40D2-ACE4-263D3CCEA3F6}"/>
    <cellStyle name="Currency 5 3 5 3 2 3" xfId="11863" xr:uid="{F4849530-6207-4A56-B38E-830F09C04FCD}"/>
    <cellStyle name="Currency 5 3 5 3 3" xfId="5486" xr:uid="{00000000-0005-0000-0000-00002A0D0000}"/>
    <cellStyle name="Currency 5 3 5 3 3 2" xfId="13936" xr:uid="{70CAD2F0-6522-4D0F-ACA3-0A95ECF84D07}"/>
    <cellStyle name="Currency 5 3 5 3 4" xfId="9718" xr:uid="{D0F85984-85CA-44E2-8567-C36C17E4332A}"/>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99FD2C81-05FB-485E-8F3C-CF0AE11A57BD}"/>
    <cellStyle name="Currency 5 3 5 4 2 3" xfId="12276" xr:uid="{4FCDC8FE-7EF5-4DC8-A7B8-E5A3E6694DD1}"/>
    <cellStyle name="Currency 5 3 5 4 3" xfId="5899" xr:uid="{00000000-0005-0000-0000-00002E0D0000}"/>
    <cellStyle name="Currency 5 3 5 4 3 2" xfId="14349" xr:uid="{B659D7AE-9639-4732-960F-FE53160C1D26}"/>
    <cellStyle name="Currency 5 3 5 4 4" xfId="10131" xr:uid="{4BAD6F87-157A-47AC-B87A-7F5AE6F5ED0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D0DF044C-436F-4ACB-86B0-4F4F33617FEA}"/>
    <cellStyle name="Currency 5 3 5 5 2 3" xfId="12689" xr:uid="{C8DEA5BE-157F-4380-B12D-A19C11B9AAD4}"/>
    <cellStyle name="Currency 5 3 5 5 3" xfId="6312" xr:uid="{00000000-0005-0000-0000-0000320D0000}"/>
    <cellStyle name="Currency 5 3 5 5 3 2" xfId="14762" xr:uid="{37C45379-0348-43D4-9257-5665BC3D23B5}"/>
    <cellStyle name="Currency 5 3 5 5 4" xfId="10544" xr:uid="{4DAECB94-2C0F-460B-BD73-CA43F0CA77F4}"/>
    <cellStyle name="Currency 5 3 5 6" xfId="2441" xr:uid="{00000000-0005-0000-0000-0000330D0000}"/>
    <cellStyle name="Currency 5 3 5 6 2" xfId="6725" xr:uid="{00000000-0005-0000-0000-0000340D0000}"/>
    <cellStyle name="Currency 5 3 5 6 2 2" xfId="15175" xr:uid="{7DC93293-1D1F-4247-A524-8FDA357250AB}"/>
    <cellStyle name="Currency 5 3 5 6 3" xfId="10957" xr:uid="{2FCCE3F2-7256-4B19-9F8E-0F33047483E2}"/>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7FD5B7D2-D8BE-411B-B390-D038B0F6233F}"/>
    <cellStyle name="Currency 5 3 5 8 3" xfId="11274" xr:uid="{CA200012-F0CD-46A9-8676-EAAF8F0A2CBB}"/>
    <cellStyle name="Currency 5 3 5 9" xfId="4659" xr:uid="{00000000-0005-0000-0000-0000380D0000}"/>
    <cellStyle name="Currency 5 3 5 9 2" xfId="13109" xr:uid="{60C1F7D9-98A0-4A50-A73C-24B486670BA5}"/>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B696064A-707B-49A0-B39D-0579D6BD5F1F}"/>
    <cellStyle name="Currency 5 5 11" xfId="8892" xr:uid="{8C506BBA-8558-4C54-861E-A55AC72AEBB1}"/>
    <cellStyle name="Currency 5 5 2" xfId="220" xr:uid="{00000000-0005-0000-0000-00003D0D0000}"/>
    <cellStyle name="Currency 5 5 2 10" xfId="8893" xr:uid="{40A5CA3A-5584-4F66-9156-557C331EB208}"/>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94C4EF6F-5CBA-4E2D-8C1B-38D7F6590511}"/>
    <cellStyle name="Currency 5 5 2 2 2 3" xfId="11452" xr:uid="{4A751BEF-BA62-45B9-B0C2-E1F4D1880A75}"/>
    <cellStyle name="Currency 5 5 2 2 3" xfId="5075" xr:uid="{00000000-0005-0000-0000-0000410D0000}"/>
    <cellStyle name="Currency 5 5 2 2 3 2" xfId="13525" xr:uid="{353CB892-80EA-494A-A5D8-A6E1E2B3F054}"/>
    <cellStyle name="Currency 5 5 2 2 4" xfId="9307" xr:uid="{5B2DA664-ABB5-4D30-8A30-2FDA13A813C4}"/>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465F2E21-1501-4D87-AF4B-F360198A7D4D}"/>
    <cellStyle name="Currency 5 5 2 3 2 3" xfId="11865" xr:uid="{01AEE5D0-2DA8-4496-8EE2-E954DB5688CE}"/>
    <cellStyle name="Currency 5 5 2 3 3" xfId="5488" xr:uid="{00000000-0005-0000-0000-0000450D0000}"/>
    <cellStyle name="Currency 5 5 2 3 3 2" xfId="13938" xr:uid="{856C7A3A-23CD-4D76-B14C-EBB7A0793EE9}"/>
    <cellStyle name="Currency 5 5 2 3 4" xfId="9720" xr:uid="{FF511E3E-A83B-453D-9061-665AE196D767}"/>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920E50DB-083D-4F34-9041-2941E4E733A9}"/>
    <cellStyle name="Currency 5 5 2 4 2 3" xfId="12278" xr:uid="{E6D4A287-CF49-4521-B97F-7BEC82E30C8E}"/>
    <cellStyle name="Currency 5 5 2 4 3" xfId="5901" xr:uid="{00000000-0005-0000-0000-0000490D0000}"/>
    <cellStyle name="Currency 5 5 2 4 3 2" xfId="14351" xr:uid="{375D02EE-68C9-484D-945D-79ED3BF7635A}"/>
    <cellStyle name="Currency 5 5 2 4 4" xfId="10133" xr:uid="{3B12DA70-66B3-4914-8AF4-2CF98FBA079C}"/>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A1273D22-9E47-46AD-9564-15ACEC1C9C66}"/>
    <cellStyle name="Currency 5 5 2 5 2 3" xfId="12691" xr:uid="{7789AA67-5603-42A1-BB47-F32AA4B35EA5}"/>
    <cellStyle name="Currency 5 5 2 5 3" xfId="6314" xr:uid="{00000000-0005-0000-0000-00004D0D0000}"/>
    <cellStyle name="Currency 5 5 2 5 3 2" xfId="14764" xr:uid="{8CB2D8AB-81E5-450C-9C88-AC967EA29293}"/>
    <cellStyle name="Currency 5 5 2 5 4" xfId="10546" xr:uid="{E01A013A-8C77-4ADF-9C26-1FB5E632C4CA}"/>
    <cellStyle name="Currency 5 5 2 6" xfId="2443" xr:uid="{00000000-0005-0000-0000-00004E0D0000}"/>
    <cellStyle name="Currency 5 5 2 6 2" xfId="6727" xr:uid="{00000000-0005-0000-0000-00004F0D0000}"/>
    <cellStyle name="Currency 5 5 2 6 2 2" xfId="15177" xr:uid="{586874DA-F766-416F-B0EF-236162EF7B8D}"/>
    <cellStyle name="Currency 5 5 2 6 3" xfId="10959" xr:uid="{82C55D2F-2BF1-45C6-BF9D-6D7A74A060FB}"/>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5D226D81-A318-4668-94C7-F8042B35B161}"/>
    <cellStyle name="Currency 5 5 2 8 3" xfId="11276" xr:uid="{714B38DD-4A50-4D53-B2A5-E1FAFCBF7041}"/>
    <cellStyle name="Currency 5 5 2 9" xfId="4661" xr:uid="{00000000-0005-0000-0000-0000530D0000}"/>
    <cellStyle name="Currency 5 5 2 9 2" xfId="13111" xr:uid="{A8ED2075-B552-4D22-AFD3-5ECEFC8707E4}"/>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75FA47CB-16E9-49F8-8597-10146C9FAF9E}"/>
    <cellStyle name="Currency 5 5 3 2 3" xfId="11451" xr:uid="{5C0E494C-B751-47B5-B8DE-DCF128D37246}"/>
    <cellStyle name="Currency 5 5 3 3" xfId="5074" xr:uid="{00000000-0005-0000-0000-0000570D0000}"/>
    <cellStyle name="Currency 5 5 3 3 2" xfId="13524" xr:uid="{5026A197-AE37-4A4F-873C-7B8EFDFCF6B1}"/>
    <cellStyle name="Currency 5 5 3 4" xfId="9306" xr:uid="{8B413C8E-5A94-4651-907C-6144FB2394DC}"/>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DB413046-69EA-450E-91A7-29B35EED46C2}"/>
    <cellStyle name="Currency 5 5 4 2 3" xfId="11864" xr:uid="{21BC70A1-0F6C-4F5F-B5F2-7B0903AB7DF7}"/>
    <cellStyle name="Currency 5 5 4 3" xfId="5487" xr:uid="{00000000-0005-0000-0000-00005B0D0000}"/>
    <cellStyle name="Currency 5 5 4 3 2" xfId="13937" xr:uid="{82E63014-261F-41EB-9BF7-8A5A28B458F5}"/>
    <cellStyle name="Currency 5 5 4 4" xfId="9719" xr:uid="{3E3B01A4-B82E-447E-8D4C-6FFD511399F1}"/>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3FB19BC9-1699-4B48-AE66-DF2FAB5688AE}"/>
    <cellStyle name="Currency 5 5 5 2 3" xfId="12277" xr:uid="{62CA7CB6-523E-4485-868E-3B8CFF6D8E0A}"/>
    <cellStyle name="Currency 5 5 5 3" xfId="5900" xr:uid="{00000000-0005-0000-0000-00005F0D0000}"/>
    <cellStyle name="Currency 5 5 5 3 2" xfId="14350" xr:uid="{D7700DD1-2FE3-4E45-A72E-E5427716060C}"/>
    <cellStyle name="Currency 5 5 5 4" xfId="10132" xr:uid="{3F3532AF-B532-467E-93F9-FC85EF94B95C}"/>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3A2AB6ED-AED5-4670-9214-BC0B9F142302}"/>
    <cellStyle name="Currency 5 5 6 2 3" xfId="12690" xr:uid="{3084A607-EACB-4220-8900-B07A5967DCC6}"/>
    <cellStyle name="Currency 5 5 6 3" xfId="6313" xr:uid="{00000000-0005-0000-0000-0000630D0000}"/>
    <cellStyle name="Currency 5 5 6 3 2" xfId="14763" xr:uid="{8749FB35-8481-4207-9FE2-92F341ABA436}"/>
    <cellStyle name="Currency 5 5 6 4" xfId="10545" xr:uid="{6B8E8D76-CE90-4A97-BF23-C72AD5F32087}"/>
    <cellStyle name="Currency 5 5 7" xfId="2442" xr:uid="{00000000-0005-0000-0000-0000640D0000}"/>
    <cellStyle name="Currency 5 5 7 2" xfId="6726" xr:uid="{00000000-0005-0000-0000-0000650D0000}"/>
    <cellStyle name="Currency 5 5 7 2 2" xfId="15176" xr:uid="{05248D28-E6B0-4065-93CF-E034429D63F2}"/>
    <cellStyle name="Currency 5 5 7 3" xfId="10958" xr:uid="{F57785D1-2825-45E2-A251-3EBCE02B38EA}"/>
    <cellStyle name="Currency 5 5 8" xfId="2739" xr:uid="{00000000-0005-0000-0000-0000660D0000}"/>
    <cellStyle name="Currency 5 5 9" xfId="2820" xr:uid="{00000000-0005-0000-0000-0000670D0000}"/>
    <cellStyle name="Currency 5 5 9 2" xfId="7043" xr:uid="{00000000-0005-0000-0000-0000680D0000}"/>
    <cellStyle name="Currency 5 5 9 2 2" xfId="15493" xr:uid="{3789151E-18A3-4857-80AC-7065F596AE16}"/>
    <cellStyle name="Currency 5 5 9 3" xfId="11275" xr:uid="{24729047-E749-474F-B49A-B6E613484705}"/>
    <cellStyle name="Currency 5 6" xfId="221" xr:uid="{00000000-0005-0000-0000-0000690D0000}"/>
    <cellStyle name="Currency 5 6 10" xfId="8894" xr:uid="{22C16AB9-83F9-47E2-8CFD-4C6B26E0CD78}"/>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BD2C52AA-E819-4A88-B1DA-92678E4BF18A}"/>
    <cellStyle name="Currency 5 6 2 2 3" xfId="11453" xr:uid="{396C8E80-F9AD-434E-9A0D-30DFC030AAF9}"/>
    <cellStyle name="Currency 5 6 2 3" xfId="5076" xr:uid="{00000000-0005-0000-0000-00006D0D0000}"/>
    <cellStyle name="Currency 5 6 2 3 2" xfId="13526" xr:uid="{4E23A8B2-626C-4C4C-9B1D-7B2C4E6E2357}"/>
    <cellStyle name="Currency 5 6 2 4" xfId="9308" xr:uid="{B57C2FDD-8129-4463-863A-4F186296E6D0}"/>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839D6110-0134-4D52-9292-B18D51728DCD}"/>
    <cellStyle name="Currency 5 6 3 2 3" xfId="11866" xr:uid="{29FF3FA2-8FE4-4127-9EC7-0324FE57574C}"/>
    <cellStyle name="Currency 5 6 3 3" xfId="5489" xr:uid="{00000000-0005-0000-0000-0000710D0000}"/>
    <cellStyle name="Currency 5 6 3 3 2" xfId="13939" xr:uid="{072E14DF-B5C6-4800-822A-7554D6B9ADA0}"/>
    <cellStyle name="Currency 5 6 3 4" xfId="9721" xr:uid="{B5EED243-87B9-4018-852F-06DB463D941A}"/>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84555F8B-9A0C-4FD7-B1DD-FDD6FFBC5BF5}"/>
    <cellStyle name="Currency 5 6 4 2 3" xfId="12279" xr:uid="{3081895A-2196-4F2E-B73A-613A2EB6D638}"/>
    <cellStyle name="Currency 5 6 4 3" xfId="5902" xr:uid="{00000000-0005-0000-0000-0000750D0000}"/>
    <cellStyle name="Currency 5 6 4 3 2" xfId="14352" xr:uid="{CF237D67-68C3-4BCB-89D1-5A82B2B13713}"/>
    <cellStyle name="Currency 5 6 4 4" xfId="10134" xr:uid="{7CDFFCF2-160F-47C6-9C1C-3F85C73F6A09}"/>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92BE08D3-54B0-4295-8040-51F3EC05127A}"/>
    <cellStyle name="Currency 5 6 5 2 3" xfId="12692" xr:uid="{3F26DD3F-92DA-4AA0-BA3F-EC3737AB2008}"/>
    <cellStyle name="Currency 5 6 5 3" xfId="6315" xr:uid="{00000000-0005-0000-0000-0000790D0000}"/>
    <cellStyle name="Currency 5 6 5 3 2" xfId="14765" xr:uid="{E264BA5A-B3D9-4499-81E5-E3073646FF68}"/>
    <cellStyle name="Currency 5 6 5 4" xfId="10547" xr:uid="{1BF00F67-4ACF-482D-AE31-82F91DACF08D}"/>
    <cellStyle name="Currency 5 6 6" xfId="2444" xr:uid="{00000000-0005-0000-0000-00007A0D0000}"/>
    <cellStyle name="Currency 5 6 6 2" xfId="6728" xr:uid="{00000000-0005-0000-0000-00007B0D0000}"/>
    <cellStyle name="Currency 5 6 6 2 2" xfId="15178" xr:uid="{85DD7F2F-D7FE-48FA-B8EB-FF016CF92CDA}"/>
    <cellStyle name="Currency 5 6 6 3" xfId="10960" xr:uid="{878538DF-83BA-403F-9559-C48E192BC8B6}"/>
    <cellStyle name="Currency 5 6 7" xfId="2741" xr:uid="{00000000-0005-0000-0000-00007C0D0000}"/>
    <cellStyle name="Currency 5 6 8" xfId="2822" xr:uid="{00000000-0005-0000-0000-00007D0D0000}"/>
    <cellStyle name="Currency 5 6 8 2" xfId="7045" xr:uid="{00000000-0005-0000-0000-00007E0D0000}"/>
    <cellStyle name="Currency 5 6 8 2 2" xfId="15495" xr:uid="{C7C0BB0D-CD58-4EB1-9A81-AEA8E3E45598}"/>
    <cellStyle name="Currency 5 6 8 3" xfId="11277" xr:uid="{0BEEB1C2-757A-400A-BC46-3DA93C0CE17A}"/>
    <cellStyle name="Currency 5 6 9" xfId="4662" xr:uid="{00000000-0005-0000-0000-00007F0D0000}"/>
    <cellStyle name="Currency 5 6 9 2" xfId="13112" xr:uid="{95181692-6FC8-4F8C-A480-995BCCAD9C80}"/>
    <cellStyle name="Currency 5 7" xfId="222" xr:uid="{00000000-0005-0000-0000-0000800D0000}"/>
    <cellStyle name="Currency 5 7 10" xfId="8895" xr:uid="{911BEF74-1679-4131-AD64-E5767611E29F}"/>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24F4D328-D2C4-413C-8E43-56567AEF188E}"/>
    <cellStyle name="Currency 5 7 2 2 3" xfId="11454" xr:uid="{73CB0F01-6897-4EDA-9CD5-A67DCD79076A}"/>
    <cellStyle name="Currency 5 7 2 3" xfId="5077" xr:uid="{00000000-0005-0000-0000-0000840D0000}"/>
    <cellStyle name="Currency 5 7 2 3 2" xfId="13527" xr:uid="{BED35E0C-9ED2-4433-A5DD-5F64D5B93C80}"/>
    <cellStyle name="Currency 5 7 2 4" xfId="9309" xr:uid="{7F006E1C-CBF8-431D-9852-1B4392A1683B}"/>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CEDB15EB-9050-45FA-A43D-609F8AC6F88A}"/>
    <cellStyle name="Currency 5 7 3 2 3" xfId="11867" xr:uid="{B22050A8-11FC-4DF0-A216-971AD78E62DC}"/>
    <cellStyle name="Currency 5 7 3 3" xfId="5490" xr:uid="{00000000-0005-0000-0000-0000880D0000}"/>
    <cellStyle name="Currency 5 7 3 3 2" xfId="13940" xr:uid="{119C991F-EBF3-499D-88E0-9F41BA71B085}"/>
    <cellStyle name="Currency 5 7 3 4" xfId="9722" xr:uid="{CBE141F1-B02C-4D97-9F60-E5F2C76B4DB6}"/>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1F3E42A1-9469-4115-8F50-DFD229FA80D6}"/>
    <cellStyle name="Currency 5 7 4 2 3" xfId="12280" xr:uid="{D6C8EB86-E37E-4EE9-8718-E2F2DF8FB014}"/>
    <cellStyle name="Currency 5 7 4 3" xfId="5903" xr:uid="{00000000-0005-0000-0000-00008C0D0000}"/>
    <cellStyle name="Currency 5 7 4 3 2" xfId="14353" xr:uid="{E522D1EA-46DC-41E0-98A9-4ED1FDD7CF97}"/>
    <cellStyle name="Currency 5 7 4 4" xfId="10135" xr:uid="{B4885CF0-1CAA-43C0-8BAE-4C017F292A35}"/>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7C71AB31-F966-4DA8-96C0-72D3147D6EFE}"/>
    <cellStyle name="Currency 5 7 5 2 3" xfId="12693" xr:uid="{65A8E09E-5AAD-4561-8E92-88635F6FBFE6}"/>
    <cellStyle name="Currency 5 7 5 3" xfId="6316" xr:uid="{00000000-0005-0000-0000-0000900D0000}"/>
    <cellStyle name="Currency 5 7 5 3 2" xfId="14766" xr:uid="{C2F48F02-E9A9-4F6B-B6B5-A3AEB896FE75}"/>
    <cellStyle name="Currency 5 7 5 4" xfId="10548" xr:uid="{27B1BFD2-5A4D-4EAB-84D9-A49F24BB4898}"/>
    <cellStyle name="Currency 5 7 6" xfId="2445" xr:uid="{00000000-0005-0000-0000-0000910D0000}"/>
    <cellStyle name="Currency 5 7 6 2" xfId="6729" xr:uid="{00000000-0005-0000-0000-0000920D0000}"/>
    <cellStyle name="Currency 5 7 6 2 2" xfId="15179" xr:uid="{7AC30B2B-B90C-494C-A440-83043C2C4A24}"/>
    <cellStyle name="Currency 5 7 6 3" xfId="10961" xr:uid="{DC166E05-9E6F-4B32-9A5A-3A18C4DF31DE}"/>
    <cellStyle name="Currency 5 7 7" xfId="2742" xr:uid="{00000000-0005-0000-0000-0000930D0000}"/>
    <cellStyle name="Currency 5 7 8" xfId="2823" xr:uid="{00000000-0005-0000-0000-0000940D0000}"/>
    <cellStyle name="Currency 5 7 8 2" xfId="7046" xr:uid="{00000000-0005-0000-0000-0000950D0000}"/>
    <cellStyle name="Currency 5 7 8 2 2" xfId="15496" xr:uid="{ACF1B9AD-576F-41B2-822D-E58F0A58C443}"/>
    <cellStyle name="Currency 5 7 8 3" xfId="11278" xr:uid="{06A025C4-D1FB-4DD2-8289-5F4882477F91}"/>
    <cellStyle name="Currency 5 7 9" xfId="4663" xr:uid="{00000000-0005-0000-0000-0000960D0000}"/>
    <cellStyle name="Currency 5 7 9 2" xfId="13113" xr:uid="{D693655A-C411-4235-B716-44F5912DF05C}"/>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C68F65B9-DA90-4B7B-AD98-E02FDE8E919B}"/>
    <cellStyle name="Normal 12 10 3" xfId="10962" xr:uid="{945FDF4B-48D5-4AA2-89F7-874220B0B140}"/>
    <cellStyle name="Normal 12 11" xfId="4664" xr:uid="{00000000-0005-0000-0000-0000CC0D0000}"/>
    <cellStyle name="Normal 12 11 2" xfId="13114" xr:uid="{61732133-A14C-45A0-9DFA-A05CED264DF6}"/>
    <cellStyle name="Normal 12 12" xfId="8896" xr:uid="{82AAE102-1083-4706-9898-78903D95A628}"/>
    <cellStyle name="Normal 12 2" xfId="260" xr:uid="{00000000-0005-0000-0000-0000CD0D0000}"/>
    <cellStyle name="Normal 12 2 10" xfId="8897" xr:uid="{67CA7BD0-C73B-41EB-9F04-E21B6CBCBCF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004CC109-200D-4DCE-BF59-DADEE90C5A64}"/>
    <cellStyle name="Normal 12 2 2 2 2 2 3" xfId="11458" xr:uid="{565452A9-2FC4-4FDA-9FE3-0EC3E7C41CC1}"/>
    <cellStyle name="Normal 12 2 2 2 2 3" xfId="5081" xr:uid="{00000000-0005-0000-0000-0000D30D0000}"/>
    <cellStyle name="Normal 12 2 2 2 2 3 2" xfId="13531" xr:uid="{B46C85A3-064B-41EA-B2AB-CCCFC73F8451}"/>
    <cellStyle name="Normal 12 2 2 2 2 4" xfId="9313" xr:uid="{441C46EC-21ED-4DFB-A56A-AB62862438A3}"/>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DD4FDF1B-8DC0-477A-9A4D-7CB8F6ECE5C0}"/>
    <cellStyle name="Normal 12 2 2 2 3 2 3" xfId="11871" xr:uid="{774CD983-A8B2-4730-AAB2-FB09B6D7012A}"/>
    <cellStyle name="Normal 12 2 2 2 3 3" xfId="5494" xr:uid="{00000000-0005-0000-0000-0000D70D0000}"/>
    <cellStyle name="Normal 12 2 2 2 3 3 2" xfId="13944" xr:uid="{DCD7C2C0-6A65-4424-BE14-8DA316D44AB4}"/>
    <cellStyle name="Normal 12 2 2 2 3 4" xfId="9726" xr:uid="{E7DAD118-5203-46F7-9B77-FA1C03409BA5}"/>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15D87E3D-50CE-4DF6-88D7-45C504F2529D}"/>
    <cellStyle name="Normal 12 2 2 2 4 2 3" xfId="12284" xr:uid="{B15B931D-6BD4-476C-AC59-036D6DC05AC4}"/>
    <cellStyle name="Normal 12 2 2 2 4 3" xfId="5907" xr:uid="{00000000-0005-0000-0000-0000DB0D0000}"/>
    <cellStyle name="Normal 12 2 2 2 4 3 2" xfId="14357" xr:uid="{F5167BD9-8362-410F-BB16-DBFED48FC6C3}"/>
    <cellStyle name="Normal 12 2 2 2 4 4" xfId="10139" xr:uid="{C0AEBD91-645C-40D0-ADDD-92BF62BEE26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AB472298-4D43-4017-AE02-433900835271}"/>
    <cellStyle name="Normal 12 2 2 2 5 2 3" xfId="12697" xr:uid="{D0F65071-1F1A-436D-9E67-180AEF3EB409}"/>
    <cellStyle name="Normal 12 2 2 2 5 3" xfId="6320" xr:uid="{00000000-0005-0000-0000-0000DF0D0000}"/>
    <cellStyle name="Normal 12 2 2 2 5 3 2" xfId="14770" xr:uid="{9A189CC9-EF61-4946-80F9-E219093191F1}"/>
    <cellStyle name="Normal 12 2 2 2 5 4" xfId="10552" xr:uid="{BAA3E8D2-E383-4E27-948C-2F82FDF6D15C}"/>
    <cellStyle name="Normal 12 2 2 2 6" xfId="2450" xr:uid="{00000000-0005-0000-0000-0000E00D0000}"/>
    <cellStyle name="Normal 12 2 2 2 6 2" xfId="6733" xr:uid="{00000000-0005-0000-0000-0000E10D0000}"/>
    <cellStyle name="Normal 12 2 2 2 6 2 2" xfId="15183" xr:uid="{1B4EC4CC-05DD-49BB-9CDA-CE24E2D54A2D}"/>
    <cellStyle name="Normal 12 2 2 2 6 3" xfId="10965" xr:uid="{2BCE13EA-349E-4D6F-959F-D329FBA8857D}"/>
    <cellStyle name="Normal 12 2 2 2 7" xfId="4667" xr:uid="{00000000-0005-0000-0000-0000E20D0000}"/>
    <cellStyle name="Normal 12 2 2 2 7 2" xfId="13117" xr:uid="{F5FD1910-1FBA-4EC0-9033-BB1A104A01AE}"/>
    <cellStyle name="Normal 12 2 2 2 8" xfId="8899" xr:uid="{EB904CAE-A870-42A2-9409-E339C6F89199}"/>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6D513377-0704-41AD-BDFC-BD003797C0E4}"/>
    <cellStyle name="Normal 12 2 2 3 2 3" xfId="11457" xr:uid="{2BB2D6EB-F240-4CBA-8BDC-506BCD9F8C5D}"/>
    <cellStyle name="Normal 12 2 2 3 3" xfId="5080" xr:uid="{00000000-0005-0000-0000-0000E60D0000}"/>
    <cellStyle name="Normal 12 2 2 3 3 2" xfId="13530" xr:uid="{BD1F0D4D-C912-4EF9-901F-15B263701F13}"/>
    <cellStyle name="Normal 12 2 2 3 4" xfId="9312" xr:uid="{0E43F4A7-498E-4177-9A66-1F6895B1B28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A3B6F7E2-F94E-4213-B5E8-364EFFC8F150}"/>
    <cellStyle name="Normal 12 2 2 4 2 3" xfId="11870" xr:uid="{7BF72F66-AD33-40C7-9880-7B0EFC2A6C52}"/>
    <cellStyle name="Normal 12 2 2 4 3" xfId="5493" xr:uid="{00000000-0005-0000-0000-0000EA0D0000}"/>
    <cellStyle name="Normal 12 2 2 4 3 2" xfId="13943" xr:uid="{AFE765EB-6111-401B-B89D-727555867D99}"/>
    <cellStyle name="Normal 12 2 2 4 4" xfId="9725" xr:uid="{AA7B6D0D-6095-4811-B1BB-C28B31286830}"/>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1E93425-7AAF-494E-972F-5DBD5025CFDA}"/>
    <cellStyle name="Normal 12 2 2 5 2 3" xfId="12283" xr:uid="{A86533D5-A6C9-49F4-97CE-32A1D0D87843}"/>
    <cellStyle name="Normal 12 2 2 5 3" xfId="5906" xr:uid="{00000000-0005-0000-0000-0000EE0D0000}"/>
    <cellStyle name="Normal 12 2 2 5 3 2" xfId="14356" xr:uid="{76CC3337-A8AE-4298-B170-263C6831B1AD}"/>
    <cellStyle name="Normal 12 2 2 5 4" xfId="10138" xr:uid="{3AFA8790-3C81-41BC-992E-9B293D96EFBF}"/>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2662972D-7022-4B62-A237-D5D88E83CC31}"/>
    <cellStyle name="Normal 12 2 2 6 2 3" xfId="12696" xr:uid="{5E57F7AC-6D51-43C9-BBBC-01C6A5BBD95C}"/>
    <cellStyle name="Normal 12 2 2 6 3" xfId="6319" xr:uid="{00000000-0005-0000-0000-0000F20D0000}"/>
    <cellStyle name="Normal 12 2 2 6 3 2" xfId="14769" xr:uid="{DFE51AF7-85B6-4238-A442-39E9D388E5B4}"/>
    <cellStyle name="Normal 12 2 2 6 4" xfId="10551" xr:uid="{E290E61A-0E62-49EF-BCD8-BF9D3FA75079}"/>
    <cellStyle name="Normal 12 2 2 7" xfId="2449" xr:uid="{00000000-0005-0000-0000-0000F30D0000}"/>
    <cellStyle name="Normal 12 2 2 7 2" xfId="6732" xr:uid="{00000000-0005-0000-0000-0000F40D0000}"/>
    <cellStyle name="Normal 12 2 2 7 2 2" xfId="15182" xr:uid="{AD6AFF65-D7DE-4AD4-9345-E597B665C564}"/>
    <cellStyle name="Normal 12 2 2 7 3" xfId="10964" xr:uid="{5C74F2EF-7B00-4FD6-9D0F-46701C22315E}"/>
    <cellStyle name="Normal 12 2 2 8" xfId="4666" xr:uid="{00000000-0005-0000-0000-0000F50D0000}"/>
    <cellStyle name="Normal 12 2 2 8 2" xfId="13116" xr:uid="{EF57DA66-7BE3-48FD-B0B9-499C158A8448}"/>
    <cellStyle name="Normal 12 2 2 9" xfId="8898" xr:uid="{518D6AFB-A5C9-4B53-A1AD-2B0D30EC4266}"/>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11046F97-3844-4D3B-AE63-0D134C16D5E8}"/>
    <cellStyle name="Normal 12 2 3 2 2 3" xfId="11459" xr:uid="{4B4159FD-B3CF-482D-9620-BDB64AB1A185}"/>
    <cellStyle name="Normal 12 2 3 2 3" xfId="5082" xr:uid="{00000000-0005-0000-0000-0000FA0D0000}"/>
    <cellStyle name="Normal 12 2 3 2 3 2" xfId="13532" xr:uid="{B8385134-C6E6-40DE-B90E-875B989EABFF}"/>
    <cellStyle name="Normal 12 2 3 2 4" xfId="9314" xr:uid="{0E0E8CD7-50A5-4E19-8F26-60269B5D085D}"/>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52D7ECE3-533F-4542-9EEF-B26E495040CF}"/>
    <cellStyle name="Normal 12 2 3 3 2 3" xfId="11872" xr:uid="{2421BC1B-C53C-4581-A90F-55C5DC2B69B3}"/>
    <cellStyle name="Normal 12 2 3 3 3" xfId="5495" xr:uid="{00000000-0005-0000-0000-0000FE0D0000}"/>
    <cellStyle name="Normal 12 2 3 3 3 2" xfId="13945" xr:uid="{B2B3F9AF-4FB3-4D52-9BEB-CF36C603C295}"/>
    <cellStyle name="Normal 12 2 3 3 4" xfId="9727" xr:uid="{14254A0C-3132-4036-9B6F-4F2735807F9C}"/>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B791EEFB-623D-45D3-BC37-874EFA1F0DB9}"/>
    <cellStyle name="Normal 12 2 3 4 2 3" xfId="12285" xr:uid="{937008F6-AF27-423F-9B86-D8E051FD6C0C}"/>
    <cellStyle name="Normal 12 2 3 4 3" xfId="5908" xr:uid="{00000000-0005-0000-0000-0000020E0000}"/>
    <cellStyle name="Normal 12 2 3 4 3 2" xfId="14358" xr:uid="{C3E5AF1D-DFA5-49E8-952B-D2F725539496}"/>
    <cellStyle name="Normal 12 2 3 4 4" xfId="10140" xr:uid="{C4CCB197-07B9-4832-8501-420BCBB0B3D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D2B6EA14-3687-4D1A-A857-D8A90AE4FF9C}"/>
    <cellStyle name="Normal 12 2 3 5 2 3" xfId="12698" xr:uid="{EB724A34-1853-47FE-80AA-89B3A7408279}"/>
    <cellStyle name="Normal 12 2 3 5 3" xfId="6321" xr:uid="{00000000-0005-0000-0000-0000060E0000}"/>
    <cellStyle name="Normal 12 2 3 5 3 2" xfId="14771" xr:uid="{523E351B-A4C1-4DB2-AC0D-DAF7C315F3B1}"/>
    <cellStyle name="Normal 12 2 3 5 4" xfId="10553" xr:uid="{04DC8132-399E-43CA-BA41-E15623821F61}"/>
    <cellStyle name="Normal 12 2 3 6" xfId="2451" xr:uid="{00000000-0005-0000-0000-0000070E0000}"/>
    <cellStyle name="Normal 12 2 3 6 2" xfId="6734" xr:uid="{00000000-0005-0000-0000-0000080E0000}"/>
    <cellStyle name="Normal 12 2 3 6 2 2" xfId="15184" xr:uid="{45CA7F47-71FD-4494-8464-B9A4C00EBCF4}"/>
    <cellStyle name="Normal 12 2 3 6 3" xfId="10966" xr:uid="{38242AB0-E7D0-4AE5-8DA7-00B4551C29A1}"/>
    <cellStyle name="Normal 12 2 3 7" xfId="4668" xr:uid="{00000000-0005-0000-0000-0000090E0000}"/>
    <cellStyle name="Normal 12 2 3 7 2" xfId="13118" xr:uid="{67FE169C-C83B-4349-A59F-3B0AC75DD2AD}"/>
    <cellStyle name="Normal 12 2 3 8" xfId="8900" xr:uid="{4350AC3D-FFD0-40C5-871C-78C760D1F799}"/>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FE0E63B6-D5E4-4D60-A004-13391B620E2D}"/>
    <cellStyle name="Normal 12 2 4 2 3" xfId="11456" xr:uid="{7E3D8DAE-6041-443F-8F7B-C828C3457DCC}"/>
    <cellStyle name="Normal 12 2 4 3" xfId="5079" xr:uid="{00000000-0005-0000-0000-00000D0E0000}"/>
    <cellStyle name="Normal 12 2 4 3 2" xfId="13529" xr:uid="{AC758611-08CC-410B-BAD1-967C05EFB35F}"/>
    <cellStyle name="Normal 12 2 4 4" xfId="9311" xr:uid="{D5EC0DFF-E33C-4D69-862C-D19A5E07CBC4}"/>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F7DD0D2F-7281-406B-A087-17FFBC431E58}"/>
    <cellStyle name="Normal 12 2 5 2 3" xfId="11869" xr:uid="{DDD0146D-6215-4ADC-B0EA-59E39C1A9814}"/>
    <cellStyle name="Normal 12 2 5 3" xfId="5492" xr:uid="{00000000-0005-0000-0000-0000110E0000}"/>
    <cellStyle name="Normal 12 2 5 3 2" xfId="13942" xr:uid="{055009BD-DF86-4C8A-8C87-8460F5A194E7}"/>
    <cellStyle name="Normal 12 2 5 4" xfId="9724" xr:uid="{CCFC7C97-3224-4DEF-AC52-292E9011C265}"/>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9ABC1DC4-9E7E-4DFF-A7A7-275CBFCE4B87}"/>
    <cellStyle name="Normal 12 2 6 2 3" xfId="12282" xr:uid="{BD6474DC-021B-486F-BE13-7FDA1A9A1712}"/>
    <cellStyle name="Normal 12 2 6 3" xfId="5905" xr:uid="{00000000-0005-0000-0000-0000150E0000}"/>
    <cellStyle name="Normal 12 2 6 3 2" xfId="14355" xr:uid="{952979E5-6EB4-4D04-8999-93ED7DD2CF14}"/>
    <cellStyle name="Normal 12 2 6 4" xfId="10137" xr:uid="{F599C25C-9265-46F2-8C32-4509773FE876}"/>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4A6D3454-0B04-44A2-B53B-BF0D2B538697}"/>
    <cellStyle name="Normal 12 2 7 2 3" xfId="12695" xr:uid="{45338AF1-2302-4D6F-9828-0B1535B99FD3}"/>
    <cellStyle name="Normal 12 2 7 3" xfId="6318" xr:uid="{00000000-0005-0000-0000-0000190E0000}"/>
    <cellStyle name="Normal 12 2 7 3 2" xfId="14768" xr:uid="{B4A935F8-4048-414F-A1D2-EDDE7324B747}"/>
    <cellStyle name="Normal 12 2 7 4" xfId="10550" xr:uid="{E6625960-3F40-48F2-BABF-6249F1AB30C8}"/>
    <cellStyle name="Normal 12 2 8" xfId="2448" xr:uid="{00000000-0005-0000-0000-00001A0E0000}"/>
    <cellStyle name="Normal 12 2 8 2" xfId="6731" xr:uid="{00000000-0005-0000-0000-00001B0E0000}"/>
    <cellStyle name="Normal 12 2 8 2 2" xfId="15181" xr:uid="{F0F85A2A-8D96-4FE3-9C9B-3B8FC6B8A962}"/>
    <cellStyle name="Normal 12 2 8 3" xfId="10963" xr:uid="{8880DBAB-E7F5-4532-BD2C-A372518F39FC}"/>
    <cellStyle name="Normal 12 2 9" xfId="4665" xr:uid="{00000000-0005-0000-0000-00001C0E0000}"/>
    <cellStyle name="Normal 12 2 9 2" xfId="13115" xr:uid="{49DC0F5C-453D-4359-948A-A0BE98268238}"/>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84DAA269-6F57-4D7C-96C6-8187353A77B1}"/>
    <cellStyle name="Normal 12 3 2 2 2 3" xfId="11461" xr:uid="{15FA9136-68C3-4A64-B4DE-064D1156B552}"/>
    <cellStyle name="Normal 12 3 2 2 3" xfId="5084" xr:uid="{00000000-0005-0000-0000-0000220E0000}"/>
    <cellStyle name="Normal 12 3 2 2 3 2" xfId="13534" xr:uid="{0B5D4E2E-14E9-4230-8C03-4178E0A275CA}"/>
    <cellStyle name="Normal 12 3 2 2 4" xfId="9316" xr:uid="{B2ADD03C-852D-4DFD-829C-80B431F1368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76917BE2-7580-4911-B0B5-0CC432899EBC}"/>
    <cellStyle name="Normal 12 3 2 3 2 3" xfId="11874" xr:uid="{680CF29E-AF3F-4689-B475-5B9E32A18EEC}"/>
    <cellStyle name="Normal 12 3 2 3 3" xfId="5497" xr:uid="{00000000-0005-0000-0000-0000260E0000}"/>
    <cellStyle name="Normal 12 3 2 3 3 2" xfId="13947" xr:uid="{D22B6FEF-3809-45FE-B945-EC4476552089}"/>
    <cellStyle name="Normal 12 3 2 3 4" xfId="9729" xr:uid="{93A2A49E-B6BC-43F7-965A-F679AA40739D}"/>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3DA3406A-C224-43CE-BCCC-2B30258D1AF6}"/>
    <cellStyle name="Normal 12 3 2 4 2 3" xfId="12287" xr:uid="{C06D49D3-A8AD-4CBC-BF54-2E24E8E3C07D}"/>
    <cellStyle name="Normal 12 3 2 4 3" xfId="5910" xr:uid="{00000000-0005-0000-0000-00002A0E0000}"/>
    <cellStyle name="Normal 12 3 2 4 3 2" xfId="14360" xr:uid="{A457CC5A-1058-4F44-BC26-290A296D7F44}"/>
    <cellStyle name="Normal 12 3 2 4 4" xfId="10142" xr:uid="{0F74213A-B252-48CF-8F24-6DF8CF2DCA7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AE7F4677-CD1A-4E39-BB8B-8A43D741C451}"/>
    <cellStyle name="Normal 12 3 2 5 2 3" xfId="12700" xr:uid="{6A4B879B-4F09-4DEF-A5B1-A060651509D3}"/>
    <cellStyle name="Normal 12 3 2 5 3" xfId="6323" xr:uid="{00000000-0005-0000-0000-00002E0E0000}"/>
    <cellStyle name="Normal 12 3 2 5 3 2" xfId="14773" xr:uid="{592D81A6-BD0C-4BB1-A7BF-A5346691711C}"/>
    <cellStyle name="Normal 12 3 2 5 4" xfId="10555" xr:uid="{49D15B26-4817-4074-9525-ACD8A807FA1A}"/>
    <cellStyle name="Normal 12 3 2 6" xfId="2453" xr:uid="{00000000-0005-0000-0000-00002F0E0000}"/>
    <cellStyle name="Normal 12 3 2 6 2" xfId="6736" xr:uid="{00000000-0005-0000-0000-0000300E0000}"/>
    <cellStyle name="Normal 12 3 2 6 2 2" xfId="15186" xr:uid="{94C44A4A-6C67-4C77-BABE-E22CA5BA73CE}"/>
    <cellStyle name="Normal 12 3 2 6 3" xfId="10968" xr:uid="{B58D217D-8BE4-47FB-95AD-B91CCF11F2D6}"/>
    <cellStyle name="Normal 12 3 2 7" xfId="4670" xr:uid="{00000000-0005-0000-0000-0000310E0000}"/>
    <cellStyle name="Normal 12 3 2 7 2" xfId="13120" xr:uid="{28474567-DA5F-4B97-9B1E-1E5D099F1E05}"/>
    <cellStyle name="Normal 12 3 2 8" xfId="8902" xr:uid="{53295FA2-04C8-4539-9859-81740E0B8D7B}"/>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1B049D32-1EDB-4784-AAC2-BB9BDCCB4CCE}"/>
    <cellStyle name="Normal 12 3 3 2 3" xfId="11460" xr:uid="{E0B43D31-D9FD-497F-B94B-E4EA29B75330}"/>
    <cellStyle name="Normal 12 3 3 3" xfId="5083" xr:uid="{00000000-0005-0000-0000-0000350E0000}"/>
    <cellStyle name="Normal 12 3 3 3 2" xfId="13533" xr:uid="{F461EE63-95D7-4537-BE6A-C3754F8C3CB2}"/>
    <cellStyle name="Normal 12 3 3 4" xfId="9315" xr:uid="{101CE892-FCA1-4590-81CC-2298483F0A62}"/>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C9A2275D-858A-4ED9-8466-70E9CEAD962C}"/>
    <cellStyle name="Normal 12 3 4 2 3" xfId="11873" xr:uid="{8173D3A0-18D4-41E0-B3A9-559C19F912A3}"/>
    <cellStyle name="Normal 12 3 4 3" xfId="5496" xr:uid="{00000000-0005-0000-0000-0000390E0000}"/>
    <cellStyle name="Normal 12 3 4 3 2" xfId="13946" xr:uid="{6C281C56-D002-4536-ACBE-E86AA895E5FC}"/>
    <cellStyle name="Normal 12 3 4 4" xfId="9728" xr:uid="{89EAE728-356E-43D6-8562-5F24A1F1F764}"/>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7D61B6DF-2837-4EAF-92ED-347185639662}"/>
    <cellStyle name="Normal 12 3 5 2 3" xfId="12286" xr:uid="{9999D621-45B9-4ACB-98D0-8E7B67AF3701}"/>
    <cellStyle name="Normal 12 3 5 3" xfId="5909" xr:uid="{00000000-0005-0000-0000-00003D0E0000}"/>
    <cellStyle name="Normal 12 3 5 3 2" xfId="14359" xr:uid="{98A4A033-2594-4923-BC86-1FB5B4DDE66E}"/>
    <cellStyle name="Normal 12 3 5 4" xfId="10141" xr:uid="{107A096A-C91A-4C25-8EE8-039AA64A08CE}"/>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EC155821-4C53-4DB7-BA73-1D3C7796F825}"/>
    <cellStyle name="Normal 12 3 6 2 3" xfId="12699" xr:uid="{9AF49075-6767-4F69-A2E8-89EB9E3CE10A}"/>
    <cellStyle name="Normal 12 3 6 3" xfId="6322" xr:uid="{00000000-0005-0000-0000-0000410E0000}"/>
    <cellStyle name="Normal 12 3 6 3 2" xfId="14772" xr:uid="{5D4C759F-8FA4-4C7F-95EA-359A678C01A0}"/>
    <cellStyle name="Normal 12 3 6 4" xfId="10554" xr:uid="{D2A9F70D-EFDD-4885-A3C7-3C809377A2AD}"/>
    <cellStyle name="Normal 12 3 7" xfId="2452" xr:uid="{00000000-0005-0000-0000-0000420E0000}"/>
    <cellStyle name="Normal 12 3 7 2" xfId="6735" xr:uid="{00000000-0005-0000-0000-0000430E0000}"/>
    <cellStyle name="Normal 12 3 7 2 2" xfId="15185" xr:uid="{5B2FE399-193D-4318-913C-19BF5321B79C}"/>
    <cellStyle name="Normal 12 3 7 3" xfId="10967" xr:uid="{D8768111-B6DE-4C30-A47C-4750A1D4F490}"/>
    <cellStyle name="Normal 12 3 8" xfId="4669" xr:uid="{00000000-0005-0000-0000-0000440E0000}"/>
    <cellStyle name="Normal 12 3 8 2" xfId="13119" xr:uid="{5D541F97-EEB8-4CE8-9244-5A0A795B530D}"/>
    <cellStyle name="Normal 12 3 9" xfId="8901" xr:uid="{A9023B79-858E-4AB3-9951-82FF38BCDA37}"/>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6C190D93-35C3-4CC7-A4A3-E68FCC7DDA24}"/>
    <cellStyle name="Normal 12 4 2 2 3" xfId="11462" xr:uid="{C0EADB62-7BCA-42E1-A8BF-6FD85B503552}"/>
    <cellStyle name="Normal 12 4 2 3" xfId="5085" xr:uid="{00000000-0005-0000-0000-0000490E0000}"/>
    <cellStyle name="Normal 12 4 2 3 2" xfId="13535" xr:uid="{6BAF86F7-2652-47C7-A424-D888997E566D}"/>
    <cellStyle name="Normal 12 4 2 4" xfId="9317" xr:uid="{EEE03A79-0374-4FF4-BF18-1D66EBA9F0CB}"/>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1D37D9D7-E406-4875-B24E-B0BAA6A4E7BC}"/>
    <cellStyle name="Normal 12 4 3 2 3" xfId="11875" xr:uid="{0550D75A-C6B0-4508-8DD8-3612437853F5}"/>
    <cellStyle name="Normal 12 4 3 3" xfId="5498" xr:uid="{00000000-0005-0000-0000-00004D0E0000}"/>
    <cellStyle name="Normal 12 4 3 3 2" xfId="13948" xr:uid="{5A49EA5D-F060-4BCA-B4F9-47F4F49E84CD}"/>
    <cellStyle name="Normal 12 4 3 4" xfId="9730" xr:uid="{CB5F561D-C2BB-4239-922C-98B7860C044F}"/>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A52A612C-0285-4D2F-8954-04FCBFD15A1B}"/>
    <cellStyle name="Normal 12 4 4 2 3" xfId="12288" xr:uid="{6AD400E2-0392-4744-AE8A-05B1597B736B}"/>
    <cellStyle name="Normal 12 4 4 3" xfId="5911" xr:uid="{00000000-0005-0000-0000-0000510E0000}"/>
    <cellStyle name="Normal 12 4 4 3 2" xfId="14361" xr:uid="{B37961E7-D760-4850-A0B8-0C06921E08D0}"/>
    <cellStyle name="Normal 12 4 4 4" xfId="10143" xr:uid="{D69ED476-F003-40B7-B304-D744FFF1C688}"/>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93673D91-8C4C-4C8A-BDA3-EC968D320BA2}"/>
    <cellStyle name="Normal 12 4 5 2 3" xfId="12701" xr:uid="{DB205E5D-E628-497A-B8B9-FD790DA8ED4A}"/>
    <cellStyle name="Normal 12 4 5 3" xfId="6324" xr:uid="{00000000-0005-0000-0000-0000550E0000}"/>
    <cellStyle name="Normal 12 4 5 3 2" xfId="14774" xr:uid="{4056435F-3587-4EBA-B07C-D15DC146674A}"/>
    <cellStyle name="Normal 12 4 5 4" xfId="10556" xr:uid="{C50444A6-AAF9-4D1C-8ACD-51EB2C665A3D}"/>
    <cellStyle name="Normal 12 4 6" xfId="2454" xr:uid="{00000000-0005-0000-0000-0000560E0000}"/>
    <cellStyle name="Normal 12 4 6 2" xfId="6737" xr:uid="{00000000-0005-0000-0000-0000570E0000}"/>
    <cellStyle name="Normal 12 4 6 2 2" xfId="15187" xr:uid="{9BCFEF26-DDD4-461A-815E-2C0AE4CC5116}"/>
    <cellStyle name="Normal 12 4 6 3" xfId="10969" xr:uid="{4B21D4BB-433B-463F-AA6D-93A1EB2D4176}"/>
    <cellStyle name="Normal 12 4 7" xfId="4671" xr:uid="{00000000-0005-0000-0000-0000580E0000}"/>
    <cellStyle name="Normal 12 4 7 2" xfId="13121" xr:uid="{13CBB799-C5C6-4A99-8494-60381A3C2725}"/>
    <cellStyle name="Normal 12 4 8" xfId="8903" xr:uid="{D832E3F6-6F63-4E54-92C7-4D7B232233BE}"/>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0928969B-2DC7-4D7A-932B-3A91A818790D}"/>
    <cellStyle name="Normal 12 6 2 3" xfId="11455" xr:uid="{6AB9CA4D-9647-4910-B70D-877719EA1AE7}"/>
    <cellStyle name="Normal 12 6 3" xfId="5078" xr:uid="{00000000-0005-0000-0000-00005D0E0000}"/>
    <cellStyle name="Normal 12 6 3 2" xfId="13528" xr:uid="{AB2395F2-834F-40A4-B5C6-96CAACE4B856}"/>
    <cellStyle name="Normal 12 6 4" xfId="9310" xr:uid="{CCD8E6BF-EA0A-425D-9732-AEB9B9125065}"/>
    <cellStyle name="Normal 12 7" xfId="1183" xr:uid="{00000000-0005-0000-0000-00005E0E0000}"/>
    <cellStyle name="Normal 12 7 2" xfId="3414" xr:uid="{00000000-0005-0000-0000-00005F0E0000}"/>
    <cellStyle name="Normal 12 7 2 2" xfId="7636" xr:uid="{00000000-0005-0000-0000-0000600E0000}"/>
    <cellStyle name="Normal 12 7 2 2 2" xfId="16086" xr:uid="{19C604CE-5A18-4847-9CB1-A623582F4894}"/>
    <cellStyle name="Normal 12 7 2 3" xfId="11868" xr:uid="{EDFDDF94-E5D1-4055-8B1E-9C8D1A70727A}"/>
    <cellStyle name="Normal 12 7 3" xfId="5491" xr:uid="{00000000-0005-0000-0000-0000610E0000}"/>
    <cellStyle name="Normal 12 7 3 2" xfId="13941" xr:uid="{FF645791-9211-4878-AC83-A4CB5DD9671A}"/>
    <cellStyle name="Normal 12 7 4" xfId="9723" xr:uid="{5396AB6F-6B7A-4D36-9656-BCFD6D96D3F8}"/>
    <cellStyle name="Normal 12 8" xfId="1597" xr:uid="{00000000-0005-0000-0000-0000620E0000}"/>
    <cellStyle name="Normal 12 8 2" xfId="3827" xr:uid="{00000000-0005-0000-0000-0000630E0000}"/>
    <cellStyle name="Normal 12 8 2 2" xfId="8049" xr:uid="{00000000-0005-0000-0000-0000640E0000}"/>
    <cellStyle name="Normal 12 8 2 2 2" xfId="16499" xr:uid="{217B80C8-2274-489D-811D-523FAFDD3648}"/>
    <cellStyle name="Normal 12 8 2 3" xfId="12281" xr:uid="{93DEC543-E9BA-43FC-8CF4-BE294BDBB4DE}"/>
    <cellStyle name="Normal 12 8 3" xfId="5904" xr:uid="{00000000-0005-0000-0000-0000650E0000}"/>
    <cellStyle name="Normal 12 8 3 2" xfId="14354" xr:uid="{8C60B6D7-550D-4CA1-BE1B-3EF7A9C8E3E7}"/>
    <cellStyle name="Normal 12 8 4" xfId="10136" xr:uid="{3F583FB8-8D1C-4702-BA38-5AE0AF678186}"/>
    <cellStyle name="Normal 12 9" xfId="2011" xr:uid="{00000000-0005-0000-0000-0000660E0000}"/>
    <cellStyle name="Normal 12 9 2" xfId="4240" xr:uid="{00000000-0005-0000-0000-0000670E0000}"/>
    <cellStyle name="Normal 12 9 2 2" xfId="8462" xr:uid="{00000000-0005-0000-0000-0000680E0000}"/>
    <cellStyle name="Normal 12 9 2 2 2" xfId="16912" xr:uid="{E28C9FAE-2005-4896-B1EC-A0EC8A842401}"/>
    <cellStyle name="Normal 12 9 2 3" xfId="12694" xr:uid="{780F58C4-D842-4706-9B4A-E5822EFAB6CC}"/>
    <cellStyle name="Normal 12 9 3" xfId="6317" xr:uid="{00000000-0005-0000-0000-0000690E0000}"/>
    <cellStyle name="Normal 12 9 3 2" xfId="14767" xr:uid="{DD330682-A4B0-4365-8F0B-56567D9093CB}"/>
    <cellStyle name="Normal 12 9 4" xfId="10549" xr:uid="{4D8A2045-F3C9-4826-B076-1D246664418D}"/>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2FF7C9F3-FC8B-4857-BB17-62FB1A3FD4ED}"/>
    <cellStyle name="Normal 14 2 2 3" xfId="11463" xr:uid="{03C60C69-0278-41ED-9A59-1CC71A64ADBD}"/>
    <cellStyle name="Normal 14 2 3" xfId="5086" xr:uid="{00000000-0005-0000-0000-0000700E0000}"/>
    <cellStyle name="Normal 14 2 3 2" xfId="13536" xr:uid="{83E5BBBB-4ECB-446C-B201-EA8E42221FDE}"/>
    <cellStyle name="Normal 14 2 4" xfId="9318" xr:uid="{D048B7BC-DFAE-485B-81EB-04500FAC5328}"/>
    <cellStyle name="Normal 14 3" xfId="1191" xr:uid="{00000000-0005-0000-0000-0000710E0000}"/>
    <cellStyle name="Normal 14 3 2" xfId="3422" xr:uid="{00000000-0005-0000-0000-0000720E0000}"/>
    <cellStyle name="Normal 14 3 2 2" xfId="7644" xr:uid="{00000000-0005-0000-0000-0000730E0000}"/>
    <cellStyle name="Normal 14 3 2 2 2" xfId="16094" xr:uid="{A81FAA1F-5A3A-44BA-BF2B-9ABCC725CF79}"/>
    <cellStyle name="Normal 14 3 2 3" xfId="11876" xr:uid="{40D088B3-8641-406E-9249-748FB5720204}"/>
    <cellStyle name="Normal 14 3 3" xfId="5499" xr:uid="{00000000-0005-0000-0000-0000740E0000}"/>
    <cellStyle name="Normal 14 3 3 2" xfId="13949" xr:uid="{98F92DE3-6AF3-417B-B934-3E342E2C2AEA}"/>
    <cellStyle name="Normal 14 3 4" xfId="9731" xr:uid="{8EA5A0C6-BA02-4252-83F9-DCB252F3420B}"/>
    <cellStyle name="Normal 14 4" xfId="1605" xr:uid="{00000000-0005-0000-0000-0000750E0000}"/>
    <cellStyle name="Normal 14 4 2" xfId="3835" xr:uid="{00000000-0005-0000-0000-0000760E0000}"/>
    <cellStyle name="Normal 14 4 2 2" xfId="8057" xr:uid="{00000000-0005-0000-0000-0000770E0000}"/>
    <cellStyle name="Normal 14 4 2 2 2" xfId="16507" xr:uid="{CC37C6E7-97D4-41EE-BEF7-62BF74703AB1}"/>
    <cellStyle name="Normal 14 4 2 3" xfId="12289" xr:uid="{A60AEDEB-FC68-47F5-94BE-EAF19C3187FA}"/>
    <cellStyle name="Normal 14 4 3" xfId="5912" xr:uid="{00000000-0005-0000-0000-0000780E0000}"/>
    <cellStyle name="Normal 14 4 3 2" xfId="14362" xr:uid="{8305802B-E76C-4E20-A38C-022A07A222EA}"/>
    <cellStyle name="Normal 14 4 4" xfId="10144" xr:uid="{A1B2C4A3-08D2-43F4-9297-4626B0667BB3}"/>
    <cellStyle name="Normal 14 5" xfId="2019" xr:uid="{00000000-0005-0000-0000-0000790E0000}"/>
    <cellStyle name="Normal 14 5 2" xfId="4248" xr:uid="{00000000-0005-0000-0000-00007A0E0000}"/>
    <cellStyle name="Normal 14 5 2 2" xfId="8470" xr:uid="{00000000-0005-0000-0000-00007B0E0000}"/>
    <cellStyle name="Normal 14 5 2 2 2" xfId="16920" xr:uid="{6A2C72B3-08B9-4801-A550-61E0D02BAE45}"/>
    <cellStyle name="Normal 14 5 2 3" xfId="12702" xr:uid="{97AA1BEC-ED75-4D26-BC50-1AD91ACC7E17}"/>
    <cellStyle name="Normal 14 5 3" xfId="6325" xr:uid="{00000000-0005-0000-0000-00007C0E0000}"/>
    <cellStyle name="Normal 14 5 3 2" xfId="14775" xr:uid="{5B64232A-4AC3-47FD-AA9B-4D133A58EAF1}"/>
    <cellStyle name="Normal 14 5 4" xfId="10557" xr:uid="{7627E8F4-1790-4A0B-BEC8-6DE0F5AFE673}"/>
    <cellStyle name="Normal 14 6" xfId="2455" xr:uid="{00000000-0005-0000-0000-00007D0E0000}"/>
    <cellStyle name="Normal 14 6 2" xfId="6738" xr:uid="{00000000-0005-0000-0000-00007E0E0000}"/>
    <cellStyle name="Normal 14 6 2 2" xfId="15188" xr:uid="{033253D7-CD3F-4BC6-8144-04199DCF8331}"/>
    <cellStyle name="Normal 14 6 3" xfId="10970" xr:uid="{63B6F1BD-27F9-4418-BDFC-F56D11F0F13E}"/>
    <cellStyle name="Normal 14 7" xfId="4672" xr:uid="{00000000-0005-0000-0000-00007F0E0000}"/>
    <cellStyle name="Normal 14 7 2" xfId="13122" xr:uid="{582C68DA-719A-476A-A335-5D5004D52831}"/>
    <cellStyle name="Normal 14 8" xfId="8904" xr:uid="{1EFD4FBC-6695-4727-B7BE-CB4A2DB932E9}"/>
    <cellStyle name="Normal 15" xfId="4496" xr:uid="{00000000-0005-0000-0000-0000800E0000}"/>
    <cellStyle name="Normal 15 2" xfId="12948" xr:uid="{ECD97B6C-006E-4CEE-910E-6FF81E501DDA}"/>
    <cellStyle name="Normal 16" xfId="4500" xr:uid="{00000000-0005-0000-0000-0000810E0000}"/>
    <cellStyle name="Normal 16 2" xfId="8715" xr:uid="{00000000-0005-0000-0000-0000820E0000}"/>
    <cellStyle name="Normal 16 2 2" xfId="17165" xr:uid="{027B183B-906D-44D7-813C-AB51CD0B932E}"/>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986F4D8B-78CF-4A4C-926F-7A15644FA118}"/>
    <cellStyle name="Normal 16 3 2 2 2 3" xfId="17178" xr:uid="{07B6F173-F864-4297-B1E9-E779BA1C77D7}"/>
    <cellStyle name="Normal 16 3 2 2 3" xfId="17174" xr:uid="{49C379CA-5DF9-412C-9911-29BBFA9F1CEB}"/>
    <cellStyle name="Normal 16 3 2 3" xfId="17171" xr:uid="{0040CE12-C704-429F-8CCB-6DF3931B07E5}"/>
    <cellStyle name="Normal 16 3 3" xfId="17168" xr:uid="{FD59EF25-D649-48C0-A3E5-23DC1AB4A936}"/>
    <cellStyle name="Normal 16 4" xfId="12951" xr:uid="{6D83D6E3-F15E-4603-8C8F-AC7B6C8C6EFC}"/>
    <cellStyle name="Normal 17" xfId="8728" xr:uid="{3FF0972C-833B-4475-99D8-1A6907499E71}"/>
    <cellStyle name="Normal 17 2" xfId="17177" xr:uid="{B79A01B4-9AA6-402A-9836-DB5C9A1F0356}"/>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A7029DB8-7424-43F3-B716-E1E2C2F38AAE}"/>
    <cellStyle name="Normal 2 4 2 10 2 3" xfId="12703" xr:uid="{FF0222E1-C423-4620-8126-F4B4F9604345}"/>
    <cellStyle name="Normal 2 4 2 10 3" xfId="6326" xr:uid="{00000000-0005-0000-0000-0000910E0000}"/>
    <cellStyle name="Normal 2 4 2 10 3 2" xfId="14776" xr:uid="{2DE154E3-4BC2-42BF-BA63-6AFC0378A8AC}"/>
    <cellStyle name="Normal 2 4 2 10 4" xfId="10558" xr:uid="{65969174-BA3C-45A5-9876-E4078B75FAC2}"/>
    <cellStyle name="Normal 2 4 2 11" xfId="2456" xr:uid="{00000000-0005-0000-0000-0000920E0000}"/>
    <cellStyle name="Normal 2 4 2 11 2" xfId="6739" xr:uid="{00000000-0005-0000-0000-0000930E0000}"/>
    <cellStyle name="Normal 2 4 2 11 2 2" xfId="15189" xr:uid="{4E5ED4F8-DD85-486D-8876-5102ADF26448}"/>
    <cellStyle name="Normal 2 4 2 11 3" xfId="10971" xr:uid="{6929B344-BC34-49D5-9321-33C9BE17AAE7}"/>
    <cellStyle name="Normal 2 4 2 12" xfId="4673" xr:uid="{00000000-0005-0000-0000-0000940E0000}"/>
    <cellStyle name="Normal 2 4 2 12 2" xfId="13123" xr:uid="{2EC1BC2C-7C90-4EAD-A35C-788AC8807D7D}"/>
    <cellStyle name="Normal 2 4 2 13" xfId="8905" xr:uid="{8C9DCC4D-9F42-457F-A36F-D2E67F32B1EE}"/>
    <cellStyle name="Normal 2 4 2 2" xfId="280" xr:uid="{00000000-0005-0000-0000-0000950E0000}"/>
    <cellStyle name="Normal 2 4 2 3" xfId="281" xr:uid="{00000000-0005-0000-0000-0000960E0000}"/>
    <cellStyle name="Normal 2 4 2 3 10" xfId="4674" xr:uid="{00000000-0005-0000-0000-0000970E0000}"/>
    <cellStyle name="Normal 2 4 2 3 10 2" xfId="13124" xr:uid="{4AF5FB9E-1DBA-4CBA-8A4E-E16B22435708}"/>
    <cellStyle name="Normal 2 4 2 3 11" xfId="8906" xr:uid="{D70D2289-B556-4D93-A7BB-42D2418F0149}"/>
    <cellStyle name="Normal 2 4 2 3 2" xfId="282" xr:uid="{00000000-0005-0000-0000-0000980E0000}"/>
    <cellStyle name="Normal 2 4 2 3 2 10" xfId="8907" xr:uid="{EA97CF57-F83C-48F5-8034-D54D409E009F}"/>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BA77C88F-2BCF-43CD-AECC-B5A3E4FAF43C}"/>
    <cellStyle name="Normal 2 4 2 3 2 2 2 2 2 3" xfId="11468" xr:uid="{5C5980C1-97F8-4958-A99F-3D1E72A9C87A}"/>
    <cellStyle name="Normal 2 4 2 3 2 2 2 2 3" xfId="5091" xr:uid="{00000000-0005-0000-0000-00009E0E0000}"/>
    <cellStyle name="Normal 2 4 2 3 2 2 2 2 3 2" xfId="13541" xr:uid="{A8A7D304-BAB6-40B3-8E91-D25A6BBAAB3B}"/>
    <cellStyle name="Normal 2 4 2 3 2 2 2 2 4" xfId="9323" xr:uid="{549C7C16-E860-4190-9A86-ABF836503A0C}"/>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4F413837-8CD5-4F97-B609-46364B048988}"/>
    <cellStyle name="Normal 2 4 2 3 2 2 2 3 2 3" xfId="11881" xr:uid="{F6929A0C-507E-4C34-966B-28E7DB602BA5}"/>
    <cellStyle name="Normal 2 4 2 3 2 2 2 3 3" xfId="5504" xr:uid="{00000000-0005-0000-0000-0000A20E0000}"/>
    <cellStyle name="Normal 2 4 2 3 2 2 2 3 3 2" xfId="13954" xr:uid="{7811F47D-231E-4D6B-AB14-4DE465EC10B4}"/>
    <cellStyle name="Normal 2 4 2 3 2 2 2 3 4" xfId="9736" xr:uid="{28719980-5F8F-4AA3-AEDC-89CF6ACE8A3B}"/>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0771B9B1-6765-4876-91D9-1BE02F4CE372}"/>
    <cellStyle name="Normal 2 4 2 3 2 2 2 4 2 3" xfId="12294" xr:uid="{736FA6E5-B563-4A7E-A3E5-7FD6A196BBCC}"/>
    <cellStyle name="Normal 2 4 2 3 2 2 2 4 3" xfId="5917" xr:uid="{00000000-0005-0000-0000-0000A60E0000}"/>
    <cellStyle name="Normal 2 4 2 3 2 2 2 4 3 2" xfId="14367" xr:uid="{24A0D050-C0F4-4061-9B36-7DCE18E104AF}"/>
    <cellStyle name="Normal 2 4 2 3 2 2 2 4 4" xfId="10149" xr:uid="{FF975F61-E435-4828-AB2B-22477730FEB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3FCE51C3-10D2-4780-838C-B8ED77EB6990}"/>
    <cellStyle name="Normal 2 4 2 3 2 2 2 5 2 3" xfId="12707" xr:uid="{38991960-0867-45F5-B2FA-4DF6806D9C2C}"/>
    <cellStyle name="Normal 2 4 2 3 2 2 2 5 3" xfId="6330" xr:uid="{00000000-0005-0000-0000-0000AA0E0000}"/>
    <cellStyle name="Normal 2 4 2 3 2 2 2 5 3 2" xfId="14780" xr:uid="{3045C272-AEE2-4E6A-AF1D-1746E5921BBD}"/>
    <cellStyle name="Normal 2 4 2 3 2 2 2 5 4" xfId="10562" xr:uid="{F7D57DD5-3F1F-4139-A705-05397815E416}"/>
    <cellStyle name="Normal 2 4 2 3 2 2 2 6" xfId="2460" xr:uid="{00000000-0005-0000-0000-0000AB0E0000}"/>
    <cellStyle name="Normal 2 4 2 3 2 2 2 6 2" xfId="6743" xr:uid="{00000000-0005-0000-0000-0000AC0E0000}"/>
    <cellStyle name="Normal 2 4 2 3 2 2 2 6 2 2" xfId="15193" xr:uid="{42AFF18C-A48B-4655-81F1-F7942FAA9A20}"/>
    <cellStyle name="Normal 2 4 2 3 2 2 2 6 3" xfId="10975" xr:uid="{01B2A091-7479-4405-A4AE-704D80CA2D84}"/>
    <cellStyle name="Normal 2 4 2 3 2 2 2 7" xfId="4677" xr:uid="{00000000-0005-0000-0000-0000AD0E0000}"/>
    <cellStyle name="Normal 2 4 2 3 2 2 2 7 2" xfId="13127" xr:uid="{D190E70B-8D08-4577-9CDF-71D9C5A9FFA0}"/>
    <cellStyle name="Normal 2 4 2 3 2 2 2 8" xfId="8909" xr:uid="{7A659267-4DCF-4F70-BB7D-1B412FAEF72C}"/>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907B9729-00E0-4692-B144-6C1BE203277F}"/>
    <cellStyle name="Normal 2 4 2 3 2 2 3 2 3" xfId="11467" xr:uid="{A0242305-81FC-4789-B571-E3895BC6F1ED}"/>
    <cellStyle name="Normal 2 4 2 3 2 2 3 3" xfId="5090" xr:uid="{00000000-0005-0000-0000-0000B10E0000}"/>
    <cellStyle name="Normal 2 4 2 3 2 2 3 3 2" xfId="13540" xr:uid="{2AD478A3-4EA0-4D86-A562-59B90847653E}"/>
    <cellStyle name="Normal 2 4 2 3 2 2 3 4" xfId="9322" xr:uid="{F74E381C-B314-4DC4-94AA-CA7EC433BFD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1F03DA42-F718-4A4D-B508-DB9F9D9A7DA5}"/>
    <cellStyle name="Normal 2 4 2 3 2 2 4 2 3" xfId="11880" xr:uid="{BA059E7E-6437-42AB-ABB9-BBA48C91C180}"/>
    <cellStyle name="Normal 2 4 2 3 2 2 4 3" xfId="5503" xr:uid="{00000000-0005-0000-0000-0000B50E0000}"/>
    <cellStyle name="Normal 2 4 2 3 2 2 4 3 2" xfId="13953" xr:uid="{748615A6-1D4D-4B92-877C-390815BB66CD}"/>
    <cellStyle name="Normal 2 4 2 3 2 2 4 4" xfId="9735" xr:uid="{3CB0645C-FE7B-4206-9C61-6B32F7FCD82B}"/>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A1F2458C-CBAD-492A-B1BA-D8AC76D0316F}"/>
    <cellStyle name="Normal 2 4 2 3 2 2 5 2 3" xfId="12293" xr:uid="{B5CEEC27-6236-4A70-A93B-8A0BFC2A18C4}"/>
    <cellStyle name="Normal 2 4 2 3 2 2 5 3" xfId="5916" xr:uid="{00000000-0005-0000-0000-0000B90E0000}"/>
    <cellStyle name="Normal 2 4 2 3 2 2 5 3 2" xfId="14366" xr:uid="{43816F3B-1DA4-4DFF-8B06-5F55D39A1269}"/>
    <cellStyle name="Normal 2 4 2 3 2 2 5 4" xfId="10148" xr:uid="{F51A8E1A-B0DA-42F4-9683-273FC7E384FB}"/>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39A1E0A6-C455-479E-BC56-ECFAC54E92CD}"/>
    <cellStyle name="Normal 2 4 2 3 2 2 6 2 3" xfId="12706" xr:uid="{766761F7-BF2F-49C8-81D7-214A6DE10708}"/>
    <cellStyle name="Normal 2 4 2 3 2 2 6 3" xfId="6329" xr:uid="{00000000-0005-0000-0000-0000BD0E0000}"/>
    <cellStyle name="Normal 2 4 2 3 2 2 6 3 2" xfId="14779" xr:uid="{00610487-A4CC-4EC8-A3DB-CFCD8BF26485}"/>
    <cellStyle name="Normal 2 4 2 3 2 2 6 4" xfId="10561" xr:uid="{8D6394A5-71C4-4C2B-A03D-AEECFE361946}"/>
    <cellStyle name="Normal 2 4 2 3 2 2 7" xfId="2459" xr:uid="{00000000-0005-0000-0000-0000BE0E0000}"/>
    <cellStyle name="Normal 2 4 2 3 2 2 7 2" xfId="6742" xr:uid="{00000000-0005-0000-0000-0000BF0E0000}"/>
    <cellStyle name="Normal 2 4 2 3 2 2 7 2 2" xfId="15192" xr:uid="{2101C568-5227-4C38-AA16-3DB9F6D23574}"/>
    <cellStyle name="Normal 2 4 2 3 2 2 7 3" xfId="10974" xr:uid="{31D3D6E8-3423-4D96-BA4A-021D9D647B15}"/>
    <cellStyle name="Normal 2 4 2 3 2 2 8" xfId="4676" xr:uid="{00000000-0005-0000-0000-0000C00E0000}"/>
    <cellStyle name="Normal 2 4 2 3 2 2 8 2" xfId="13126" xr:uid="{41B54E70-336E-4EFA-9468-DC302C64CD67}"/>
    <cellStyle name="Normal 2 4 2 3 2 2 9" xfId="8908" xr:uid="{83A0A679-D358-4589-9981-5AA52FA449C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AFCAB123-270B-47B7-A4A4-C1DDF06A2A0D}"/>
    <cellStyle name="Normal 2 4 2 3 2 3 2 2 3" xfId="11469" xr:uid="{EE287419-F26A-4430-A7A0-BE9B2560677B}"/>
    <cellStyle name="Normal 2 4 2 3 2 3 2 3" xfId="5092" xr:uid="{00000000-0005-0000-0000-0000C50E0000}"/>
    <cellStyle name="Normal 2 4 2 3 2 3 2 3 2" xfId="13542" xr:uid="{CB71E0B7-EA06-4C50-92FC-AECD2B092F26}"/>
    <cellStyle name="Normal 2 4 2 3 2 3 2 4" xfId="9324" xr:uid="{3F16B250-C3C5-4A99-A856-1CEA1C52B784}"/>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9500BF64-31D5-4EDE-B910-5F089DF9BBF2}"/>
    <cellStyle name="Normal 2 4 2 3 2 3 3 2 3" xfId="11882" xr:uid="{BF67F082-9CC2-415A-9F0D-F074837F36FF}"/>
    <cellStyle name="Normal 2 4 2 3 2 3 3 3" xfId="5505" xr:uid="{00000000-0005-0000-0000-0000C90E0000}"/>
    <cellStyle name="Normal 2 4 2 3 2 3 3 3 2" xfId="13955" xr:uid="{2F9D370C-DCCC-4083-84CD-4C8954F08553}"/>
    <cellStyle name="Normal 2 4 2 3 2 3 3 4" xfId="9737" xr:uid="{510B26B6-A302-4AC2-B2FF-758C04BA123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B1D3EFFE-CD5E-47E7-A821-4B15427CB5E5}"/>
    <cellStyle name="Normal 2 4 2 3 2 3 4 2 3" xfId="12295" xr:uid="{5CCD7DEB-3CD0-44AB-BD92-DD6EFB84AE53}"/>
    <cellStyle name="Normal 2 4 2 3 2 3 4 3" xfId="5918" xr:uid="{00000000-0005-0000-0000-0000CD0E0000}"/>
    <cellStyle name="Normal 2 4 2 3 2 3 4 3 2" xfId="14368" xr:uid="{BC6B921A-70D1-44BD-9F9A-BEE3E946A12E}"/>
    <cellStyle name="Normal 2 4 2 3 2 3 4 4" xfId="10150" xr:uid="{A6F9EDBA-35E1-4ADC-9209-94F9B393D9F4}"/>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4BF3D25B-598A-4654-B5ED-2513891EA63A}"/>
    <cellStyle name="Normal 2 4 2 3 2 3 5 2 3" xfId="12708" xr:uid="{2FA3BE60-90C4-4AC3-A2BD-79D52C4E8C36}"/>
    <cellStyle name="Normal 2 4 2 3 2 3 5 3" xfId="6331" xr:uid="{00000000-0005-0000-0000-0000D10E0000}"/>
    <cellStyle name="Normal 2 4 2 3 2 3 5 3 2" xfId="14781" xr:uid="{90B176F1-E278-4330-B859-DD25E31C9E6B}"/>
    <cellStyle name="Normal 2 4 2 3 2 3 5 4" xfId="10563" xr:uid="{B02B79F7-DB03-46F2-A619-39F35EF78CED}"/>
    <cellStyle name="Normal 2 4 2 3 2 3 6" xfId="2461" xr:uid="{00000000-0005-0000-0000-0000D20E0000}"/>
    <cellStyle name="Normal 2 4 2 3 2 3 6 2" xfId="6744" xr:uid="{00000000-0005-0000-0000-0000D30E0000}"/>
    <cellStyle name="Normal 2 4 2 3 2 3 6 2 2" xfId="15194" xr:uid="{F55E3A3D-E81C-4A16-9084-A5E4CD2FF702}"/>
    <cellStyle name="Normal 2 4 2 3 2 3 6 3" xfId="10976" xr:uid="{7BA57645-8101-4006-BFE5-EC1BD8A37575}"/>
    <cellStyle name="Normal 2 4 2 3 2 3 7" xfId="4678" xr:uid="{00000000-0005-0000-0000-0000D40E0000}"/>
    <cellStyle name="Normal 2 4 2 3 2 3 7 2" xfId="13128" xr:uid="{8F2D810B-D1E4-4F55-8CA5-C9E8B0E3ACE4}"/>
    <cellStyle name="Normal 2 4 2 3 2 3 8" xfId="8910" xr:uid="{E1BBEB49-5528-40E0-B83A-48FD8A184EA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4F9B290A-2825-4635-8766-36CB71BD9A2E}"/>
    <cellStyle name="Normal 2 4 2 3 2 4 2 3" xfId="11466" xr:uid="{BE2B80F6-73BC-4BB4-BBD7-D8E2D1D0790B}"/>
    <cellStyle name="Normal 2 4 2 3 2 4 3" xfId="5089" xr:uid="{00000000-0005-0000-0000-0000D80E0000}"/>
    <cellStyle name="Normal 2 4 2 3 2 4 3 2" xfId="13539" xr:uid="{A6AFC22D-537A-457A-9A59-0C5914C1E579}"/>
    <cellStyle name="Normal 2 4 2 3 2 4 4" xfId="9321" xr:uid="{98558D62-E228-468F-AF82-CCE4A7D1BACF}"/>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FAACABD5-DD8F-428F-983C-7167C144F40E}"/>
    <cellStyle name="Normal 2 4 2 3 2 5 2 3" xfId="11879" xr:uid="{480A099B-A9AF-4FE0-BE30-00185A579C1F}"/>
    <cellStyle name="Normal 2 4 2 3 2 5 3" xfId="5502" xr:uid="{00000000-0005-0000-0000-0000DC0E0000}"/>
    <cellStyle name="Normal 2 4 2 3 2 5 3 2" xfId="13952" xr:uid="{130CF21B-60A0-4420-A6FB-4CE1511FA5DE}"/>
    <cellStyle name="Normal 2 4 2 3 2 5 4" xfId="9734" xr:uid="{7896510B-2D98-410C-97FA-482FC6F1938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B0229A49-6960-486B-8976-19638CB45B09}"/>
    <cellStyle name="Normal 2 4 2 3 2 6 2 3" xfId="12292" xr:uid="{A59FEC02-A9A0-4BDD-9EF7-FFE606783F54}"/>
    <cellStyle name="Normal 2 4 2 3 2 6 3" xfId="5915" xr:uid="{00000000-0005-0000-0000-0000E00E0000}"/>
    <cellStyle name="Normal 2 4 2 3 2 6 3 2" xfId="14365" xr:uid="{A0DC271E-7364-4C11-972F-F978E22512C9}"/>
    <cellStyle name="Normal 2 4 2 3 2 6 4" xfId="10147" xr:uid="{E91FE227-C6EC-4460-97D7-9452413FDCC1}"/>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0C85C2CA-E5DB-4A2F-ABB8-A0796B66C080}"/>
    <cellStyle name="Normal 2 4 2 3 2 7 2 3" xfId="12705" xr:uid="{08BC611E-C3B4-4E43-8D78-86300CA463DA}"/>
    <cellStyle name="Normal 2 4 2 3 2 7 3" xfId="6328" xr:uid="{00000000-0005-0000-0000-0000E40E0000}"/>
    <cellStyle name="Normal 2 4 2 3 2 7 3 2" xfId="14778" xr:uid="{EA143173-D86F-4DE0-B836-4C6492922243}"/>
    <cellStyle name="Normal 2 4 2 3 2 7 4" xfId="10560" xr:uid="{FF305248-C4EA-40A6-85F7-4B822BE8A42B}"/>
    <cellStyle name="Normal 2 4 2 3 2 8" xfId="2458" xr:uid="{00000000-0005-0000-0000-0000E50E0000}"/>
    <cellStyle name="Normal 2 4 2 3 2 8 2" xfId="6741" xr:uid="{00000000-0005-0000-0000-0000E60E0000}"/>
    <cellStyle name="Normal 2 4 2 3 2 8 2 2" xfId="15191" xr:uid="{BC950E77-9BAA-4435-9212-D3B62893E571}"/>
    <cellStyle name="Normal 2 4 2 3 2 8 3" xfId="10973" xr:uid="{49F1BC2A-A665-4C96-8204-9C423A8FFEDF}"/>
    <cellStyle name="Normal 2 4 2 3 2 9" xfId="4675" xr:uid="{00000000-0005-0000-0000-0000E70E0000}"/>
    <cellStyle name="Normal 2 4 2 3 2 9 2" xfId="13125" xr:uid="{3C59322D-3A96-419C-9FAA-1E0A41842B3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57074A74-8057-4155-A009-320AB419269D}"/>
    <cellStyle name="Normal 2 4 2 3 3 2 2 2 3" xfId="11471" xr:uid="{352A6B26-D588-4A08-8593-A9A65E385CA2}"/>
    <cellStyle name="Normal 2 4 2 3 3 2 2 3" xfId="5094" xr:uid="{00000000-0005-0000-0000-0000ED0E0000}"/>
    <cellStyle name="Normal 2 4 2 3 3 2 2 3 2" xfId="13544" xr:uid="{7B92EF0C-8842-432A-A33F-CF09B9964513}"/>
    <cellStyle name="Normal 2 4 2 3 3 2 2 4" xfId="9326" xr:uid="{E6AF3156-BB7E-4C6C-8AB9-1E1D351B10D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6B6D9A69-5DC3-48D8-936D-BECC34E1C743}"/>
    <cellStyle name="Normal 2 4 2 3 3 2 3 2 3" xfId="11884" xr:uid="{09F27C80-CF05-411B-B80A-BE8E258B53B7}"/>
    <cellStyle name="Normal 2 4 2 3 3 2 3 3" xfId="5507" xr:uid="{00000000-0005-0000-0000-0000F10E0000}"/>
    <cellStyle name="Normal 2 4 2 3 3 2 3 3 2" xfId="13957" xr:uid="{8EE1FC3C-11C6-4557-8BE1-58A4207C0350}"/>
    <cellStyle name="Normal 2 4 2 3 3 2 3 4" xfId="9739" xr:uid="{8E3EB46B-08FE-496A-89A7-FAD7E7F22CC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5136D568-E4A4-498C-A8FF-53CF7661337B}"/>
    <cellStyle name="Normal 2 4 2 3 3 2 4 2 3" xfId="12297" xr:uid="{9107A962-17E5-49B5-B7EA-ADD156D1A4C0}"/>
    <cellStyle name="Normal 2 4 2 3 3 2 4 3" xfId="5920" xr:uid="{00000000-0005-0000-0000-0000F50E0000}"/>
    <cellStyle name="Normal 2 4 2 3 3 2 4 3 2" xfId="14370" xr:uid="{C2549901-4DCA-4557-B9F2-F8ADF4FF5858}"/>
    <cellStyle name="Normal 2 4 2 3 3 2 4 4" xfId="10152" xr:uid="{93646206-D902-4E24-A756-776F7AAAA53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24BA49CB-93F5-4ED0-AE4E-D13A31CE00E3}"/>
    <cellStyle name="Normal 2 4 2 3 3 2 5 2 3" xfId="12710" xr:uid="{83A122CA-8F5D-45F8-B713-57985C2BE5B3}"/>
    <cellStyle name="Normal 2 4 2 3 3 2 5 3" xfId="6333" xr:uid="{00000000-0005-0000-0000-0000F90E0000}"/>
    <cellStyle name="Normal 2 4 2 3 3 2 5 3 2" xfId="14783" xr:uid="{1F8AF97D-E345-4272-B2EA-48AB7C9C608B}"/>
    <cellStyle name="Normal 2 4 2 3 3 2 5 4" xfId="10565" xr:uid="{21DCC9C9-DA88-46B4-82F2-A353B34DCDCD}"/>
    <cellStyle name="Normal 2 4 2 3 3 2 6" xfId="2463" xr:uid="{00000000-0005-0000-0000-0000FA0E0000}"/>
    <cellStyle name="Normal 2 4 2 3 3 2 6 2" xfId="6746" xr:uid="{00000000-0005-0000-0000-0000FB0E0000}"/>
    <cellStyle name="Normal 2 4 2 3 3 2 6 2 2" xfId="15196" xr:uid="{816FA3B3-4FF5-48C0-80A9-EF0178CF6845}"/>
    <cellStyle name="Normal 2 4 2 3 3 2 6 3" xfId="10978" xr:uid="{777D2065-B60C-47B7-B0BC-15F6038DB1D0}"/>
    <cellStyle name="Normal 2 4 2 3 3 2 7" xfId="4680" xr:uid="{00000000-0005-0000-0000-0000FC0E0000}"/>
    <cellStyle name="Normal 2 4 2 3 3 2 7 2" xfId="13130" xr:uid="{111264B0-1A84-4D7C-B415-7702F5F8598C}"/>
    <cellStyle name="Normal 2 4 2 3 3 2 8" xfId="8912" xr:uid="{ADCB2553-306C-487D-8E7B-1F18C082775E}"/>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23FC02DB-9357-4FE5-9B6E-BD0EDD8F220B}"/>
    <cellStyle name="Normal 2 4 2 3 3 3 2 3" xfId="11470" xr:uid="{95E0B0A1-B5C9-4B46-B493-2AB40D740B3E}"/>
    <cellStyle name="Normal 2 4 2 3 3 3 3" xfId="5093" xr:uid="{00000000-0005-0000-0000-0000000F0000}"/>
    <cellStyle name="Normal 2 4 2 3 3 3 3 2" xfId="13543" xr:uid="{77484522-9680-4813-AA8B-6AD52BF71F46}"/>
    <cellStyle name="Normal 2 4 2 3 3 3 4" xfId="9325" xr:uid="{B20ED4E1-382F-43BC-8B31-2469C02996F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39E23D2F-042F-4EE8-9243-9DB6270A176D}"/>
    <cellStyle name="Normal 2 4 2 3 3 4 2 3" xfId="11883" xr:uid="{141256C5-6567-4F4C-9D53-566952F6AAAB}"/>
    <cellStyle name="Normal 2 4 2 3 3 4 3" xfId="5506" xr:uid="{00000000-0005-0000-0000-0000040F0000}"/>
    <cellStyle name="Normal 2 4 2 3 3 4 3 2" xfId="13956" xr:uid="{DDE7F3F9-74D8-4A6B-9108-7CEA7FFE0CCC}"/>
    <cellStyle name="Normal 2 4 2 3 3 4 4" xfId="9738" xr:uid="{28910D43-C2FE-41C9-B698-CF55F91FF0D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336E430C-DD45-41BD-82B6-BCF97139AB9E}"/>
    <cellStyle name="Normal 2 4 2 3 3 5 2 3" xfId="12296" xr:uid="{612EB334-3851-4CF9-AAAE-DF55988CFB48}"/>
    <cellStyle name="Normal 2 4 2 3 3 5 3" xfId="5919" xr:uid="{00000000-0005-0000-0000-0000080F0000}"/>
    <cellStyle name="Normal 2 4 2 3 3 5 3 2" xfId="14369" xr:uid="{B294AC9C-83E3-4BB9-9D06-59CE8C216661}"/>
    <cellStyle name="Normal 2 4 2 3 3 5 4" xfId="10151" xr:uid="{AFFB3B38-3178-410A-8F97-81742BD1396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D761D1D9-CA87-4929-9224-070442CF7BFA}"/>
    <cellStyle name="Normal 2 4 2 3 3 6 2 3" xfId="12709" xr:uid="{6AB3A3D9-07AF-4970-AF36-AF9035A94D76}"/>
    <cellStyle name="Normal 2 4 2 3 3 6 3" xfId="6332" xr:uid="{00000000-0005-0000-0000-00000C0F0000}"/>
    <cellStyle name="Normal 2 4 2 3 3 6 3 2" xfId="14782" xr:uid="{FAA9AEC0-807A-4B92-AD1F-DE509192BE10}"/>
    <cellStyle name="Normal 2 4 2 3 3 6 4" xfId="10564" xr:uid="{F6163689-E28B-4118-9CE6-CB1FE3FCFFF1}"/>
    <cellStyle name="Normal 2 4 2 3 3 7" xfId="2462" xr:uid="{00000000-0005-0000-0000-00000D0F0000}"/>
    <cellStyle name="Normal 2 4 2 3 3 7 2" xfId="6745" xr:uid="{00000000-0005-0000-0000-00000E0F0000}"/>
    <cellStyle name="Normal 2 4 2 3 3 7 2 2" xfId="15195" xr:uid="{469172B2-195B-4A74-9B87-7DEE129843C5}"/>
    <cellStyle name="Normal 2 4 2 3 3 7 3" xfId="10977" xr:uid="{729F96EC-1D91-41D8-857E-28E052642BA0}"/>
    <cellStyle name="Normal 2 4 2 3 3 8" xfId="4679" xr:uid="{00000000-0005-0000-0000-00000F0F0000}"/>
    <cellStyle name="Normal 2 4 2 3 3 8 2" xfId="13129" xr:uid="{316E7BA6-B240-4A4B-B9C4-C455327A6F47}"/>
    <cellStyle name="Normal 2 4 2 3 3 9" xfId="8911" xr:uid="{67A2CFD7-6F15-43B1-914C-DB0075762425}"/>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F0A37071-F6FE-4EA1-B033-80861FAB1BCF}"/>
    <cellStyle name="Normal 2 4 2 3 4 2 2 3" xfId="11472" xr:uid="{8F969CEE-4E36-4B7A-98D9-C56EDFFF8564}"/>
    <cellStyle name="Normal 2 4 2 3 4 2 3" xfId="5095" xr:uid="{00000000-0005-0000-0000-0000140F0000}"/>
    <cellStyle name="Normal 2 4 2 3 4 2 3 2" xfId="13545" xr:uid="{A82FD647-3136-4017-BE3D-DDA7E32BB44E}"/>
    <cellStyle name="Normal 2 4 2 3 4 2 4" xfId="9327" xr:uid="{7D1A8F87-AAC5-4010-AC2F-AE756B019E2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F6045729-0281-4042-A20E-2C04DF0F24CF}"/>
    <cellStyle name="Normal 2 4 2 3 4 3 2 3" xfId="11885" xr:uid="{0CB55E7E-82DE-405B-9DAB-6E04ED1A60DC}"/>
    <cellStyle name="Normal 2 4 2 3 4 3 3" xfId="5508" xr:uid="{00000000-0005-0000-0000-0000180F0000}"/>
    <cellStyle name="Normal 2 4 2 3 4 3 3 2" xfId="13958" xr:uid="{E0A9BA7C-753A-421C-9785-DD5AEC55998F}"/>
    <cellStyle name="Normal 2 4 2 3 4 3 4" xfId="9740" xr:uid="{6427A0A5-899B-4AC8-A054-28A1C6CEC594}"/>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350A77F6-E08B-46B2-8298-81650BE644DB}"/>
    <cellStyle name="Normal 2 4 2 3 4 4 2 3" xfId="12298" xr:uid="{C4CE8C39-D04A-48B8-9F7B-E2BD5B04C524}"/>
    <cellStyle name="Normal 2 4 2 3 4 4 3" xfId="5921" xr:uid="{00000000-0005-0000-0000-00001C0F0000}"/>
    <cellStyle name="Normal 2 4 2 3 4 4 3 2" xfId="14371" xr:uid="{E996F788-52FC-4914-9307-A3EBA9B1BA44}"/>
    <cellStyle name="Normal 2 4 2 3 4 4 4" xfId="10153" xr:uid="{31CD9EBE-FC3D-482D-9C60-D37FF2A18F7A}"/>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973451A2-1676-4976-A5FA-4F97282CFBBE}"/>
    <cellStyle name="Normal 2 4 2 3 4 5 2 3" xfId="12711" xr:uid="{25ED0719-8772-464E-9624-793C7B2964E3}"/>
    <cellStyle name="Normal 2 4 2 3 4 5 3" xfId="6334" xr:uid="{00000000-0005-0000-0000-0000200F0000}"/>
    <cellStyle name="Normal 2 4 2 3 4 5 3 2" xfId="14784" xr:uid="{828BC429-F97E-41EB-ABF8-92AC23D77CD6}"/>
    <cellStyle name="Normal 2 4 2 3 4 5 4" xfId="10566" xr:uid="{F767A416-D26B-45A4-97DF-EDCF04FB61B4}"/>
    <cellStyle name="Normal 2 4 2 3 4 6" xfId="2464" xr:uid="{00000000-0005-0000-0000-0000210F0000}"/>
    <cellStyle name="Normal 2 4 2 3 4 6 2" xfId="6747" xr:uid="{00000000-0005-0000-0000-0000220F0000}"/>
    <cellStyle name="Normal 2 4 2 3 4 6 2 2" xfId="15197" xr:uid="{D695BEC6-3C62-4BE2-B624-8AF937CCB0AF}"/>
    <cellStyle name="Normal 2 4 2 3 4 6 3" xfId="10979" xr:uid="{E4C1D459-2A2A-40C4-9877-24B396ECAAC1}"/>
    <cellStyle name="Normal 2 4 2 3 4 7" xfId="4681" xr:uid="{00000000-0005-0000-0000-0000230F0000}"/>
    <cellStyle name="Normal 2 4 2 3 4 7 2" xfId="13131" xr:uid="{793B2E2A-40AC-4D63-BF32-E3AB92BC1533}"/>
    <cellStyle name="Normal 2 4 2 3 4 8" xfId="8913" xr:uid="{FF0DBAEC-B508-4ECB-945A-9B72ADD884B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D52E27E1-8126-48E6-9395-C91DCA9F707D}"/>
    <cellStyle name="Normal 2 4 2 3 5 2 3" xfId="11465" xr:uid="{A3DB1A06-6505-4410-821E-199BA4E04770}"/>
    <cellStyle name="Normal 2 4 2 3 5 3" xfId="5088" xr:uid="{00000000-0005-0000-0000-0000270F0000}"/>
    <cellStyle name="Normal 2 4 2 3 5 3 2" xfId="13538" xr:uid="{4D8C8EAF-C7C7-40BE-A1C3-498A8FEAC35E}"/>
    <cellStyle name="Normal 2 4 2 3 5 4" xfId="9320" xr:uid="{4159A738-4EB0-4D0C-AD7D-C5F22F2B194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B3A51511-0CE1-41B5-8B9D-94F1CC58C2FD}"/>
    <cellStyle name="Normal 2 4 2 3 6 2 3" xfId="11878" xr:uid="{A73CF5C7-3C68-4EF1-B085-C04A06363590}"/>
    <cellStyle name="Normal 2 4 2 3 6 3" xfId="5501" xr:uid="{00000000-0005-0000-0000-00002B0F0000}"/>
    <cellStyle name="Normal 2 4 2 3 6 3 2" xfId="13951" xr:uid="{CF4D341F-1701-491B-B59B-80CF5B6352E2}"/>
    <cellStyle name="Normal 2 4 2 3 6 4" xfId="9733" xr:uid="{6226E98A-4BB3-4EA6-B627-ADC436615988}"/>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49C07D69-35F5-4CE9-BB9F-832005D7D23C}"/>
    <cellStyle name="Normal 2 4 2 3 7 2 3" xfId="12291" xr:uid="{F4ED0FCB-BF1B-4C3F-9C98-206F25FAE425}"/>
    <cellStyle name="Normal 2 4 2 3 7 3" xfId="5914" xr:uid="{00000000-0005-0000-0000-00002F0F0000}"/>
    <cellStyle name="Normal 2 4 2 3 7 3 2" xfId="14364" xr:uid="{AD975C21-48D2-4BA9-BC18-FB6ACAD4E182}"/>
    <cellStyle name="Normal 2 4 2 3 7 4" xfId="10146" xr:uid="{A6181D2C-48CD-43ED-AAFB-DECC9FBE9A4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9EC6B966-A7B5-4D37-A59E-DE3B785358F8}"/>
    <cellStyle name="Normal 2 4 2 3 8 2 3" xfId="12704" xr:uid="{730E7DED-432D-48A8-ADA3-4BEC5FAB44B9}"/>
    <cellStyle name="Normal 2 4 2 3 8 3" xfId="6327" xr:uid="{00000000-0005-0000-0000-0000330F0000}"/>
    <cellStyle name="Normal 2 4 2 3 8 3 2" xfId="14777" xr:uid="{E42303DD-4D4C-419F-9DFF-DBB0E92A6C4C}"/>
    <cellStyle name="Normal 2 4 2 3 8 4" xfId="10559" xr:uid="{DECDB120-C7BD-4E68-BC72-0FF105E08026}"/>
    <cellStyle name="Normal 2 4 2 3 9" xfId="2457" xr:uid="{00000000-0005-0000-0000-0000340F0000}"/>
    <cellStyle name="Normal 2 4 2 3 9 2" xfId="6740" xr:uid="{00000000-0005-0000-0000-0000350F0000}"/>
    <cellStyle name="Normal 2 4 2 3 9 2 2" xfId="15190" xr:uid="{F1BA4F99-0E4B-490A-A594-FB558B436488}"/>
    <cellStyle name="Normal 2 4 2 3 9 3" xfId="10972" xr:uid="{48708066-8A4F-4E53-B25C-DCF1C2E0E607}"/>
    <cellStyle name="Normal 2 4 2 4" xfId="289" xr:uid="{00000000-0005-0000-0000-0000360F0000}"/>
    <cellStyle name="Normal 2 4 2 4 10" xfId="8914" xr:uid="{467AF72E-D1EE-44F5-AA67-96FD37C6866E}"/>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CC7099FA-E57E-43EC-8388-FDB543ACDBA4}"/>
    <cellStyle name="Normal 2 4 2 4 2 2 2 2 3" xfId="11475" xr:uid="{21911FB6-6BAB-4A49-B76C-478CE3C4BA37}"/>
    <cellStyle name="Normal 2 4 2 4 2 2 2 3" xfId="5098" xr:uid="{00000000-0005-0000-0000-00003C0F0000}"/>
    <cellStyle name="Normal 2 4 2 4 2 2 2 3 2" xfId="13548" xr:uid="{B767FDD0-AFDF-49A3-8FC0-593488FC06CD}"/>
    <cellStyle name="Normal 2 4 2 4 2 2 2 4" xfId="9330" xr:uid="{3C471BB9-0D76-4BC8-8E05-FB743293738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33929371-84FB-48DD-8874-F4CF54353848}"/>
    <cellStyle name="Normal 2 4 2 4 2 2 3 2 3" xfId="11888" xr:uid="{A5C5928B-13E8-4373-B174-74D4A190AAB7}"/>
    <cellStyle name="Normal 2 4 2 4 2 2 3 3" xfId="5511" xr:uid="{00000000-0005-0000-0000-0000400F0000}"/>
    <cellStyle name="Normal 2 4 2 4 2 2 3 3 2" xfId="13961" xr:uid="{0D0634EA-DF4F-44BA-9341-5ED7110D4D28}"/>
    <cellStyle name="Normal 2 4 2 4 2 2 3 4" xfId="9743" xr:uid="{B3E97C9B-F7F6-4E84-9B16-0BB272B05BFB}"/>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298C935A-DEF6-4945-B87D-7582BD9BB6F4}"/>
    <cellStyle name="Normal 2 4 2 4 2 2 4 2 3" xfId="12301" xr:uid="{0514E41A-B2AB-461C-946F-F1D43F92AA44}"/>
    <cellStyle name="Normal 2 4 2 4 2 2 4 3" xfId="5924" xr:uid="{00000000-0005-0000-0000-0000440F0000}"/>
    <cellStyle name="Normal 2 4 2 4 2 2 4 3 2" xfId="14374" xr:uid="{18C3C433-E963-40DB-AFBC-14057E4015F0}"/>
    <cellStyle name="Normal 2 4 2 4 2 2 4 4" xfId="10156" xr:uid="{13CFC7F0-1148-4478-87A5-F2D2400F921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41F98E6A-C63E-424E-9666-2114D37A71E8}"/>
    <cellStyle name="Normal 2 4 2 4 2 2 5 2 3" xfId="12714" xr:uid="{1F228998-AA6A-45C4-9A1C-19F4866A507A}"/>
    <cellStyle name="Normal 2 4 2 4 2 2 5 3" xfId="6337" xr:uid="{00000000-0005-0000-0000-0000480F0000}"/>
    <cellStyle name="Normal 2 4 2 4 2 2 5 3 2" xfId="14787" xr:uid="{461576F1-C572-4821-8DB2-0760F32AAD51}"/>
    <cellStyle name="Normal 2 4 2 4 2 2 5 4" xfId="10569" xr:uid="{38D1B2F3-DC51-4EA7-86A5-B50A065B942A}"/>
    <cellStyle name="Normal 2 4 2 4 2 2 6" xfId="2467" xr:uid="{00000000-0005-0000-0000-0000490F0000}"/>
    <cellStyle name="Normal 2 4 2 4 2 2 6 2" xfId="6750" xr:uid="{00000000-0005-0000-0000-00004A0F0000}"/>
    <cellStyle name="Normal 2 4 2 4 2 2 6 2 2" xfId="15200" xr:uid="{24D36506-CCE6-42F4-B7ED-777E7F78F192}"/>
    <cellStyle name="Normal 2 4 2 4 2 2 6 3" xfId="10982" xr:uid="{DE4DC819-508E-4EE9-B2B3-E7D88AAE0F8D}"/>
    <cellStyle name="Normal 2 4 2 4 2 2 7" xfId="4684" xr:uid="{00000000-0005-0000-0000-00004B0F0000}"/>
    <cellStyle name="Normal 2 4 2 4 2 2 7 2" xfId="13134" xr:uid="{74825179-5352-4743-81FF-0D33C51C5BFC}"/>
    <cellStyle name="Normal 2 4 2 4 2 2 8" xfId="8916" xr:uid="{6F5B63F6-AC6D-46A4-A732-305FAB1EF7D9}"/>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0A5A3B59-B7BF-47E2-B45C-8343C3BC584C}"/>
    <cellStyle name="Normal 2 4 2 4 2 3 2 3" xfId="11474" xr:uid="{CAF65262-C1D3-4457-9A79-E48BC0830987}"/>
    <cellStyle name="Normal 2 4 2 4 2 3 3" xfId="5097" xr:uid="{00000000-0005-0000-0000-00004F0F0000}"/>
    <cellStyle name="Normal 2 4 2 4 2 3 3 2" xfId="13547" xr:uid="{C0F0D01F-B7DA-4344-A55D-23AEDD87D893}"/>
    <cellStyle name="Normal 2 4 2 4 2 3 4" xfId="9329" xr:uid="{358E2E82-E1B9-4C96-A38F-342ADC71F0B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286FDED3-3524-4DF6-8503-3DCD1B84BC3B}"/>
    <cellStyle name="Normal 2 4 2 4 2 4 2 3" xfId="11887" xr:uid="{04973DBA-FEF6-4CE5-8B52-17A49E4D5CD1}"/>
    <cellStyle name="Normal 2 4 2 4 2 4 3" xfId="5510" xr:uid="{00000000-0005-0000-0000-0000530F0000}"/>
    <cellStyle name="Normal 2 4 2 4 2 4 3 2" xfId="13960" xr:uid="{1D2AB2E6-0072-44AF-A854-8CDA4F77C209}"/>
    <cellStyle name="Normal 2 4 2 4 2 4 4" xfId="9742" xr:uid="{45ECC00B-8331-4C6F-95FC-F51E37CCB99E}"/>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76032004-B9EE-4D2C-8AEC-18F2172D79E5}"/>
    <cellStyle name="Normal 2 4 2 4 2 5 2 3" xfId="12300" xr:uid="{5D0E3BE0-B972-431E-A0C3-5C6CA0340C1A}"/>
    <cellStyle name="Normal 2 4 2 4 2 5 3" xfId="5923" xr:uid="{00000000-0005-0000-0000-0000570F0000}"/>
    <cellStyle name="Normal 2 4 2 4 2 5 3 2" xfId="14373" xr:uid="{54E4C10B-4CE2-4C0F-B71C-A652E38020B8}"/>
    <cellStyle name="Normal 2 4 2 4 2 5 4" xfId="10155" xr:uid="{756E0223-E4FB-4C20-BC05-016619026C52}"/>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06C9E607-823A-4321-8F79-4E4494828C6E}"/>
    <cellStyle name="Normal 2 4 2 4 2 6 2 3" xfId="12713" xr:uid="{58ADE744-5A30-4D17-BFCC-5369F3D14215}"/>
    <cellStyle name="Normal 2 4 2 4 2 6 3" xfId="6336" xr:uid="{00000000-0005-0000-0000-00005B0F0000}"/>
    <cellStyle name="Normal 2 4 2 4 2 6 3 2" xfId="14786" xr:uid="{9EB6E3F4-758C-405D-A469-AD00E3D24498}"/>
    <cellStyle name="Normal 2 4 2 4 2 6 4" xfId="10568" xr:uid="{F45707F6-B939-4F3D-B720-8B5648F7251F}"/>
    <cellStyle name="Normal 2 4 2 4 2 7" xfId="2466" xr:uid="{00000000-0005-0000-0000-00005C0F0000}"/>
    <cellStyle name="Normal 2 4 2 4 2 7 2" xfId="6749" xr:uid="{00000000-0005-0000-0000-00005D0F0000}"/>
    <cellStyle name="Normal 2 4 2 4 2 7 2 2" xfId="15199" xr:uid="{9EF0EC90-5387-4239-9E6E-28A19C72BFC2}"/>
    <cellStyle name="Normal 2 4 2 4 2 7 3" xfId="10981" xr:uid="{FE3CB55E-5899-482A-A1B1-69B3183862EC}"/>
    <cellStyle name="Normal 2 4 2 4 2 8" xfId="4683" xr:uid="{00000000-0005-0000-0000-00005E0F0000}"/>
    <cellStyle name="Normal 2 4 2 4 2 8 2" xfId="13133" xr:uid="{89FD55CA-3CEF-4342-B017-1FC87BC3692A}"/>
    <cellStyle name="Normal 2 4 2 4 2 9" xfId="8915" xr:uid="{8882ACE9-A372-41C1-BE9A-A9C3956A64F4}"/>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5D31291F-95B6-4DE3-A6D2-3006FF4523D4}"/>
    <cellStyle name="Normal 2 4 2 4 3 2 2 3" xfId="11476" xr:uid="{DAF5FB80-C246-474B-A1EC-0CC37B2119D7}"/>
    <cellStyle name="Normal 2 4 2 4 3 2 3" xfId="5099" xr:uid="{00000000-0005-0000-0000-0000630F0000}"/>
    <cellStyle name="Normal 2 4 2 4 3 2 3 2" xfId="13549" xr:uid="{F7136D64-B083-4671-8197-DC736425008C}"/>
    <cellStyle name="Normal 2 4 2 4 3 2 4" xfId="9331" xr:uid="{67C45896-47A4-49D8-ABB1-EA952AC4FD6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AAE39E92-587F-4DF6-9AA2-2157A992FFCA}"/>
    <cellStyle name="Normal 2 4 2 4 3 3 2 3" xfId="11889" xr:uid="{4FA71D68-7A97-4EBD-80B9-44E9B646E12D}"/>
    <cellStyle name="Normal 2 4 2 4 3 3 3" xfId="5512" xr:uid="{00000000-0005-0000-0000-0000670F0000}"/>
    <cellStyle name="Normal 2 4 2 4 3 3 3 2" xfId="13962" xr:uid="{4FE03062-682B-4F0F-A96A-AA3C13070CF5}"/>
    <cellStyle name="Normal 2 4 2 4 3 3 4" xfId="9744" xr:uid="{3D787643-7E1C-4521-B419-52272119314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91C13C00-3B1B-4950-8AEB-80C46AAF8D03}"/>
    <cellStyle name="Normal 2 4 2 4 3 4 2 3" xfId="12302" xr:uid="{0AA0E8CA-18C5-4AAC-BEC2-0801B7605807}"/>
    <cellStyle name="Normal 2 4 2 4 3 4 3" xfId="5925" xr:uid="{00000000-0005-0000-0000-00006B0F0000}"/>
    <cellStyle name="Normal 2 4 2 4 3 4 3 2" xfId="14375" xr:uid="{1ACA6B64-A5CB-4458-93ED-E8C8D6EAFF96}"/>
    <cellStyle name="Normal 2 4 2 4 3 4 4" xfId="10157" xr:uid="{22E4B00D-F9C5-416D-A81A-105056611A9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6DE410B1-A355-4D93-9952-3473C4DC18EB}"/>
    <cellStyle name="Normal 2 4 2 4 3 5 2 3" xfId="12715" xr:uid="{C0895EAF-1ED0-4959-B991-CC957B36136C}"/>
    <cellStyle name="Normal 2 4 2 4 3 5 3" xfId="6338" xr:uid="{00000000-0005-0000-0000-00006F0F0000}"/>
    <cellStyle name="Normal 2 4 2 4 3 5 3 2" xfId="14788" xr:uid="{E60C7208-D290-49EE-BB9E-CB372EA1E99A}"/>
    <cellStyle name="Normal 2 4 2 4 3 5 4" xfId="10570" xr:uid="{04C08293-00DC-41EF-9C43-2A69D444948A}"/>
    <cellStyle name="Normal 2 4 2 4 3 6" xfId="2468" xr:uid="{00000000-0005-0000-0000-0000700F0000}"/>
    <cellStyle name="Normal 2 4 2 4 3 6 2" xfId="6751" xr:uid="{00000000-0005-0000-0000-0000710F0000}"/>
    <cellStyle name="Normal 2 4 2 4 3 6 2 2" xfId="15201" xr:uid="{05E051E5-1870-48A0-8CFF-AEF7202AFB69}"/>
    <cellStyle name="Normal 2 4 2 4 3 6 3" xfId="10983" xr:uid="{5A71E6B3-0C12-4B38-AA82-D93421330011}"/>
    <cellStyle name="Normal 2 4 2 4 3 7" xfId="4685" xr:uid="{00000000-0005-0000-0000-0000720F0000}"/>
    <cellStyle name="Normal 2 4 2 4 3 7 2" xfId="13135" xr:uid="{9AEA371C-18E9-40CF-89E3-EF56CAFE924C}"/>
    <cellStyle name="Normal 2 4 2 4 3 8" xfId="8917" xr:uid="{9691CA93-3A02-4F52-AC98-68205BCE9EF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4D7CBE4F-240B-467E-B308-6FE4AC358B35}"/>
    <cellStyle name="Normal 2 4 2 4 4 2 3" xfId="11473" xr:uid="{5D777CA2-0308-4240-B673-7C7698D5EE09}"/>
    <cellStyle name="Normal 2 4 2 4 4 3" xfId="5096" xr:uid="{00000000-0005-0000-0000-0000760F0000}"/>
    <cellStyle name="Normal 2 4 2 4 4 3 2" xfId="13546" xr:uid="{AD1741FD-B863-44A8-81BC-ACA1A4DC181E}"/>
    <cellStyle name="Normal 2 4 2 4 4 4" xfId="9328" xr:uid="{FC27303D-DFCA-4E51-A77F-D47CEC42016D}"/>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12718370-E1A5-427C-AD3D-75ECA45BFEAB}"/>
    <cellStyle name="Normal 2 4 2 4 5 2 3" xfId="11886" xr:uid="{7280527D-3B26-4592-AE35-5AB98A7B2935}"/>
    <cellStyle name="Normal 2 4 2 4 5 3" xfId="5509" xr:uid="{00000000-0005-0000-0000-00007A0F0000}"/>
    <cellStyle name="Normal 2 4 2 4 5 3 2" xfId="13959" xr:uid="{8290A923-B4C7-466C-9C29-F37F4450FA6D}"/>
    <cellStyle name="Normal 2 4 2 4 5 4" xfId="9741" xr:uid="{ED34BF54-16EB-4C65-B477-9E4EA13E7569}"/>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B8194782-476B-40A9-A54C-E510CFF9C264}"/>
    <cellStyle name="Normal 2 4 2 4 6 2 3" xfId="12299" xr:uid="{3EB40620-4B75-41A0-A5D4-F52234EB3BF3}"/>
    <cellStyle name="Normal 2 4 2 4 6 3" xfId="5922" xr:uid="{00000000-0005-0000-0000-00007E0F0000}"/>
    <cellStyle name="Normal 2 4 2 4 6 3 2" xfId="14372" xr:uid="{3E6A5252-49AA-4A46-AC2E-60F94C1EE023}"/>
    <cellStyle name="Normal 2 4 2 4 6 4" xfId="10154" xr:uid="{B1812050-B4B6-494F-AC8C-FE207E5DB84E}"/>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8120E3DD-FB3D-4405-BB97-73909D055710}"/>
    <cellStyle name="Normal 2 4 2 4 7 2 3" xfId="12712" xr:uid="{8AA40507-758F-409F-A3C9-C69AECBB74FA}"/>
    <cellStyle name="Normal 2 4 2 4 7 3" xfId="6335" xr:uid="{00000000-0005-0000-0000-0000820F0000}"/>
    <cellStyle name="Normal 2 4 2 4 7 3 2" xfId="14785" xr:uid="{C95C177C-E490-4DA9-90ED-5FC98FE61C65}"/>
    <cellStyle name="Normal 2 4 2 4 7 4" xfId="10567" xr:uid="{49B14B32-A827-4458-9443-5489081AD4CA}"/>
    <cellStyle name="Normal 2 4 2 4 8" xfId="2465" xr:uid="{00000000-0005-0000-0000-0000830F0000}"/>
    <cellStyle name="Normal 2 4 2 4 8 2" xfId="6748" xr:uid="{00000000-0005-0000-0000-0000840F0000}"/>
    <cellStyle name="Normal 2 4 2 4 8 2 2" xfId="15198" xr:uid="{133E44E0-8873-4783-8443-78DF859429EC}"/>
    <cellStyle name="Normal 2 4 2 4 8 3" xfId="10980" xr:uid="{7CD6847F-C316-4FAC-91CD-31568341A6EB}"/>
    <cellStyle name="Normal 2 4 2 4 9" xfId="4682" xr:uid="{00000000-0005-0000-0000-0000850F0000}"/>
    <cellStyle name="Normal 2 4 2 4 9 2" xfId="13132" xr:uid="{DDCA9EB8-12CF-4D79-A415-E6EE8DC123F1}"/>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805834CB-08CD-4A9D-944C-37609106B85E}"/>
    <cellStyle name="Normal 2 4 2 5 2 2 2 3" xfId="11478" xr:uid="{1C40FC1D-F26C-4B3F-88D1-F113FFD80237}"/>
    <cellStyle name="Normal 2 4 2 5 2 2 3" xfId="5101" xr:uid="{00000000-0005-0000-0000-00008B0F0000}"/>
    <cellStyle name="Normal 2 4 2 5 2 2 3 2" xfId="13551" xr:uid="{AD527FDF-AAB3-4A1F-AD37-B4211C988AB3}"/>
    <cellStyle name="Normal 2 4 2 5 2 2 4" xfId="9333" xr:uid="{63AB608A-A229-44C1-B6C1-B7DB3AE678E1}"/>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8B3FE6E7-D846-4715-8EAB-60262D6E4FAE}"/>
    <cellStyle name="Normal 2 4 2 5 2 3 2 3" xfId="11891" xr:uid="{A2F373AB-D3CF-41A9-AF6D-8244A658B321}"/>
    <cellStyle name="Normal 2 4 2 5 2 3 3" xfId="5514" xr:uid="{00000000-0005-0000-0000-00008F0F0000}"/>
    <cellStyle name="Normal 2 4 2 5 2 3 3 2" xfId="13964" xr:uid="{3159DC98-BA6E-4E36-BF24-F621809870DD}"/>
    <cellStyle name="Normal 2 4 2 5 2 3 4" xfId="9746" xr:uid="{897520DD-4538-4813-9C81-CD29953CBDA1}"/>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4AA6DC4F-6589-4B64-A1F6-BBC39962D33F}"/>
    <cellStyle name="Normal 2 4 2 5 2 4 2 3" xfId="12304" xr:uid="{51CE3F1B-D0C3-40F7-9595-EFC669860CFF}"/>
    <cellStyle name="Normal 2 4 2 5 2 4 3" xfId="5927" xr:uid="{00000000-0005-0000-0000-0000930F0000}"/>
    <cellStyle name="Normal 2 4 2 5 2 4 3 2" xfId="14377" xr:uid="{5E3D363B-6688-4E13-93E3-1C7B564B845E}"/>
    <cellStyle name="Normal 2 4 2 5 2 4 4" xfId="10159" xr:uid="{F1A3DC04-E3AA-4F23-BD91-C0CA8570A772}"/>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6B8F9768-9438-492C-B9C6-95579F186FD7}"/>
    <cellStyle name="Normal 2 4 2 5 2 5 2 3" xfId="12717" xr:uid="{F4CADAB2-CD74-4C79-A314-36BF1F45C049}"/>
    <cellStyle name="Normal 2 4 2 5 2 5 3" xfId="6340" xr:uid="{00000000-0005-0000-0000-0000970F0000}"/>
    <cellStyle name="Normal 2 4 2 5 2 5 3 2" xfId="14790" xr:uid="{22796D60-AB66-4533-A91B-C9F2E51B946C}"/>
    <cellStyle name="Normal 2 4 2 5 2 5 4" xfId="10572" xr:uid="{480E7AA2-75AC-4284-B67F-E4FC044FDDFB}"/>
    <cellStyle name="Normal 2 4 2 5 2 6" xfId="2470" xr:uid="{00000000-0005-0000-0000-0000980F0000}"/>
    <cellStyle name="Normal 2 4 2 5 2 6 2" xfId="6753" xr:uid="{00000000-0005-0000-0000-0000990F0000}"/>
    <cellStyle name="Normal 2 4 2 5 2 6 2 2" xfId="15203" xr:uid="{B6350781-7DB2-4EB8-8B7F-3212E6AAE424}"/>
    <cellStyle name="Normal 2 4 2 5 2 6 3" xfId="10985" xr:uid="{059920D3-9845-4186-AA78-B1BFD9C9D530}"/>
    <cellStyle name="Normal 2 4 2 5 2 7" xfId="4687" xr:uid="{00000000-0005-0000-0000-00009A0F0000}"/>
    <cellStyle name="Normal 2 4 2 5 2 7 2" xfId="13137" xr:uid="{887D1A81-C020-4881-B2FB-A9C2712A6C5E}"/>
    <cellStyle name="Normal 2 4 2 5 2 8" xfId="8919" xr:uid="{2C513188-EE3D-4F04-936F-E89BF84CCB3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9467A7E0-1431-47B7-AC09-A114A63D5774}"/>
    <cellStyle name="Normal 2 4 2 5 3 2 3" xfId="11477" xr:uid="{F87A34E7-FFF2-4C7F-B601-F0A68CD99674}"/>
    <cellStyle name="Normal 2 4 2 5 3 3" xfId="5100" xr:uid="{00000000-0005-0000-0000-00009E0F0000}"/>
    <cellStyle name="Normal 2 4 2 5 3 3 2" xfId="13550" xr:uid="{0C3ACF3C-98C7-4D85-9BFA-3244D19FEA7A}"/>
    <cellStyle name="Normal 2 4 2 5 3 4" xfId="9332" xr:uid="{F72F186E-BBB3-46CA-A8B4-503298DF1528}"/>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0D4B9272-F65B-4C63-83D2-98AE142742C3}"/>
    <cellStyle name="Normal 2 4 2 5 4 2 3" xfId="11890" xr:uid="{AFF0F148-2BCE-435C-8757-423695251F13}"/>
    <cellStyle name="Normal 2 4 2 5 4 3" xfId="5513" xr:uid="{00000000-0005-0000-0000-0000A20F0000}"/>
    <cellStyle name="Normal 2 4 2 5 4 3 2" xfId="13963" xr:uid="{9EE5AD4A-B7DC-45DB-B8D7-5A8327994675}"/>
    <cellStyle name="Normal 2 4 2 5 4 4" xfId="9745" xr:uid="{578C44BD-AA77-4AC3-B119-106CD17E8402}"/>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CBE6E915-D658-49AE-B09A-40065DE77040}"/>
    <cellStyle name="Normal 2 4 2 5 5 2 3" xfId="12303" xr:uid="{BBD00594-6E46-4F39-A36A-436BC4FF7250}"/>
    <cellStyle name="Normal 2 4 2 5 5 3" xfId="5926" xr:uid="{00000000-0005-0000-0000-0000A60F0000}"/>
    <cellStyle name="Normal 2 4 2 5 5 3 2" xfId="14376" xr:uid="{912553C9-3042-4AEA-AAFC-92A8F73218B6}"/>
    <cellStyle name="Normal 2 4 2 5 5 4" xfId="10158" xr:uid="{EC3080F0-331E-473A-BBDC-060DD3E20F43}"/>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F7E0C9B6-67A9-42CE-BD9B-45DB09A4FDF5}"/>
    <cellStyle name="Normal 2 4 2 5 6 2 3" xfId="12716" xr:uid="{281EFB86-B34D-466A-B562-419C8B90E04B}"/>
    <cellStyle name="Normal 2 4 2 5 6 3" xfId="6339" xr:uid="{00000000-0005-0000-0000-0000AA0F0000}"/>
    <cellStyle name="Normal 2 4 2 5 6 3 2" xfId="14789" xr:uid="{365117C9-D840-411F-A53F-FAED0637AA73}"/>
    <cellStyle name="Normal 2 4 2 5 6 4" xfId="10571" xr:uid="{6A6A0C9F-FE79-4401-A14B-49861A04608D}"/>
    <cellStyle name="Normal 2 4 2 5 7" xfId="2469" xr:uid="{00000000-0005-0000-0000-0000AB0F0000}"/>
    <cellStyle name="Normal 2 4 2 5 7 2" xfId="6752" xr:uid="{00000000-0005-0000-0000-0000AC0F0000}"/>
    <cellStyle name="Normal 2 4 2 5 7 2 2" xfId="15202" xr:uid="{4E29F258-B3CA-430C-8C8F-FDE160988C00}"/>
    <cellStyle name="Normal 2 4 2 5 7 3" xfId="10984" xr:uid="{D5F97B26-3287-4049-91B3-D3A1EC4B2CA2}"/>
    <cellStyle name="Normal 2 4 2 5 8" xfId="4686" xr:uid="{00000000-0005-0000-0000-0000AD0F0000}"/>
    <cellStyle name="Normal 2 4 2 5 8 2" xfId="13136" xr:uid="{112D1455-A1AD-4C6F-97D2-447252785B15}"/>
    <cellStyle name="Normal 2 4 2 5 9" xfId="8918" xr:uid="{951B6CF6-8249-4193-B731-B4C6AAAC7A0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AC285BA8-A800-49AF-AE8E-A408CDBA551B}"/>
    <cellStyle name="Normal 2 4 2 6 2 2 3" xfId="11479" xr:uid="{C08256A7-DAED-4DD8-BCE7-37784DE7F6EA}"/>
    <cellStyle name="Normal 2 4 2 6 2 3" xfId="5102" xr:uid="{00000000-0005-0000-0000-0000B20F0000}"/>
    <cellStyle name="Normal 2 4 2 6 2 3 2" xfId="13552" xr:uid="{0927F8FE-5DEF-48D1-8B72-0B455C5AC9D1}"/>
    <cellStyle name="Normal 2 4 2 6 2 4" xfId="9334" xr:uid="{1680C2E1-BBB2-4E77-9AC6-0198BFEEBBD3}"/>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22142104-39EE-43CD-ACC6-DE8D76B20E57}"/>
    <cellStyle name="Normal 2 4 2 6 3 2 3" xfId="11892" xr:uid="{8A052C0A-BF10-4305-AF4A-73EA7F1A5DE9}"/>
    <cellStyle name="Normal 2 4 2 6 3 3" xfId="5515" xr:uid="{00000000-0005-0000-0000-0000B60F0000}"/>
    <cellStyle name="Normal 2 4 2 6 3 3 2" xfId="13965" xr:uid="{D2276423-86A7-4A17-AC80-A0B5C731E6F2}"/>
    <cellStyle name="Normal 2 4 2 6 3 4" xfId="9747" xr:uid="{0A5DA959-2824-48DA-8CA2-45802CD29900}"/>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B8D2F39D-D301-4548-8875-AB0E40022E51}"/>
    <cellStyle name="Normal 2 4 2 6 4 2 3" xfId="12305" xr:uid="{455BE5D4-C342-4393-9F41-D87BEB9502D0}"/>
    <cellStyle name="Normal 2 4 2 6 4 3" xfId="5928" xr:uid="{00000000-0005-0000-0000-0000BA0F0000}"/>
    <cellStyle name="Normal 2 4 2 6 4 3 2" xfId="14378" xr:uid="{3D2D2AD2-6EC6-4E39-86D2-8233D8493408}"/>
    <cellStyle name="Normal 2 4 2 6 4 4" xfId="10160" xr:uid="{38A189BA-85FF-4E2C-8300-3ACC810EA7A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108197C3-6C65-4AF2-9661-A5DE8BB5E82B}"/>
    <cellStyle name="Normal 2 4 2 6 5 2 3" xfId="12718" xr:uid="{228A9AE0-5C5D-461D-93E5-4D95B7CCBE7E}"/>
    <cellStyle name="Normal 2 4 2 6 5 3" xfId="6341" xr:uid="{00000000-0005-0000-0000-0000BE0F0000}"/>
    <cellStyle name="Normal 2 4 2 6 5 3 2" xfId="14791" xr:uid="{9935D1F9-5D52-411E-826F-B506D99DCA10}"/>
    <cellStyle name="Normal 2 4 2 6 5 4" xfId="10573" xr:uid="{47B04CCA-6288-4FDB-ACF8-3EFED52365B6}"/>
    <cellStyle name="Normal 2 4 2 6 6" xfId="2471" xr:uid="{00000000-0005-0000-0000-0000BF0F0000}"/>
    <cellStyle name="Normal 2 4 2 6 6 2" xfId="6754" xr:uid="{00000000-0005-0000-0000-0000C00F0000}"/>
    <cellStyle name="Normal 2 4 2 6 6 2 2" xfId="15204" xr:uid="{63D94992-2BFE-4FC4-B2B4-A41C095FBE65}"/>
    <cellStyle name="Normal 2 4 2 6 6 3" xfId="10986" xr:uid="{1B741439-016F-4D74-A96C-A6ECF181C630}"/>
    <cellStyle name="Normal 2 4 2 6 7" xfId="4688" xr:uid="{00000000-0005-0000-0000-0000C10F0000}"/>
    <cellStyle name="Normal 2 4 2 6 7 2" xfId="13138" xr:uid="{8070CF4A-A225-4B93-8C37-66916565534E}"/>
    <cellStyle name="Normal 2 4 2 6 8" xfId="8920" xr:uid="{17730C12-6E69-42C7-ADAF-3436871111D6}"/>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AED865ED-470E-45D0-BADC-37BCCA14D090}"/>
    <cellStyle name="Normal 2 4 2 7 2 3" xfId="11464" xr:uid="{BCD3F2CA-26F3-493D-B2AD-341D4CD3125E}"/>
    <cellStyle name="Normal 2 4 2 7 3" xfId="5087" xr:uid="{00000000-0005-0000-0000-0000C50F0000}"/>
    <cellStyle name="Normal 2 4 2 7 3 2" xfId="13537" xr:uid="{17D80551-524C-4247-8E4A-4F35104131F8}"/>
    <cellStyle name="Normal 2 4 2 7 4" xfId="9319" xr:uid="{5CB8C06C-45D5-4976-BC90-818A9673448E}"/>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8E732FD5-38B2-4F1E-BDD8-6A573A3BDB25}"/>
    <cellStyle name="Normal 2 4 2 8 2 3" xfId="11877" xr:uid="{8D6B2EA7-D723-4AE5-9D95-AC1B22F9743E}"/>
    <cellStyle name="Normal 2 4 2 8 3" xfId="5500" xr:uid="{00000000-0005-0000-0000-0000C90F0000}"/>
    <cellStyle name="Normal 2 4 2 8 3 2" xfId="13950" xr:uid="{1B0D3CAF-6360-41C8-9A57-84F454D4D5B0}"/>
    <cellStyle name="Normal 2 4 2 8 4" xfId="9732" xr:uid="{C07A05BC-EB66-445D-A19C-8DDBC7F10C98}"/>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B78D10F0-166E-4A48-850B-CAD005DCD463}"/>
    <cellStyle name="Normal 2 4 2 9 2 3" xfId="12290" xr:uid="{F8DF2339-077E-4F55-91B6-C845C7A46FFA}"/>
    <cellStyle name="Normal 2 4 2 9 3" xfId="5913" xr:uid="{00000000-0005-0000-0000-0000CD0F0000}"/>
    <cellStyle name="Normal 2 4 2 9 3 2" xfId="14363" xr:uid="{9FEEA48A-D980-444A-856F-043A68E8B296}"/>
    <cellStyle name="Normal 2 4 2 9 4" xfId="10145" xr:uid="{43884F51-064E-4221-A6E0-68D273E8C33C}"/>
    <cellStyle name="Normal 2 4 3" xfId="296" xr:uid="{00000000-0005-0000-0000-0000CE0F0000}"/>
    <cellStyle name="Normal 2 4 3 10" xfId="8921" xr:uid="{DEB75EB7-49B6-4C54-9DC7-27370E39E85A}"/>
    <cellStyle name="Normal 2 4 3 2" xfId="297" xr:uid="{00000000-0005-0000-0000-0000CF0F0000}"/>
    <cellStyle name="Normal 2 4 3 3" xfId="298" xr:uid="{00000000-0005-0000-0000-0000D00F0000}"/>
    <cellStyle name="Normal 2 4 3 3 10" xfId="8922" xr:uid="{F068A443-9E32-4C05-9137-68C33FC686C2}"/>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53EA41C0-547F-4AAF-95C6-AF6BFBF104E3}"/>
    <cellStyle name="Normal 2 4 3 3 2 2 2 2 3" xfId="11483" xr:uid="{77A43F62-1BFD-4085-A2B2-2306091D05DC}"/>
    <cellStyle name="Normal 2 4 3 3 2 2 2 3" xfId="5106" xr:uid="{00000000-0005-0000-0000-0000D60F0000}"/>
    <cellStyle name="Normal 2 4 3 3 2 2 2 3 2" xfId="13556" xr:uid="{D5E8501E-B8D4-49B7-818A-FAE1CAC40D1B}"/>
    <cellStyle name="Normal 2 4 3 3 2 2 2 4" xfId="9338" xr:uid="{E9BBADE9-EE65-4696-BCC1-D45EFE36A07C}"/>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1B1AA65E-23A8-4E31-A620-D1F623ACD0FF}"/>
    <cellStyle name="Normal 2 4 3 3 2 2 3 2 3" xfId="11896" xr:uid="{DE4229CE-AA47-4E77-BE17-5E3611B91D48}"/>
    <cellStyle name="Normal 2 4 3 3 2 2 3 3" xfId="5519" xr:uid="{00000000-0005-0000-0000-0000DA0F0000}"/>
    <cellStyle name="Normal 2 4 3 3 2 2 3 3 2" xfId="13969" xr:uid="{11D4339A-9772-4734-A032-F05AAFF8633F}"/>
    <cellStyle name="Normal 2 4 3 3 2 2 3 4" xfId="9751" xr:uid="{99DFCFFB-E5D6-4CAC-8EEE-A5A33114E33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FC6F7853-06EA-4647-BFF2-936DCFF05A3C}"/>
    <cellStyle name="Normal 2 4 3 3 2 2 4 2 3" xfId="12309" xr:uid="{7A4A485D-671B-4B85-9E20-6F597388F609}"/>
    <cellStyle name="Normal 2 4 3 3 2 2 4 3" xfId="5932" xr:uid="{00000000-0005-0000-0000-0000DE0F0000}"/>
    <cellStyle name="Normal 2 4 3 3 2 2 4 3 2" xfId="14382" xr:uid="{02A2D1D4-B1CD-453D-879D-D702342093AA}"/>
    <cellStyle name="Normal 2 4 3 3 2 2 4 4" xfId="10164" xr:uid="{1FEEC8E3-FB8A-4C9D-9726-5CAB8E96E4AC}"/>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0E88B858-F855-4945-8545-118C3712923C}"/>
    <cellStyle name="Normal 2 4 3 3 2 2 5 2 3" xfId="12722" xr:uid="{F98F3A67-1FFA-406B-8B95-4DF7273231CB}"/>
    <cellStyle name="Normal 2 4 3 3 2 2 5 3" xfId="6345" xr:uid="{00000000-0005-0000-0000-0000E20F0000}"/>
    <cellStyle name="Normal 2 4 3 3 2 2 5 3 2" xfId="14795" xr:uid="{98CE1B31-DBCA-4765-995E-4D7FAE7271DC}"/>
    <cellStyle name="Normal 2 4 3 3 2 2 5 4" xfId="10577" xr:uid="{EE5433EB-7AA2-4D5F-9618-B58E7689F4B7}"/>
    <cellStyle name="Normal 2 4 3 3 2 2 6" xfId="2475" xr:uid="{00000000-0005-0000-0000-0000E30F0000}"/>
    <cellStyle name="Normal 2 4 3 3 2 2 6 2" xfId="6758" xr:uid="{00000000-0005-0000-0000-0000E40F0000}"/>
    <cellStyle name="Normal 2 4 3 3 2 2 6 2 2" xfId="15208" xr:uid="{C195A12C-4654-4E71-B52F-D657633E82ED}"/>
    <cellStyle name="Normal 2 4 3 3 2 2 6 3" xfId="10990" xr:uid="{7E245F5A-447B-478C-B1F6-C4AFE3EB385E}"/>
    <cellStyle name="Normal 2 4 3 3 2 2 7" xfId="4692" xr:uid="{00000000-0005-0000-0000-0000E50F0000}"/>
    <cellStyle name="Normal 2 4 3 3 2 2 7 2" xfId="13142" xr:uid="{57A9AAF9-92AF-42F0-B87D-8E56AA15A903}"/>
    <cellStyle name="Normal 2 4 3 3 2 2 8" xfId="8924" xr:uid="{1D08C892-1353-4A6D-8BE6-5646E7D34785}"/>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CF4A8D04-A024-4EE4-8BA0-B1E5CB045F62}"/>
    <cellStyle name="Normal 2 4 3 3 2 3 2 3" xfId="11482" xr:uid="{C3BE4E77-365E-4819-AE61-AB1BED89A568}"/>
    <cellStyle name="Normal 2 4 3 3 2 3 3" xfId="5105" xr:uid="{00000000-0005-0000-0000-0000E90F0000}"/>
    <cellStyle name="Normal 2 4 3 3 2 3 3 2" xfId="13555" xr:uid="{91A202A2-8F82-4509-9856-5EE4394F10E9}"/>
    <cellStyle name="Normal 2 4 3 3 2 3 4" xfId="9337" xr:uid="{55D16482-710F-40A1-8AAD-C6880056A7C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E3F1BDE8-3D19-44F2-A077-2E907D35B82E}"/>
    <cellStyle name="Normal 2 4 3 3 2 4 2 3" xfId="11895" xr:uid="{5BB9884D-B89B-446B-B8AA-C173F18FFCC9}"/>
    <cellStyle name="Normal 2 4 3 3 2 4 3" xfId="5518" xr:uid="{00000000-0005-0000-0000-0000ED0F0000}"/>
    <cellStyle name="Normal 2 4 3 3 2 4 3 2" xfId="13968" xr:uid="{15B0D676-3C35-4659-8806-6918421A72AB}"/>
    <cellStyle name="Normal 2 4 3 3 2 4 4" xfId="9750" xr:uid="{C5CD2318-ACC7-4EC0-9B1D-FA3DEA8DC735}"/>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6DC99137-9D5C-44CC-9A46-E5CF1F61FBD7}"/>
    <cellStyle name="Normal 2 4 3 3 2 5 2 3" xfId="12308" xr:uid="{3645785A-6F98-4792-AB96-447D02165F9C}"/>
    <cellStyle name="Normal 2 4 3 3 2 5 3" xfId="5931" xr:uid="{00000000-0005-0000-0000-0000F10F0000}"/>
    <cellStyle name="Normal 2 4 3 3 2 5 3 2" xfId="14381" xr:uid="{1BB88CA3-6D35-4383-8101-007070522A4D}"/>
    <cellStyle name="Normal 2 4 3 3 2 5 4" xfId="10163" xr:uid="{EF8F21E3-DCE0-4C4E-AB2D-F1458D1405A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FAF79938-C3B2-44AC-803C-F7F82A9FDB56}"/>
    <cellStyle name="Normal 2 4 3 3 2 6 2 3" xfId="12721" xr:uid="{849A771B-214C-4E3A-8960-F3FD060D02F9}"/>
    <cellStyle name="Normal 2 4 3 3 2 6 3" xfId="6344" xr:uid="{00000000-0005-0000-0000-0000F50F0000}"/>
    <cellStyle name="Normal 2 4 3 3 2 6 3 2" xfId="14794" xr:uid="{4FAAB4F0-1712-485F-AAA9-C307C88123C0}"/>
    <cellStyle name="Normal 2 4 3 3 2 6 4" xfId="10576" xr:uid="{BCC10F2E-E45A-4F36-AEF1-1457736D9D0F}"/>
    <cellStyle name="Normal 2 4 3 3 2 7" xfId="2474" xr:uid="{00000000-0005-0000-0000-0000F60F0000}"/>
    <cellStyle name="Normal 2 4 3 3 2 7 2" xfId="6757" xr:uid="{00000000-0005-0000-0000-0000F70F0000}"/>
    <cellStyle name="Normal 2 4 3 3 2 7 2 2" xfId="15207" xr:uid="{701B078D-701F-4CAE-946D-798EE94FDD61}"/>
    <cellStyle name="Normal 2 4 3 3 2 7 3" xfId="10989" xr:uid="{80D327AF-1F3A-444D-8256-CDB708315BDC}"/>
    <cellStyle name="Normal 2 4 3 3 2 8" xfId="4691" xr:uid="{00000000-0005-0000-0000-0000F80F0000}"/>
    <cellStyle name="Normal 2 4 3 3 2 8 2" xfId="13141" xr:uid="{D87D9E5B-1F50-47E0-9C79-716CAB1B974A}"/>
    <cellStyle name="Normal 2 4 3 3 2 9" xfId="8923" xr:uid="{EC3E0D1A-0F74-4410-A157-AEF32A1F1F0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72F08469-C25B-44B5-A61E-66900F0494ED}"/>
    <cellStyle name="Normal 2 4 3 3 3 2 2 3" xfId="11484" xr:uid="{A806F2EA-513E-437B-AF12-EA7DB22E88AA}"/>
    <cellStyle name="Normal 2 4 3 3 3 2 3" xfId="5107" xr:uid="{00000000-0005-0000-0000-0000FD0F0000}"/>
    <cellStyle name="Normal 2 4 3 3 3 2 3 2" xfId="13557" xr:uid="{3F4531D9-1EC5-4CC6-8AF6-963041C5654B}"/>
    <cellStyle name="Normal 2 4 3 3 3 2 4" xfId="9339" xr:uid="{84E04F0D-39A7-434B-909F-FBFF475B5A9F}"/>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16095E2B-5E09-4A9A-A119-A3BE576016DE}"/>
    <cellStyle name="Normal 2 4 3 3 3 3 2 3" xfId="11897" xr:uid="{448B4017-18FC-4F51-BAA8-A4DCD5B15624}"/>
    <cellStyle name="Normal 2 4 3 3 3 3 3" xfId="5520" xr:uid="{00000000-0005-0000-0000-000001100000}"/>
    <cellStyle name="Normal 2 4 3 3 3 3 3 2" xfId="13970" xr:uid="{E3E0ECC8-FA64-46B2-A160-151CE32D3FA1}"/>
    <cellStyle name="Normal 2 4 3 3 3 3 4" xfId="9752" xr:uid="{00FB08B3-E679-4055-9D9E-96AB111D44E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E459F3A9-93A6-49F8-9B16-53CA5595F2CE}"/>
    <cellStyle name="Normal 2 4 3 3 3 4 2 3" xfId="12310" xr:uid="{EC171C3C-C8A2-4CE3-81A7-4DDE579FE369}"/>
    <cellStyle name="Normal 2 4 3 3 3 4 3" xfId="5933" xr:uid="{00000000-0005-0000-0000-000005100000}"/>
    <cellStyle name="Normal 2 4 3 3 3 4 3 2" xfId="14383" xr:uid="{6CA17E94-0211-4CBA-9E50-9F8A480665E6}"/>
    <cellStyle name="Normal 2 4 3 3 3 4 4" xfId="10165" xr:uid="{A639ED36-0C5A-4B7D-BC76-30827AF4E9C7}"/>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475FDD18-4228-4830-948E-F23669E318AC}"/>
    <cellStyle name="Normal 2 4 3 3 3 5 2 3" xfId="12723" xr:uid="{B13C3BD2-A7C0-45E1-BAF5-24CF4D5BD5E0}"/>
    <cellStyle name="Normal 2 4 3 3 3 5 3" xfId="6346" xr:uid="{00000000-0005-0000-0000-000009100000}"/>
    <cellStyle name="Normal 2 4 3 3 3 5 3 2" xfId="14796" xr:uid="{51B12A6B-4240-411A-9F24-9B1BD6F3EBC8}"/>
    <cellStyle name="Normal 2 4 3 3 3 5 4" xfId="10578" xr:uid="{FA2CBAAA-DEBB-4F40-BDD9-8C794555A366}"/>
    <cellStyle name="Normal 2 4 3 3 3 6" xfId="2476" xr:uid="{00000000-0005-0000-0000-00000A100000}"/>
    <cellStyle name="Normal 2 4 3 3 3 6 2" xfId="6759" xr:uid="{00000000-0005-0000-0000-00000B100000}"/>
    <cellStyle name="Normal 2 4 3 3 3 6 2 2" xfId="15209" xr:uid="{B936D052-566D-4DBA-B700-A1A03EC780D2}"/>
    <cellStyle name="Normal 2 4 3 3 3 6 3" xfId="10991" xr:uid="{2D85BB50-10EF-43DA-B41D-2A809751926C}"/>
    <cellStyle name="Normal 2 4 3 3 3 7" xfId="4693" xr:uid="{00000000-0005-0000-0000-00000C100000}"/>
    <cellStyle name="Normal 2 4 3 3 3 7 2" xfId="13143" xr:uid="{BC3A5249-B501-455D-9E46-CF927A9E0F12}"/>
    <cellStyle name="Normal 2 4 3 3 3 8" xfId="8925" xr:uid="{8696B98A-8F93-4390-A4EB-CC270B3E5053}"/>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B0A31F5B-18EB-4B29-A895-177DC91FC5BA}"/>
    <cellStyle name="Normal 2 4 3 3 4 2 3" xfId="11481" xr:uid="{9C8D6716-9FC8-4129-856B-2A5DF251CB85}"/>
    <cellStyle name="Normal 2 4 3 3 4 3" xfId="5104" xr:uid="{00000000-0005-0000-0000-000010100000}"/>
    <cellStyle name="Normal 2 4 3 3 4 3 2" xfId="13554" xr:uid="{CE8023C7-235A-4597-B653-71FD755CF6D2}"/>
    <cellStyle name="Normal 2 4 3 3 4 4" xfId="9336" xr:uid="{B113D4BC-A3BF-4219-96CE-351A8F30EC2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94DA1F85-4F91-4731-8989-E30CCFD6ABB7}"/>
    <cellStyle name="Normal 2 4 3 3 5 2 3" xfId="11894" xr:uid="{B0E3A2DB-685C-482D-8ED3-7421204A50BA}"/>
    <cellStyle name="Normal 2 4 3 3 5 3" xfId="5517" xr:uid="{00000000-0005-0000-0000-000014100000}"/>
    <cellStyle name="Normal 2 4 3 3 5 3 2" xfId="13967" xr:uid="{2B640E00-2B10-4A61-9FF1-DDF4C2218C9D}"/>
    <cellStyle name="Normal 2 4 3 3 5 4" xfId="9749" xr:uid="{A306E4D6-F531-40EE-93FA-1A01215BE26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E57B40CE-FAAE-4A46-B939-F6E0E90528B4}"/>
    <cellStyle name="Normal 2 4 3 3 6 2 3" xfId="12307" xr:uid="{66D017BF-3AA5-4ED2-BB9B-67668B201862}"/>
    <cellStyle name="Normal 2 4 3 3 6 3" xfId="5930" xr:uid="{00000000-0005-0000-0000-000018100000}"/>
    <cellStyle name="Normal 2 4 3 3 6 3 2" xfId="14380" xr:uid="{857E836E-E8AF-4131-B732-0EFD0532F1B8}"/>
    <cellStyle name="Normal 2 4 3 3 6 4" xfId="10162" xr:uid="{BED43A62-FFAE-44EF-BC56-9BC00E82B284}"/>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5478290A-71CD-44AA-875F-AD890E1BA551}"/>
    <cellStyle name="Normal 2 4 3 3 7 2 3" xfId="12720" xr:uid="{0AFBE9BC-3427-464C-ADD8-FA2840C7BE88}"/>
    <cellStyle name="Normal 2 4 3 3 7 3" xfId="6343" xr:uid="{00000000-0005-0000-0000-00001C100000}"/>
    <cellStyle name="Normal 2 4 3 3 7 3 2" xfId="14793" xr:uid="{F04F3709-CBF5-40A8-BA3F-01E4D61DC99F}"/>
    <cellStyle name="Normal 2 4 3 3 7 4" xfId="10575" xr:uid="{93168E6B-6A36-4464-8673-FC60BA2129B1}"/>
    <cellStyle name="Normal 2 4 3 3 8" xfId="2473" xr:uid="{00000000-0005-0000-0000-00001D100000}"/>
    <cellStyle name="Normal 2 4 3 3 8 2" xfId="6756" xr:uid="{00000000-0005-0000-0000-00001E100000}"/>
    <cellStyle name="Normal 2 4 3 3 8 2 2" xfId="15206" xr:uid="{35EB7CD0-B265-425B-B32D-CBFAF78FB316}"/>
    <cellStyle name="Normal 2 4 3 3 8 3" xfId="10988" xr:uid="{7F353DE4-C789-4C95-9447-21F4F0A5C2BD}"/>
    <cellStyle name="Normal 2 4 3 3 9" xfId="4690" xr:uid="{00000000-0005-0000-0000-00001F100000}"/>
    <cellStyle name="Normal 2 4 3 3 9 2" xfId="13140" xr:uid="{156B2970-FC85-40FE-9706-10B411B576BD}"/>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909DF046-ACB6-4766-AC64-BE740B005115}"/>
    <cellStyle name="Normal 2 4 3 4 2 3" xfId="11480" xr:uid="{2211B3D7-550A-497B-BC5B-DEA804FE45C1}"/>
    <cellStyle name="Normal 2 4 3 4 3" xfId="5103" xr:uid="{00000000-0005-0000-0000-000023100000}"/>
    <cellStyle name="Normal 2 4 3 4 3 2" xfId="13553" xr:uid="{B746856C-7B02-4BCB-9BC6-470B9E839092}"/>
    <cellStyle name="Normal 2 4 3 4 4" xfId="9335" xr:uid="{E185952F-E8BC-40F5-B3EE-B00382222AF4}"/>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646F4D21-2B22-428E-BEA1-763D54510912}"/>
    <cellStyle name="Normal 2 4 3 5 2 3" xfId="11893" xr:uid="{7900FC30-6A59-427C-8937-1E8E4216CF7F}"/>
    <cellStyle name="Normal 2 4 3 5 3" xfId="5516" xr:uid="{00000000-0005-0000-0000-000027100000}"/>
    <cellStyle name="Normal 2 4 3 5 3 2" xfId="13966" xr:uid="{94E0BA5D-721E-48CB-9011-24CCA429092C}"/>
    <cellStyle name="Normal 2 4 3 5 4" xfId="9748" xr:uid="{FB821F55-782B-44EE-92B3-A35E5B0A1332}"/>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39BFE758-1E38-4CEC-B8CA-2B8E3278CF5C}"/>
    <cellStyle name="Normal 2 4 3 6 2 3" xfId="12306" xr:uid="{D7E479E3-1E59-4275-885F-60768F9BF00D}"/>
    <cellStyle name="Normal 2 4 3 6 3" xfId="5929" xr:uid="{00000000-0005-0000-0000-00002B100000}"/>
    <cellStyle name="Normal 2 4 3 6 3 2" xfId="14379" xr:uid="{F7503FDB-4FAE-45AE-87AD-1BFB6A961366}"/>
    <cellStyle name="Normal 2 4 3 6 4" xfId="10161" xr:uid="{FBDC4D03-6BD2-4249-BAB0-62CC8D116136}"/>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801CA275-FF8C-4EE6-8B61-84EC713D2770}"/>
    <cellStyle name="Normal 2 4 3 7 2 3" xfId="12719" xr:uid="{2D4E4393-5ED1-4FF3-9B93-E8A42939FF3F}"/>
    <cellStyle name="Normal 2 4 3 7 3" xfId="6342" xr:uid="{00000000-0005-0000-0000-00002F100000}"/>
    <cellStyle name="Normal 2 4 3 7 3 2" xfId="14792" xr:uid="{66542BF5-D74C-4E3E-85E9-0AF123488334}"/>
    <cellStyle name="Normal 2 4 3 7 4" xfId="10574" xr:uid="{35DECE6F-A651-477C-B438-ABD7742826D1}"/>
    <cellStyle name="Normal 2 4 3 8" xfId="2472" xr:uid="{00000000-0005-0000-0000-000030100000}"/>
    <cellStyle name="Normal 2 4 3 8 2" xfId="6755" xr:uid="{00000000-0005-0000-0000-000031100000}"/>
    <cellStyle name="Normal 2 4 3 8 2 2" xfId="15205" xr:uid="{9C75DE3C-53F7-448A-8082-2B8371D37043}"/>
    <cellStyle name="Normal 2 4 3 8 3" xfId="10987" xr:uid="{96D526BF-8585-48AF-B95C-474888223A6D}"/>
    <cellStyle name="Normal 2 4 3 9" xfId="4689" xr:uid="{00000000-0005-0000-0000-000032100000}"/>
    <cellStyle name="Normal 2 4 3 9 2" xfId="13139" xr:uid="{DA96EC13-E682-4C0E-AA2C-F76694C58102}"/>
    <cellStyle name="Normal 2 4 4" xfId="302" xr:uid="{00000000-0005-0000-0000-000033100000}"/>
    <cellStyle name="Normal 2 4 5" xfId="303" xr:uid="{00000000-0005-0000-0000-000034100000}"/>
    <cellStyle name="Normal 2 4 5 10" xfId="4694" xr:uid="{00000000-0005-0000-0000-000035100000}"/>
    <cellStyle name="Normal 2 4 5 10 2" xfId="13144" xr:uid="{706AA2D5-70CA-43CE-B570-D584722AA143}"/>
    <cellStyle name="Normal 2 4 5 11" xfId="8926" xr:uid="{2D62C49D-EAD4-411D-8E15-8C4F1DA048C9}"/>
    <cellStyle name="Normal 2 4 5 2" xfId="304" xr:uid="{00000000-0005-0000-0000-000036100000}"/>
    <cellStyle name="Normal 2 4 5 2 10" xfId="8927" xr:uid="{2C0DEF7B-93BF-414E-A9EA-1711D2023234}"/>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3A62D925-F3E4-47E5-B26B-AE50402F2FB4}"/>
    <cellStyle name="Normal 2 4 5 2 2 2 2 2 3" xfId="11488" xr:uid="{3B8129DC-DA9B-4AAA-8206-89A28AEC60F5}"/>
    <cellStyle name="Normal 2 4 5 2 2 2 2 3" xfId="5111" xr:uid="{00000000-0005-0000-0000-00003C100000}"/>
    <cellStyle name="Normal 2 4 5 2 2 2 2 3 2" xfId="13561" xr:uid="{56702CF4-8D6A-4AC5-8B19-3F9B03C123F1}"/>
    <cellStyle name="Normal 2 4 5 2 2 2 2 4" xfId="9343" xr:uid="{5FB85313-13F3-47F9-99FC-69A7B20E340B}"/>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AAF68412-A4BC-4B32-85B0-EF02492E09E2}"/>
    <cellStyle name="Normal 2 4 5 2 2 2 3 2 3" xfId="11901" xr:uid="{D51C2C08-6BDE-4B8B-BACC-CE607082E64C}"/>
    <cellStyle name="Normal 2 4 5 2 2 2 3 3" xfId="5524" xr:uid="{00000000-0005-0000-0000-000040100000}"/>
    <cellStyle name="Normal 2 4 5 2 2 2 3 3 2" xfId="13974" xr:uid="{5924FE59-A008-462C-ADD6-599E776BD5D2}"/>
    <cellStyle name="Normal 2 4 5 2 2 2 3 4" xfId="9756" xr:uid="{10513425-4363-4C5B-96F7-87F8278F0E0B}"/>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B1451D5F-B331-425D-9C67-3D529F166C79}"/>
    <cellStyle name="Normal 2 4 5 2 2 2 4 2 3" xfId="12314" xr:uid="{E90E48C9-E153-4434-8F02-695AAACE3072}"/>
    <cellStyle name="Normal 2 4 5 2 2 2 4 3" xfId="5937" xr:uid="{00000000-0005-0000-0000-000044100000}"/>
    <cellStyle name="Normal 2 4 5 2 2 2 4 3 2" xfId="14387" xr:uid="{05C3972A-506E-4C87-94C0-8390AFDCAA13}"/>
    <cellStyle name="Normal 2 4 5 2 2 2 4 4" xfId="10169" xr:uid="{07B5316A-0237-4308-A18B-396752EA4FF8}"/>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EC4DCEF1-749A-4FD1-8A8C-5FEAD53ED9D7}"/>
    <cellStyle name="Normal 2 4 5 2 2 2 5 2 3" xfId="12727" xr:uid="{30D82C9F-D82B-4039-A4D7-B5C494EE1057}"/>
    <cellStyle name="Normal 2 4 5 2 2 2 5 3" xfId="6350" xr:uid="{00000000-0005-0000-0000-000048100000}"/>
    <cellStyle name="Normal 2 4 5 2 2 2 5 3 2" xfId="14800" xr:uid="{E52031EE-159C-4819-A0A9-D3457D60B6D8}"/>
    <cellStyle name="Normal 2 4 5 2 2 2 5 4" xfId="10582" xr:uid="{EA697BC3-77C2-4581-BE9D-4D4D79E75F88}"/>
    <cellStyle name="Normal 2 4 5 2 2 2 6" xfId="2480" xr:uid="{00000000-0005-0000-0000-000049100000}"/>
    <cellStyle name="Normal 2 4 5 2 2 2 6 2" xfId="6763" xr:uid="{00000000-0005-0000-0000-00004A100000}"/>
    <cellStyle name="Normal 2 4 5 2 2 2 6 2 2" xfId="15213" xr:uid="{685B5315-8084-4D6F-A9DF-4647132D5555}"/>
    <cellStyle name="Normal 2 4 5 2 2 2 6 3" xfId="10995" xr:uid="{ED11C2E9-9906-43DC-B956-43C029D0B768}"/>
    <cellStyle name="Normal 2 4 5 2 2 2 7" xfId="4697" xr:uid="{00000000-0005-0000-0000-00004B100000}"/>
    <cellStyle name="Normal 2 4 5 2 2 2 7 2" xfId="13147" xr:uid="{5ACE2F95-F710-4A2E-AB9E-740F7F524639}"/>
    <cellStyle name="Normal 2 4 5 2 2 2 8" xfId="8929" xr:uid="{98E6C27E-D43C-463E-AA54-E0A657A62BCE}"/>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2D2E9C1F-3550-4D2E-854E-28F2FB250272}"/>
    <cellStyle name="Normal 2 4 5 2 2 3 2 3" xfId="11487" xr:uid="{4023D3FF-DC93-4AFB-8703-1DEAEFE2F75C}"/>
    <cellStyle name="Normal 2 4 5 2 2 3 3" xfId="5110" xr:uid="{00000000-0005-0000-0000-00004F100000}"/>
    <cellStyle name="Normal 2 4 5 2 2 3 3 2" xfId="13560" xr:uid="{80B4C5FA-504C-4DB3-84DC-6604FD73A5B8}"/>
    <cellStyle name="Normal 2 4 5 2 2 3 4" xfId="9342" xr:uid="{5120B694-23D1-40A7-A226-66F5CC76D47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5A4C0EA4-1785-4A12-B1BA-26F47DC66FFA}"/>
    <cellStyle name="Normal 2 4 5 2 2 4 2 3" xfId="11900" xr:uid="{E51FA2E0-3E21-46B9-8BAB-298CE4928F1A}"/>
    <cellStyle name="Normal 2 4 5 2 2 4 3" xfId="5523" xr:uid="{00000000-0005-0000-0000-000053100000}"/>
    <cellStyle name="Normal 2 4 5 2 2 4 3 2" xfId="13973" xr:uid="{886D69A1-F29C-4565-80A8-16B2869B2BFF}"/>
    <cellStyle name="Normal 2 4 5 2 2 4 4" xfId="9755" xr:uid="{19B1B745-12B2-4EA3-A075-617B794A0DD3}"/>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4FB8770B-7382-480D-A1AF-E6104AF7A2A5}"/>
    <cellStyle name="Normal 2 4 5 2 2 5 2 3" xfId="12313" xr:uid="{1762D0A0-6290-4692-B64C-AA1E31D1951C}"/>
    <cellStyle name="Normal 2 4 5 2 2 5 3" xfId="5936" xr:uid="{00000000-0005-0000-0000-000057100000}"/>
    <cellStyle name="Normal 2 4 5 2 2 5 3 2" xfId="14386" xr:uid="{3B9AED46-90F7-4801-AE4E-47C4B5346BD2}"/>
    <cellStyle name="Normal 2 4 5 2 2 5 4" xfId="10168" xr:uid="{04C13308-31E2-4E2B-8B4C-C8FB059068C4}"/>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5FFD7AA9-144D-45C9-B49C-3DA68159AA27}"/>
    <cellStyle name="Normal 2 4 5 2 2 6 2 3" xfId="12726" xr:uid="{A285D1CB-807C-4198-8C0B-C892D8A348CD}"/>
    <cellStyle name="Normal 2 4 5 2 2 6 3" xfId="6349" xr:uid="{00000000-0005-0000-0000-00005B100000}"/>
    <cellStyle name="Normal 2 4 5 2 2 6 3 2" xfId="14799" xr:uid="{32EBA354-C2A2-4C2A-A585-D429E877C392}"/>
    <cellStyle name="Normal 2 4 5 2 2 6 4" xfId="10581" xr:uid="{27613AA9-A75E-4455-867C-D4D563E38F63}"/>
    <cellStyle name="Normal 2 4 5 2 2 7" xfId="2479" xr:uid="{00000000-0005-0000-0000-00005C100000}"/>
    <cellStyle name="Normal 2 4 5 2 2 7 2" xfId="6762" xr:uid="{00000000-0005-0000-0000-00005D100000}"/>
    <cellStyle name="Normal 2 4 5 2 2 7 2 2" xfId="15212" xr:uid="{346F2D2A-FC8D-4838-A8C6-F83DBFCB75C2}"/>
    <cellStyle name="Normal 2 4 5 2 2 7 3" xfId="10994" xr:uid="{48A96860-8579-4E8E-8BBA-1A4FBB58055B}"/>
    <cellStyle name="Normal 2 4 5 2 2 8" xfId="4696" xr:uid="{00000000-0005-0000-0000-00005E100000}"/>
    <cellStyle name="Normal 2 4 5 2 2 8 2" xfId="13146" xr:uid="{F369DAE4-5962-4A23-ACD2-EC0A723183A1}"/>
    <cellStyle name="Normal 2 4 5 2 2 9" xfId="8928" xr:uid="{535CD567-7675-4937-B94D-053EA0BC46C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B180C8F0-C4A6-44F9-8370-4A686F6C18C1}"/>
    <cellStyle name="Normal 2 4 5 2 3 2 2 3" xfId="11489" xr:uid="{339103C2-D14B-40E1-B073-5190CF552550}"/>
    <cellStyle name="Normal 2 4 5 2 3 2 3" xfId="5112" xr:uid="{00000000-0005-0000-0000-000063100000}"/>
    <cellStyle name="Normal 2 4 5 2 3 2 3 2" xfId="13562" xr:uid="{C48BB78C-617A-4547-BAE5-493C1CB9E8C1}"/>
    <cellStyle name="Normal 2 4 5 2 3 2 4" xfId="9344" xr:uid="{22360C9C-4916-4F44-9C6B-FD8753DAA90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FD9FA85F-29BB-4B68-9571-83611C27EEF0}"/>
    <cellStyle name="Normal 2 4 5 2 3 3 2 3" xfId="11902" xr:uid="{059C1E52-78CE-4813-84DD-3B15AFF35A37}"/>
    <cellStyle name="Normal 2 4 5 2 3 3 3" xfId="5525" xr:uid="{00000000-0005-0000-0000-000067100000}"/>
    <cellStyle name="Normal 2 4 5 2 3 3 3 2" xfId="13975" xr:uid="{3628C328-B679-454B-840E-B94021F0F6A4}"/>
    <cellStyle name="Normal 2 4 5 2 3 3 4" xfId="9757" xr:uid="{AE6BD470-C001-4694-91EF-08906D304B88}"/>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527F238C-2ECF-4E52-9F15-0C42F47243E0}"/>
    <cellStyle name="Normal 2 4 5 2 3 4 2 3" xfId="12315" xr:uid="{FC9D1124-0B5B-4EAA-9845-C92D076267EA}"/>
    <cellStyle name="Normal 2 4 5 2 3 4 3" xfId="5938" xr:uid="{00000000-0005-0000-0000-00006B100000}"/>
    <cellStyle name="Normal 2 4 5 2 3 4 3 2" xfId="14388" xr:uid="{91B2986B-3651-4115-AC50-77F0A9546C1A}"/>
    <cellStyle name="Normal 2 4 5 2 3 4 4" xfId="10170" xr:uid="{45B585AA-8A24-4F16-98A2-C83A64752F1F}"/>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1AB20A4A-DA1E-4EB9-A0AA-64A84F33C628}"/>
    <cellStyle name="Normal 2 4 5 2 3 5 2 3" xfId="12728" xr:uid="{02553BF5-38FA-4F19-BB63-804FF7517565}"/>
    <cellStyle name="Normal 2 4 5 2 3 5 3" xfId="6351" xr:uid="{00000000-0005-0000-0000-00006F100000}"/>
    <cellStyle name="Normal 2 4 5 2 3 5 3 2" xfId="14801" xr:uid="{7C517930-1CD7-4116-8AEE-8ACD1E323BA9}"/>
    <cellStyle name="Normal 2 4 5 2 3 5 4" xfId="10583" xr:uid="{1F6C379B-3257-4A67-A1AF-EC8563352BB3}"/>
    <cellStyle name="Normal 2 4 5 2 3 6" xfId="2481" xr:uid="{00000000-0005-0000-0000-000070100000}"/>
    <cellStyle name="Normal 2 4 5 2 3 6 2" xfId="6764" xr:uid="{00000000-0005-0000-0000-000071100000}"/>
    <cellStyle name="Normal 2 4 5 2 3 6 2 2" xfId="15214" xr:uid="{B4A9448F-6F63-4960-8959-93B8B976723F}"/>
    <cellStyle name="Normal 2 4 5 2 3 6 3" xfId="10996" xr:uid="{F24C7F4C-5D3D-4590-A69D-36A2CB8795A2}"/>
    <cellStyle name="Normal 2 4 5 2 3 7" xfId="4698" xr:uid="{00000000-0005-0000-0000-000072100000}"/>
    <cellStyle name="Normal 2 4 5 2 3 7 2" xfId="13148" xr:uid="{7AF7B3E2-D8D7-41EB-AA63-93915A459E40}"/>
    <cellStyle name="Normal 2 4 5 2 3 8" xfId="8930" xr:uid="{94AA1E63-6315-49C3-9578-3F2CA58DAF95}"/>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CE47BB41-BAA9-4E61-B179-43859D59604C}"/>
    <cellStyle name="Normal 2 4 5 2 4 2 3" xfId="11486" xr:uid="{11DD2194-17B8-41FD-B02B-349F3DEB3A07}"/>
    <cellStyle name="Normal 2 4 5 2 4 3" xfId="5109" xr:uid="{00000000-0005-0000-0000-000076100000}"/>
    <cellStyle name="Normal 2 4 5 2 4 3 2" xfId="13559" xr:uid="{D9EC262A-BDF0-4004-A701-492D90CCB229}"/>
    <cellStyle name="Normal 2 4 5 2 4 4" xfId="9341" xr:uid="{A5EBA4C5-C087-4D5D-AB83-9106BDE7121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BECDC373-134D-48F9-8646-57B22168CEA2}"/>
    <cellStyle name="Normal 2 4 5 2 5 2 3" xfId="11899" xr:uid="{46E4D20F-7CCD-438F-A45A-9D9C93B1A1D6}"/>
    <cellStyle name="Normal 2 4 5 2 5 3" xfId="5522" xr:uid="{00000000-0005-0000-0000-00007A100000}"/>
    <cellStyle name="Normal 2 4 5 2 5 3 2" xfId="13972" xr:uid="{569FDD7B-06C5-445A-8947-200883F2C9A0}"/>
    <cellStyle name="Normal 2 4 5 2 5 4" xfId="9754" xr:uid="{81F5303B-1EDB-4ABD-A8D6-91DDD4FB507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021B8EE-E94D-4C1F-9654-21D65DE2A7A8}"/>
    <cellStyle name="Normal 2 4 5 2 6 2 3" xfId="12312" xr:uid="{33C98E5C-C5B3-4FA2-B66E-9796AD255400}"/>
    <cellStyle name="Normal 2 4 5 2 6 3" xfId="5935" xr:uid="{00000000-0005-0000-0000-00007E100000}"/>
    <cellStyle name="Normal 2 4 5 2 6 3 2" xfId="14385" xr:uid="{B186A0F9-898B-4A71-92B4-1AC37CE54AD0}"/>
    <cellStyle name="Normal 2 4 5 2 6 4" xfId="10167" xr:uid="{55A0A2D7-BCC7-4003-9D73-30C59E2D567C}"/>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018191E6-4956-4899-939E-220F6A8CF1F3}"/>
    <cellStyle name="Normal 2 4 5 2 7 2 3" xfId="12725" xr:uid="{CF227942-5B59-48B1-9902-1B6523CF9784}"/>
    <cellStyle name="Normal 2 4 5 2 7 3" xfId="6348" xr:uid="{00000000-0005-0000-0000-000082100000}"/>
    <cellStyle name="Normal 2 4 5 2 7 3 2" xfId="14798" xr:uid="{46230621-C23A-4035-8448-1DA7EDC33F5A}"/>
    <cellStyle name="Normal 2 4 5 2 7 4" xfId="10580" xr:uid="{67A2A488-8AD4-420F-BC26-2DA71B8C2122}"/>
    <cellStyle name="Normal 2 4 5 2 8" xfId="2478" xr:uid="{00000000-0005-0000-0000-000083100000}"/>
    <cellStyle name="Normal 2 4 5 2 8 2" xfId="6761" xr:uid="{00000000-0005-0000-0000-000084100000}"/>
    <cellStyle name="Normal 2 4 5 2 8 2 2" xfId="15211" xr:uid="{2CDC86E4-7608-493A-96E6-B0C876DA4A31}"/>
    <cellStyle name="Normal 2 4 5 2 8 3" xfId="10993" xr:uid="{321F8854-4BC9-471D-8193-CD50B04CD914}"/>
    <cellStyle name="Normal 2 4 5 2 9" xfId="4695" xr:uid="{00000000-0005-0000-0000-000085100000}"/>
    <cellStyle name="Normal 2 4 5 2 9 2" xfId="13145" xr:uid="{80B23C93-1B9E-4A62-9BC9-E9DFD765968E}"/>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269488DB-FCEC-48B8-B0FD-E550A9BE3E07}"/>
    <cellStyle name="Normal 2 4 5 3 2 2 2 3" xfId="11491" xr:uid="{C1B21FFA-CBB3-4D60-92DC-DD5533D3E8FF}"/>
    <cellStyle name="Normal 2 4 5 3 2 2 3" xfId="5114" xr:uid="{00000000-0005-0000-0000-00008B100000}"/>
    <cellStyle name="Normal 2 4 5 3 2 2 3 2" xfId="13564" xr:uid="{20F5413B-C044-40B5-B35F-92C2C037A09C}"/>
    <cellStyle name="Normal 2 4 5 3 2 2 4" xfId="9346" xr:uid="{42949630-B039-4FB7-8BA6-0B3A6055A7AD}"/>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680ADAF1-0F00-4C67-AB1F-E53037DF43C7}"/>
    <cellStyle name="Normal 2 4 5 3 2 3 2 3" xfId="11904" xr:uid="{EA97F256-6AA9-497E-A674-499E7B348443}"/>
    <cellStyle name="Normal 2 4 5 3 2 3 3" xfId="5527" xr:uid="{00000000-0005-0000-0000-00008F100000}"/>
    <cellStyle name="Normal 2 4 5 3 2 3 3 2" xfId="13977" xr:uid="{4465020E-58B8-476F-BB12-FC0D3FCBEE07}"/>
    <cellStyle name="Normal 2 4 5 3 2 3 4" xfId="9759" xr:uid="{CA849F33-49A8-4942-8380-80CD86BB9152}"/>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8DF111BE-0822-4238-9474-462387610A57}"/>
    <cellStyle name="Normal 2 4 5 3 2 4 2 3" xfId="12317" xr:uid="{01128147-A71D-4483-8F9C-8E269B9708D8}"/>
    <cellStyle name="Normal 2 4 5 3 2 4 3" xfId="5940" xr:uid="{00000000-0005-0000-0000-000093100000}"/>
    <cellStyle name="Normal 2 4 5 3 2 4 3 2" xfId="14390" xr:uid="{C544E3FC-46E8-4B53-B538-3E52BF83B855}"/>
    <cellStyle name="Normal 2 4 5 3 2 4 4" xfId="10172" xr:uid="{57A2BEB6-CE5E-4021-8A21-D42E3B7E78B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DEDD55E2-AC9A-4425-9D87-7EC0FBB49D3A}"/>
    <cellStyle name="Normal 2 4 5 3 2 5 2 3" xfId="12730" xr:uid="{4B8B84A4-9844-42BF-9FA9-B8401B03FBBD}"/>
    <cellStyle name="Normal 2 4 5 3 2 5 3" xfId="6353" xr:uid="{00000000-0005-0000-0000-000097100000}"/>
    <cellStyle name="Normal 2 4 5 3 2 5 3 2" xfId="14803" xr:uid="{8240489F-8F15-46A5-B894-D6592C11A9F6}"/>
    <cellStyle name="Normal 2 4 5 3 2 5 4" xfId="10585" xr:uid="{43F9889A-8450-4E69-B752-11DF95DFD718}"/>
    <cellStyle name="Normal 2 4 5 3 2 6" xfId="2483" xr:uid="{00000000-0005-0000-0000-000098100000}"/>
    <cellStyle name="Normal 2 4 5 3 2 6 2" xfId="6766" xr:uid="{00000000-0005-0000-0000-000099100000}"/>
    <cellStyle name="Normal 2 4 5 3 2 6 2 2" xfId="15216" xr:uid="{3AF75FFA-9451-4AD1-A678-36124BD49810}"/>
    <cellStyle name="Normal 2 4 5 3 2 6 3" xfId="10998" xr:uid="{56F8B50F-A579-44EE-BBB0-8F8080807591}"/>
    <cellStyle name="Normal 2 4 5 3 2 7" xfId="4700" xr:uid="{00000000-0005-0000-0000-00009A100000}"/>
    <cellStyle name="Normal 2 4 5 3 2 7 2" xfId="13150" xr:uid="{309E4800-C1B8-4977-B481-0DA834DB2C2C}"/>
    <cellStyle name="Normal 2 4 5 3 2 8" xfId="8932" xr:uid="{BF3D7E14-E94C-49DB-A97D-AE8F7904FE2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8A4A817E-5ED0-4437-8124-E4E1AD6FCAFD}"/>
    <cellStyle name="Normal 2 4 5 3 3 2 3" xfId="11490" xr:uid="{02203922-4364-4C8D-A643-F192489DACC0}"/>
    <cellStyle name="Normal 2 4 5 3 3 3" xfId="5113" xr:uid="{00000000-0005-0000-0000-00009E100000}"/>
    <cellStyle name="Normal 2 4 5 3 3 3 2" xfId="13563" xr:uid="{512C8A30-6EC0-43EB-A29F-EE5C6FCD4F44}"/>
    <cellStyle name="Normal 2 4 5 3 3 4" xfId="9345" xr:uid="{E76B1BEB-8220-435A-8D8B-F1AA9045F3C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527644D1-1520-4E44-ACF2-478FA7E31C4D}"/>
    <cellStyle name="Normal 2 4 5 3 4 2 3" xfId="11903" xr:uid="{62BE7D50-2CE0-478D-B640-39FE28A19E4D}"/>
    <cellStyle name="Normal 2 4 5 3 4 3" xfId="5526" xr:uid="{00000000-0005-0000-0000-0000A2100000}"/>
    <cellStyle name="Normal 2 4 5 3 4 3 2" xfId="13976" xr:uid="{BDCAFF6D-9BDA-499E-A0D2-CE297CE62BCD}"/>
    <cellStyle name="Normal 2 4 5 3 4 4" xfId="9758" xr:uid="{2545C212-BA2D-479F-BA96-D2BE48CC8C1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F8C39033-2E8A-454D-A58B-1C2CEC8E774F}"/>
    <cellStyle name="Normal 2 4 5 3 5 2 3" xfId="12316" xr:uid="{3AED4978-7812-4CA7-B1B0-286731B7E661}"/>
    <cellStyle name="Normal 2 4 5 3 5 3" xfId="5939" xr:uid="{00000000-0005-0000-0000-0000A6100000}"/>
    <cellStyle name="Normal 2 4 5 3 5 3 2" xfId="14389" xr:uid="{A12041BA-5959-46D8-BE57-F45DC23F9AB8}"/>
    <cellStyle name="Normal 2 4 5 3 5 4" xfId="10171" xr:uid="{6D57CEE8-C573-487A-A1AA-1DFDE7F1DE0A}"/>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6B51FB86-E62E-4198-BA5C-9E496FDAA4DA}"/>
    <cellStyle name="Normal 2 4 5 3 6 2 3" xfId="12729" xr:uid="{B4020D23-9CB8-445F-B285-60DEFDE46999}"/>
    <cellStyle name="Normal 2 4 5 3 6 3" xfId="6352" xr:uid="{00000000-0005-0000-0000-0000AA100000}"/>
    <cellStyle name="Normal 2 4 5 3 6 3 2" xfId="14802" xr:uid="{549583F3-B272-45CB-95AD-6733FF822168}"/>
    <cellStyle name="Normal 2 4 5 3 6 4" xfId="10584" xr:uid="{F9AF9A03-C1C3-4897-996F-9E8E6C9F6B47}"/>
    <cellStyle name="Normal 2 4 5 3 7" xfId="2482" xr:uid="{00000000-0005-0000-0000-0000AB100000}"/>
    <cellStyle name="Normal 2 4 5 3 7 2" xfId="6765" xr:uid="{00000000-0005-0000-0000-0000AC100000}"/>
    <cellStyle name="Normal 2 4 5 3 7 2 2" xfId="15215" xr:uid="{9B1C7651-F256-47EB-86AB-21A8EAF728FC}"/>
    <cellStyle name="Normal 2 4 5 3 7 3" xfId="10997" xr:uid="{7F3AAE1E-F93F-4124-B5A0-07CFBEF87D8D}"/>
    <cellStyle name="Normal 2 4 5 3 8" xfId="4699" xr:uid="{00000000-0005-0000-0000-0000AD100000}"/>
    <cellStyle name="Normal 2 4 5 3 8 2" xfId="13149" xr:uid="{19B2F462-9916-410D-8FD8-C59D978E1289}"/>
    <cellStyle name="Normal 2 4 5 3 9" xfId="8931" xr:uid="{FAE892F9-B8F7-4DA5-8B88-3899AFC64282}"/>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C8BA74A7-DE37-4235-8005-D629D978F8D5}"/>
    <cellStyle name="Normal 2 4 5 4 2 2 3" xfId="11492" xr:uid="{EF71D7E2-A24C-40F9-B326-99BE01E5DE77}"/>
    <cellStyle name="Normal 2 4 5 4 2 3" xfId="5115" xr:uid="{00000000-0005-0000-0000-0000B2100000}"/>
    <cellStyle name="Normal 2 4 5 4 2 3 2" xfId="13565" xr:uid="{10698345-D76B-40D9-82BE-9903B9616B9C}"/>
    <cellStyle name="Normal 2 4 5 4 2 4" xfId="9347" xr:uid="{E872CB3D-F470-475F-B117-3E0C0165504A}"/>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236DC398-E3A2-4929-AE99-A4A74B0E56E6}"/>
    <cellStyle name="Normal 2 4 5 4 3 2 3" xfId="11905" xr:uid="{0A59CD8B-E672-4EA1-9EEE-14E98768C315}"/>
    <cellStyle name="Normal 2 4 5 4 3 3" xfId="5528" xr:uid="{00000000-0005-0000-0000-0000B6100000}"/>
    <cellStyle name="Normal 2 4 5 4 3 3 2" xfId="13978" xr:uid="{88811BE9-E4F1-4F91-934D-83E0FB18074D}"/>
    <cellStyle name="Normal 2 4 5 4 3 4" xfId="9760" xr:uid="{EFD5ADDE-C8A9-482A-9BD5-511BF09B054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3E3DD603-7041-4711-85E3-10057246ED7C}"/>
    <cellStyle name="Normal 2 4 5 4 4 2 3" xfId="12318" xr:uid="{9D951068-3733-45CA-97A2-45F58BA7E3C2}"/>
    <cellStyle name="Normal 2 4 5 4 4 3" xfId="5941" xr:uid="{00000000-0005-0000-0000-0000BA100000}"/>
    <cellStyle name="Normal 2 4 5 4 4 3 2" xfId="14391" xr:uid="{A1A717A3-94C9-40E9-875A-EB0C056260FD}"/>
    <cellStyle name="Normal 2 4 5 4 4 4" xfId="10173" xr:uid="{0F373ACA-E54F-4355-A6F9-EEFF17E7B76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D3FDD0AE-608C-4E8F-BE02-5C575CC302F4}"/>
    <cellStyle name="Normal 2 4 5 4 5 2 3" xfId="12731" xr:uid="{E4F59005-0D6F-4288-AE20-89060687BEAF}"/>
    <cellStyle name="Normal 2 4 5 4 5 3" xfId="6354" xr:uid="{00000000-0005-0000-0000-0000BE100000}"/>
    <cellStyle name="Normal 2 4 5 4 5 3 2" xfId="14804" xr:uid="{9395898F-5D45-4BAE-9FE5-EFEE7C55E1C4}"/>
    <cellStyle name="Normal 2 4 5 4 5 4" xfId="10586" xr:uid="{63E490B2-9700-4016-87C5-E3D7C5B92E2D}"/>
    <cellStyle name="Normal 2 4 5 4 6" xfId="2484" xr:uid="{00000000-0005-0000-0000-0000BF100000}"/>
    <cellStyle name="Normal 2 4 5 4 6 2" xfId="6767" xr:uid="{00000000-0005-0000-0000-0000C0100000}"/>
    <cellStyle name="Normal 2 4 5 4 6 2 2" xfId="15217" xr:uid="{A801D7DF-3C11-4EB6-AEBE-842A6D2963A0}"/>
    <cellStyle name="Normal 2 4 5 4 6 3" xfId="10999" xr:uid="{D0429E57-1871-440A-85C3-567B9F0C20D7}"/>
    <cellStyle name="Normal 2 4 5 4 7" xfId="4701" xr:uid="{00000000-0005-0000-0000-0000C1100000}"/>
    <cellStyle name="Normal 2 4 5 4 7 2" xfId="13151" xr:uid="{A3D56493-B3F3-471A-B7DA-823803C16FD0}"/>
    <cellStyle name="Normal 2 4 5 4 8" xfId="8933" xr:uid="{4AFC003F-E80D-4007-85E6-FFAA698969C2}"/>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41A0B277-81C4-4520-BB90-10006E24731E}"/>
    <cellStyle name="Normal 2 4 5 5 2 3" xfId="11485" xr:uid="{6806BF50-EFF5-4BB5-B38E-F96CE0E26666}"/>
    <cellStyle name="Normal 2 4 5 5 3" xfId="5108" xr:uid="{00000000-0005-0000-0000-0000C5100000}"/>
    <cellStyle name="Normal 2 4 5 5 3 2" xfId="13558" xr:uid="{0ECBD58A-BA2D-4B65-A551-1A2E878DF8F6}"/>
    <cellStyle name="Normal 2 4 5 5 4" xfId="9340" xr:uid="{4704E271-3106-4873-B7F5-A2C148A5E437}"/>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CF201478-68DC-41B6-85EF-2CC3C925A33F}"/>
    <cellStyle name="Normal 2 4 5 6 2 3" xfId="11898" xr:uid="{097D1DFA-D948-4908-8D15-6E084F414C7F}"/>
    <cellStyle name="Normal 2 4 5 6 3" xfId="5521" xr:uid="{00000000-0005-0000-0000-0000C9100000}"/>
    <cellStyle name="Normal 2 4 5 6 3 2" xfId="13971" xr:uid="{01F4A61C-F6BA-46D9-80D9-4DD7B164E007}"/>
    <cellStyle name="Normal 2 4 5 6 4" xfId="9753" xr:uid="{640D706A-3F11-40E4-B137-B30458922622}"/>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2493EF12-2305-4630-BE88-B404004B80E7}"/>
    <cellStyle name="Normal 2 4 5 7 2 3" xfId="12311" xr:uid="{59BC6D6E-819E-4CFD-BC36-08E53175153E}"/>
    <cellStyle name="Normal 2 4 5 7 3" xfId="5934" xr:uid="{00000000-0005-0000-0000-0000CD100000}"/>
    <cellStyle name="Normal 2 4 5 7 3 2" xfId="14384" xr:uid="{9E9B06FE-15B5-4584-B2E9-4915CADA2FF5}"/>
    <cellStyle name="Normal 2 4 5 7 4" xfId="10166" xr:uid="{6193B4D6-8366-4CCF-912D-6B69A593A447}"/>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2F227F8D-129D-4D11-BEB5-842BE1CC3FE4}"/>
    <cellStyle name="Normal 2 4 5 8 2 3" xfId="12724" xr:uid="{DBADE17E-7CC6-4B14-A7C8-F12E676EC2BC}"/>
    <cellStyle name="Normal 2 4 5 8 3" xfId="6347" xr:uid="{00000000-0005-0000-0000-0000D1100000}"/>
    <cellStyle name="Normal 2 4 5 8 3 2" xfId="14797" xr:uid="{760031E1-73A1-4005-9CFF-6018EF62EF53}"/>
    <cellStyle name="Normal 2 4 5 8 4" xfId="10579" xr:uid="{64D9DE4E-977B-4AD2-BDA7-A570B65E6C92}"/>
    <cellStyle name="Normal 2 4 5 9" xfId="2477" xr:uid="{00000000-0005-0000-0000-0000D2100000}"/>
    <cellStyle name="Normal 2 4 5 9 2" xfId="6760" xr:uid="{00000000-0005-0000-0000-0000D3100000}"/>
    <cellStyle name="Normal 2 4 5 9 2 2" xfId="15210" xr:uid="{F79DF7B0-58B6-4D90-9980-AE6FD4373B67}"/>
    <cellStyle name="Normal 2 4 5 9 3" xfId="10992" xr:uid="{4A4AE792-F162-45A0-84A3-67043104E15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394C6021-4DB5-4887-AA4E-46B12D7AECB1}"/>
    <cellStyle name="Normal 2 4 7 2 2 2 3" xfId="11494" xr:uid="{8869981D-0FBC-48B9-B293-6737D25B1153}"/>
    <cellStyle name="Normal 2 4 7 2 2 3" xfId="5117" xr:uid="{00000000-0005-0000-0000-0000DA100000}"/>
    <cellStyle name="Normal 2 4 7 2 2 3 2" xfId="13567" xr:uid="{285E7BBD-5195-4941-B9FB-26BFCF5BDC2A}"/>
    <cellStyle name="Normal 2 4 7 2 2 4" xfId="9349" xr:uid="{49E19DC1-DAD7-463E-A8B5-6E100102C518}"/>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2913DBED-B10A-4D5E-8879-F6988F521159}"/>
    <cellStyle name="Normal 2 4 7 2 3 2 3" xfId="11907" xr:uid="{906D6CAB-8881-4751-9AF6-8B3BA39DDF06}"/>
    <cellStyle name="Normal 2 4 7 2 3 3" xfId="5530" xr:uid="{00000000-0005-0000-0000-0000DE100000}"/>
    <cellStyle name="Normal 2 4 7 2 3 3 2" xfId="13980" xr:uid="{501F279B-6863-4894-B3DF-5C1EFF65EAEF}"/>
    <cellStyle name="Normal 2 4 7 2 3 4" xfId="9762" xr:uid="{82060A12-A9CC-4A47-A60F-966D082BD93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DBA01470-6C7E-47A8-BADB-91A11A6FA199}"/>
    <cellStyle name="Normal 2 4 7 2 4 2 3" xfId="12320" xr:uid="{0DC4B4F8-35E5-4C45-872D-DDE0A0930C4F}"/>
    <cellStyle name="Normal 2 4 7 2 4 3" xfId="5943" xr:uid="{00000000-0005-0000-0000-0000E2100000}"/>
    <cellStyle name="Normal 2 4 7 2 4 3 2" xfId="14393" xr:uid="{4FC0A0A6-DEF2-4CB3-A113-FCD0A7F8863A}"/>
    <cellStyle name="Normal 2 4 7 2 4 4" xfId="10175" xr:uid="{C90CEC44-E090-4058-910A-7E2A18D5C131}"/>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EC72D81E-22C9-44E3-8C87-0F6A0C9084BE}"/>
    <cellStyle name="Normal 2 4 7 2 5 2 3" xfId="12733" xr:uid="{62AD04A8-AE82-42C9-AF3B-98F2A4E48474}"/>
    <cellStyle name="Normal 2 4 7 2 5 3" xfId="6356" xr:uid="{00000000-0005-0000-0000-0000E6100000}"/>
    <cellStyle name="Normal 2 4 7 2 5 3 2" xfId="14806" xr:uid="{3FEAF2FD-AE8E-428A-97BE-94A306B849D6}"/>
    <cellStyle name="Normal 2 4 7 2 5 4" xfId="10588" xr:uid="{F275DA6F-C381-4D1F-905A-63EE09B18013}"/>
    <cellStyle name="Normal 2 4 7 2 6" xfId="2486" xr:uid="{00000000-0005-0000-0000-0000E7100000}"/>
    <cellStyle name="Normal 2 4 7 2 6 2" xfId="6769" xr:uid="{00000000-0005-0000-0000-0000E8100000}"/>
    <cellStyle name="Normal 2 4 7 2 6 2 2" xfId="15219" xr:uid="{9B48B2EA-7CF1-486B-A946-B49ECEF918F7}"/>
    <cellStyle name="Normal 2 4 7 2 6 3" xfId="11001" xr:uid="{77383F43-2242-4CA0-B265-BC4C2BA9FC09}"/>
    <cellStyle name="Normal 2 4 7 2 7" xfId="4703" xr:uid="{00000000-0005-0000-0000-0000E9100000}"/>
    <cellStyle name="Normal 2 4 7 2 7 2" xfId="13153" xr:uid="{F07B89EF-7152-4415-9191-A97C33858EA5}"/>
    <cellStyle name="Normal 2 4 7 2 8" xfId="8935" xr:uid="{C736BD0E-1270-48D5-B761-823E693EBFAE}"/>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9B88946E-30B7-4CE5-BDFF-6FAE47F5B953}"/>
    <cellStyle name="Normal 2 4 7 3 2 3" xfId="11493" xr:uid="{DDA3B6EB-431D-4913-9251-E2DA156FB176}"/>
    <cellStyle name="Normal 2 4 7 3 3" xfId="5116" xr:uid="{00000000-0005-0000-0000-0000ED100000}"/>
    <cellStyle name="Normal 2 4 7 3 3 2" xfId="13566" xr:uid="{534E10BA-6A10-43B6-8C67-5D31F3E7794F}"/>
    <cellStyle name="Normal 2 4 7 3 4" xfId="9348" xr:uid="{24795902-F1CC-46D2-90C4-21DA46447FF8}"/>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5092BCF0-35EA-4E19-8370-044C197647B1}"/>
    <cellStyle name="Normal 2 4 7 4 2 3" xfId="11906" xr:uid="{D0BC4EF5-2271-458F-BEA4-982391F01041}"/>
    <cellStyle name="Normal 2 4 7 4 3" xfId="5529" xr:uid="{00000000-0005-0000-0000-0000F1100000}"/>
    <cellStyle name="Normal 2 4 7 4 3 2" xfId="13979" xr:uid="{8A7A8350-2C52-476E-A98E-A4A36862E26E}"/>
    <cellStyle name="Normal 2 4 7 4 4" xfId="9761" xr:uid="{DD35AD07-7269-4A3F-B6C7-1BB2B7ABEA9B}"/>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E1C14358-B3F7-4211-88DC-796BBEE12672}"/>
    <cellStyle name="Normal 2 4 7 5 2 3" xfId="12319" xr:uid="{890C4A59-09B6-452C-88E4-EDFD1F6A43E4}"/>
    <cellStyle name="Normal 2 4 7 5 3" xfId="5942" xr:uid="{00000000-0005-0000-0000-0000F5100000}"/>
    <cellStyle name="Normal 2 4 7 5 3 2" xfId="14392" xr:uid="{EEFDE5EA-6047-432D-857F-623B9AC0DE48}"/>
    <cellStyle name="Normal 2 4 7 5 4" xfId="10174" xr:uid="{4285771E-78AC-4068-831C-660623A7A9F0}"/>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A08E11B6-BD4E-49C2-9B2D-B6F7A933693F}"/>
    <cellStyle name="Normal 2 4 7 6 2 3" xfId="12732" xr:uid="{D0611591-66F0-4809-867A-88BD22A80901}"/>
    <cellStyle name="Normal 2 4 7 6 3" xfId="6355" xr:uid="{00000000-0005-0000-0000-0000F9100000}"/>
    <cellStyle name="Normal 2 4 7 6 3 2" xfId="14805" xr:uid="{B0C2A672-C733-4C8F-9285-C53CD368028C}"/>
    <cellStyle name="Normal 2 4 7 6 4" xfId="10587" xr:uid="{CB6BF8DB-5B09-4C31-A90C-F73AD2ADD84D}"/>
    <cellStyle name="Normal 2 4 7 7" xfId="2485" xr:uid="{00000000-0005-0000-0000-0000FA100000}"/>
    <cellStyle name="Normal 2 4 7 7 2" xfId="6768" xr:uid="{00000000-0005-0000-0000-0000FB100000}"/>
    <cellStyle name="Normal 2 4 7 7 2 2" xfId="15218" xr:uid="{9792660A-4FA5-4307-92B0-4D9B328A6373}"/>
    <cellStyle name="Normal 2 4 7 7 3" xfId="11000" xr:uid="{43DDA915-4EB7-44DB-AD97-8ACDED274F85}"/>
    <cellStyle name="Normal 2 4 7 8" xfId="4702" xr:uid="{00000000-0005-0000-0000-0000FC100000}"/>
    <cellStyle name="Normal 2 4 7 8 2" xfId="13152" xr:uid="{4B6CCC46-5F20-4810-ADA2-DB48A287C0AC}"/>
    <cellStyle name="Normal 2 4 7 9" xfId="8934" xr:uid="{EE38578E-22B7-4B88-9F3C-FD9E3B88809C}"/>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A06EDF78-452E-4AB1-9269-1BB92131C77E}"/>
    <cellStyle name="Normal 2 4 8 2 2 3" xfId="11495" xr:uid="{783941DD-93CE-4CB6-8BAF-B7D460E3464D}"/>
    <cellStyle name="Normal 2 4 8 2 3" xfId="5118" xr:uid="{00000000-0005-0000-0000-000001110000}"/>
    <cellStyle name="Normal 2 4 8 2 3 2" xfId="13568" xr:uid="{A3763A06-E951-411F-B914-C6D8D00A56C1}"/>
    <cellStyle name="Normal 2 4 8 2 4" xfId="9350" xr:uid="{D1724B7E-83F5-4C86-B777-C970B8DC0DCA}"/>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9A81EDEF-329A-4187-8177-99726680EAC0}"/>
    <cellStyle name="Normal 2 4 8 3 2 3" xfId="11908" xr:uid="{A3C674D2-749E-4396-BFAB-565C75822736}"/>
    <cellStyle name="Normal 2 4 8 3 3" xfId="5531" xr:uid="{00000000-0005-0000-0000-000005110000}"/>
    <cellStyle name="Normal 2 4 8 3 3 2" xfId="13981" xr:uid="{A39C3600-7C3A-42D3-922C-32FFA047A685}"/>
    <cellStyle name="Normal 2 4 8 3 4" xfId="9763" xr:uid="{40558C80-C169-4B5F-8DB1-FE7D6C2EA084}"/>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5D1636E0-3136-4FA1-9589-BE9FB2629DC3}"/>
    <cellStyle name="Normal 2 4 8 4 2 3" xfId="12321" xr:uid="{40139182-F892-42C2-8011-3C74D37A44B1}"/>
    <cellStyle name="Normal 2 4 8 4 3" xfId="5944" xr:uid="{00000000-0005-0000-0000-000009110000}"/>
    <cellStyle name="Normal 2 4 8 4 3 2" xfId="14394" xr:uid="{EF0D361A-EC7D-450C-9E5E-F8C71E08F074}"/>
    <cellStyle name="Normal 2 4 8 4 4" xfId="10176" xr:uid="{DEF09F9D-BA5E-4924-BAF4-687072F2128D}"/>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13998481-857E-4024-830E-96C5E34D8499}"/>
    <cellStyle name="Normal 2 4 8 5 2 3" xfId="12734" xr:uid="{4FC19FC8-775A-4683-823E-E48A1CD8FB97}"/>
    <cellStyle name="Normal 2 4 8 5 3" xfId="6357" xr:uid="{00000000-0005-0000-0000-00000D110000}"/>
    <cellStyle name="Normal 2 4 8 5 3 2" xfId="14807" xr:uid="{4FE21946-3817-4188-A044-77B805CE64A7}"/>
    <cellStyle name="Normal 2 4 8 5 4" xfId="10589" xr:uid="{8A95661E-E2E1-4D53-B3FD-E095A05D4F63}"/>
    <cellStyle name="Normal 2 4 8 6" xfId="2487" xr:uid="{00000000-0005-0000-0000-00000E110000}"/>
    <cellStyle name="Normal 2 4 8 6 2" xfId="6770" xr:uid="{00000000-0005-0000-0000-00000F110000}"/>
    <cellStyle name="Normal 2 4 8 6 2 2" xfId="15220" xr:uid="{36C07EFB-6212-45EE-9864-D26A94CB0F3D}"/>
    <cellStyle name="Normal 2 4 8 6 3" xfId="11002" xr:uid="{0D8E53B4-217D-495E-A707-2867D455AC3E}"/>
    <cellStyle name="Normal 2 4 8 7" xfId="4704" xr:uid="{00000000-0005-0000-0000-000010110000}"/>
    <cellStyle name="Normal 2 4 8 7 2" xfId="13154" xr:uid="{29AA6FA7-7603-462D-AC18-B997A1C54FCE}"/>
    <cellStyle name="Normal 2 4 8 8" xfId="8936" xr:uid="{D14D9B72-0EE0-4636-AB68-B67523EE2885}"/>
    <cellStyle name="Normal 2 5" xfId="315" xr:uid="{00000000-0005-0000-0000-000011110000}"/>
    <cellStyle name="Normal 2 5 10" xfId="4705" xr:uid="{00000000-0005-0000-0000-000012110000}"/>
    <cellStyle name="Normal 2 5 10 2" xfId="13155" xr:uid="{EF1B6863-C0CE-410D-ABEC-3C1CF9C64DF7}"/>
    <cellStyle name="Normal 2 5 11" xfId="8937" xr:uid="{6E8498CF-C991-439A-9ECB-6366E532D110}"/>
    <cellStyle name="Normal 2 5 2" xfId="316" xr:uid="{00000000-0005-0000-0000-000013110000}"/>
    <cellStyle name="Normal 2 5 3" xfId="317" xr:uid="{00000000-0005-0000-0000-000014110000}"/>
    <cellStyle name="Normal 2 5 4" xfId="318" xr:uid="{00000000-0005-0000-0000-000015110000}"/>
    <cellStyle name="Normal 2 5 4 10" xfId="8938" xr:uid="{8CD987FA-7EF9-4F84-8F0E-12CCEBBF9D8C}"/>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DFDD24D9-BAA9-4804-B947-BE5BA7D85E46}"/>
    <cellStyle name="Normal 2 5 4 2 2 2 2 3" xfId="11499" xr:uid="{9227A6DC-356D-484E-8AC7-CFC0778E99A7}"/>
    <cellStyle name="Normal 2 5 4 2 2 2 3" xfId="5122" xr:uid="{00000000-0005-0000-0000-00001B110000}"/>
    <cellStyle name="Normal 2 5 4 2 2 2 3 2" xfId="13572" xr:uid="{135DE97C-2F9F-463F-B169-6983EF758400}"/>
    <cellStyle name="Normal 2 5 4 2 2 2 4" xfId="9354" xr:uid="{BF0A6463-A550-4085-A530-AA0F51B01FB8}"/>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C8DBAC1B-9410-4341-A625-243F8E8DD8E4}"/>
    <cellStyle name="Normal 2 5 4 2 2 3 2 3" xfId="11912" xr:uid="{141A6289-BFFC-47C9-97A8-70E9216FD472}"/>
    <cellStyle name="Normal 2 5 4 2 2 3 3" xfId="5535" xr:uid="{00000000-0005-0000-0000-00001F110000}"/>
    <cellStyle name="Normal 2 5 4 2 2 3 3 2" xfId="13985" xr:uid="{451EEECD-C018-4F39-A18A-D1A34D36C14F}"/>
    <cellStyle name="Normal 2 5 4 2 2 3 4" xfId="9767" xr:uid="{CA8B0FC6-00CC-4917-A935-863D1FF3585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7FADE5F9-EEF4-4155-A144-E67DBB169E4E}"/>
    <cellStyle name="Normal 2 5 4 2 2 4 2 3" xfId="12325" xr:uid="{27B4EAAD-825F-4829-8095-E39744B49E89}"/>
    <cellStyle name="Normal 2 5 4 2 2 4 3" xfId="5948" xr:uid="{00000000-0005-0000-0000-000023110000}"/>
    <cellStyle name="Normal 2 5 4 2 2 4 3 2" xfId="14398" xr:uid="{462FDA9B-AB99-4178-8616-D2CE031CF2D1}"/>
    <cellStyle name="Normal 2 5 4 2 2 4 4" xfId="10180" xr:uid="{92509EB4-3D4F-475D-881F-96C6DF1AF68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C7699A95-BE8E-4712-AE50-6665A0E12EC7}"/>
    <cellStyle name="Normal 2 5 4 2 2 5 2 3" xfId="12738" xr:uid="{45DFC43B-EB37-4087-8767-2D8C4A825322}"/>
    <cellStyle name="Normal 2 5 4 2 2 5 3" xfId="6361" xr:uid="{00000000-0005-0000-0000-000027110000}"/>
    <cellStyle name="Normal 2 5 4 2 2 5 3 2" xfId="14811" xr:uid="{93665326-2EE6-4681-94FE-99960B4DA568}"/>
    <cellStyle name="Normal 2 5 4 2 2 5 4" xfId="10593" xr:uid="{D3A74795-49D8-4192-891E-E74811C06EBE}"/>
    <cellStyle name="Normal 2 5 4 2 2 6" xfId="2491" xr:uid="{00000000-0005-0000-0000-000028110000}"/>
    <cellStyle name="Normal 2 5 4 2 2 6 2" xfId="6774" xr:uid="{00000000-0005-0000-0000-000029110000}"/>
    <cellStyle name="Normal 2 5 4 2 2 6 2 2" xfId="15224" xr:uid="{FB070430-85B5-4F12-9DB1-0C400CE98153}"/>
    <cellStyle name="Normal 2 5 4 2 2 6 3" xfId="11006" xr:uid="{6649A636-4287-4406-B3CA-00DB6D9CDF2B}"/>
    <cellStyle name="Normal 2 5 4 2 2 7" xfId="4708" xr:uid="{00000000-0005-0000-0000-00002A110000}"/>
    <cellStyle name="Normal 2 5 4 2 2 7 2" xfId="13158" xr:uid="{5A8247EB-438D-42A7-8A8E-C46140A3E438}"/>
    <cellStyle name="Normal 2 5 4 2 2 8" xfId="8940" xr:uid="{E3345E84-AA99-44FA-883D-B35C8969F08B}"/>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C9B48C58-46F4-4588-B3FA-11D292EEAD17}"/>
    <cellStyle name="Normal 2 5 4 2 3 2 3" xfId="11498" xr:uid="{60F4814B-5A80-4060-A9A7-7153ED2F6F6E}"/>
    <cellStyle name="Normal 2 5 4 2 3 3" xfId="5121" xr:uid="{00000000-0005-0000-0000-00002E110000}"/>
    <cellStyle name="Normal 2 5 4 2 3 3 2" xfId="13571" xr:uid="{44CB7131-600F-4C72-81B6-BAA64AE3A2BA}"/>
    <cellStyle name="Normal 2 5 4 2 3 4" xfId="9353" xr:uid="{92A97B51-E4D0-4B20-A825-991AFEEE811D}"/>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1258949C-2D78-44C0-A847-55F3886635C3}"/>
    <cellStyle name="Normal 2 5 4 2 4 2 3" xfId="11911" xr:uid="{DF7E6E03-4A28-4216-8879-9197EC681FEC}"/>
    <cellStyle name="Normal 2 5 4 2 4 3" xfId="5534" xr:uid="{00000000-0005-0000-0000-000032110000}"/>
    <cellStyle name="Normal 2 5 4 2 4 3 2" xfId="13984" xr:uid="{9DF554EE-2AEB-4E5F-B9ED-D17D7A961612}"/>
    <cellStyle name="Normal 2 5 4 2 4 4" xfId="9766" xr:uid="{2EB9CF13-8749-443B-A5C7-F1BBDF66DE3C}"/>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F7BF4798-B3AE-4CF7-A9C3-0DF6F6C3B193}"/>
    <cellStyle name="Normal 2 5 4 2 5 2 3" xfId="12324" xr:uid="{A188275F-AF49-418C-B651-0AC523E57A3B}"/>
    <cellStyle name="Normal 2 5 4 2 5 3" xfId="5947" xr:uid="{00000000-0005-0000-0000-000036110000}"/>
    <cellStyle name="Normal 2 5 4 2 5 3 2" xfId="14397" xr:uid="{33838ACD-0B84-48BD-ACC7-7A5DFD91C06A}"/>
    <cellStyle name="Normal 2 5 4 2 5 4" xfId="10179" xr:uid="{30249B7C-5E50-4895-9373-6C53F0A189DF}"/>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2CA26A0F-BB3D-4B18-ABD2-6392B4BF8020}"/>
    <cellStyle name="Normal 2 5 4 2 6 2 3" xfId="12737" xr:uid="{778B685A-4748-4C5C-B2EE-9634CC8AD570}"/>
    <cellStyle name="Normal 2 5 4 2 6 3" xfId="6360" xr:uid="{00000000-0005-0000-0000-00003A110000}"/>
    <cellStyle name="Normal 2 5 4 2 6 3 2" xfId="14810" xr:uid="{5DF998E5-D79E-4EAD-B3E8-4B5D9D15CB7B}"/>
    <cellStyle name="Normal 2 5 4 2 6 4" xfId="10592" xr:uid="{1DCBBDC0-DE3E-472D-84FF-5058CD10A0F8}"/>
    <cellStyle name="Normal 2 5 4 2 7" xfId="2490" xr:uid="{00000000-0005-0000-0000-00003B110000}"/>
    <cellStyle name="Normal 2 5 4 2 7 2" xfId="6773" xr:uid="{00000000-0005-0000-0000-00003C110000}"/>
    <cellStyle name="Normal 2 5 4 2 7 2 2" xfId="15223" xr:uid="{B5968759-7110-47D1-BF71-FC31D4A0CCFD}"/>
    <cellStyle name="Normal 2 5 4 2 7 3" xfId="11005" xr:uid="{D616265A-904E-43A7-BF8D-9E9448EC895A}"/>
    <cellStyle name="Normal 2 5 4 2 8" xfId="4707" xr:uid="{00000000-0005-0000-0000-00003D110000}"/>
    <cellStyle name="Normal 2 5 4 2 8 2" xfId="13157" xr:uid="{AC9628E2-93C4-41E7-A336-750A1FF1F5D6}"/>
    <cellStyle name="Normal 2 5 4 2 9" xfId="8939" xr:uid="{BC29FDED-8048-49E1-833D-D75CEA1F61C2}"/>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43599E0D-79A6-43AC-8DEE-A6F4F8598238}"/>
    <cellStyle name="Normal 2 5 4 3 2 2 3" xfId="11500" xr:uid="{C0D35DD7-4726-4DED-A0CB-9E2A98EEEAD4}"/>
    <cellStyle name="Normal 2 5 4 3 2 3" xfId="5123" xr:uid="{00000000-0005-0000-0000-000042110000}"/>
    <cellStyle name="Normal 2 5 4 3 2 3 2" xfId="13573" xr:uid="{BA93F5CA-01C9-4EFE-86C5-3F50EED02FDA}"/>
    <cellStyle name="Normal 2 5 4 3 2 4" xfId="9355" xr:uid="{4902D950-5BEB-4116-9590-65F39D4A289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593C9FAC-B1D3-4AD6-B673-C2C65586D911}"/>
    <cellStyle name="Normal 2 5 4 3 3 2 3" xfId="11913" xr:uid="{5A26E03C-94A9-4BDC-B39D-4D0DC33489B9}"/>
    <cellStyle name="Normal 2 5 4 3 3 3" xfId="5536" xr:uid="{00000000-0005-0000-0000-000046110000}"/>
    <cellStyle name="Normal 2 5 4 3 3 3 2" xfId="13986" xr:uid="{80CE3D19-AEEE-42E3-8B21-81400A58320E}"/>
    <cellStyle name="Normal 2 5 4 3 3 4" xfId="9768" xr:uid="{D64D50C2-70CB-48AB-A6A7-83DF2756F46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1C9118ED-A3C4-4736-BBC1-1635A3066766}"/>
    <cellStyle name="Normal 2 5 4 3 4 2 3" xfId="12326" xr:uid="{AD0159B5-27E3-4082-BC7A-2E99DFDBA4D0}"/>
    <cellStyle name="Normal 2 5 4 3 4 3" xfId="5949" xr:uid="{00000000-0005-0000-0000-00004A110000}"/>
    <cellStyle name="Normal 2 5 4 3 4 3 2" xfId="14399" xr:uid="{6F4FBC65-5CA2-4543-BC09-C27190EF23BB}"/>
    <cellStyle name="Normal 2 5 4 3 4 4" xfId="10181" xr:uid="{57FE1DF4-282E-43C0-9FF0-E0768CFC855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385A52CB-B5BB-4927-9188-2FDEE458D9F9}"/>
    <cellStyle name="Normal 2 5 4 3 5 2 3" xfId="12739" xr:uid="{42A926D2-85E1-4D1F-B454-36CC1835655F}"/>
    <cellStyle name="Normal 2 5 4 3 5 3" xfId="6362" xr:uid="{00000000-0005-0000-0000-00004E110000}"/>
    <cellStyle name="Normal 2 5 4 3 5 3 2" xfId="14812" xr:uid="{8C135432-CFB0-40B9-9691-96538FDC2E0A}"/>
    <cellStyle name="Normal 2 5 4 3 5 4" xfId="10594" xr:uid="{63DA2D04-E505-4085-8898-3A66D33B367D}"/>
    <cellStyle name="Normal 2 5 4 3 6" xfId="2492" xr:uid="{00000000-0005-0000-0000-00004F110000}"/>
    <cellStyle name="Normal 2 5 4 3 6 2" xfId="6775" xr:uid="{00000000-0005-0000-0000-000050110000}"/>
    <cellStyle name="Normal 2 5 4 3 6 2 2" xfId="15225" xr:uid="{01785741-6839-42CD-AE16-B1FE02DACDF1}"/>
    <cellStyle name="Normal 2 5 4 3 6 3" xfId="11007" xr:uid="{2828630A-940D-4C67-B128-A24FDCAE993B}"/>
    <cellStyle name="Normal 2 5 4 3 7" xfId="4709" xr:uid="{00000000-0005-0000-0000-000051110000}"/>
    <cellStyle name="Normal 2 5 4 3 7 2" xfId="13159" xr:uid="{9C1AE1A9-A668-4750-95A6-15658B742359}"/>
    <cellStyle name="Normal 2 5 4 3 8" xfId="8941" xr:uid="{9F7E73BE-C2E1-492E-B03F-3C89A6A91E47}"/>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28E9EF3A-47F6-4126-B552-505714BF4A10}"/>
    <cellStyle name="Normal 2 5 4 4 2 3" xfId="11497" xr:uid="{2BE48727-4B2D-4C64-B541-428871A39A04}"/>
    <cellStyle name="Normal 2 5 4 4 3" xfId="5120" xr:uid="{00000000-0005-0000-0000-000055110000}"/>
    <cellStyle name="Normal 2 5 4 4 3 2" xfId="13570" xr:uid="{E52AB5CA-11F4-45E9-B730-2E28DF1B42DA}"/>
    <cellStyle name="Normal 2 5 4 4 4" xfId="9352" xr:uid="{E475B439-41F8-45A7-A82D-AF9B6525C89B}"/>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20A74154-81EF-4043-B330-10085D9EC1D4}"/>
    <cellStyle name="Normal 2 5 4 5 2 3" xfId="11910" xr:uid="{E608E585-E034-45D6-9030-E04DA755DDB6}"/>
    <cellStyle name="Normal 2 5 4 5 3" xfId="5533" xr:uid="{00000000-0005-0000-0000-000059110000}"/>
    <cellStyle name="Normal 2 5 4 5 3 2" xfId="13983" xr:uid="{3E0ABA15-6B5A-46C0-9D7F-88841D9717F8}"/>
    <cellStyle name="Normal 2 5 4 5 4" xfId="9765" xr:uid="{C171A04D-CEE9-4C07-B16C-A339E01F353C}"/>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74D37387-1D7E-49E0-A579-A7127D5C7FFD}"/>
    <cellStyle name="Normal 2 5 4 6 2 3" xfId="12323" xr:uid="{A5142A39-33E6-49B4-AC40-EB37C8381CFB}"/>
    <cellStyle name="Normal 2 5 4 6 3" xfId="5946" xr:uid="{00000000-0005-0000-0000-00005D110000}"/>
    <cellStyle name="Normal 2 5 4 6 3 2" xfId="14396" xr:uid="{30EAA05B-9647-4392-B809-7BCA4EBA1765}"/>
    <cellStyle name="Normal 2 5 4 6 4" xfId="10178" xr:uid="{DC60B4B2-5D51-4D31-A9F0-2B05F0E965B8}"/>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A5201CB7-02B0-4DCC-AE19-8F75235045F8}"/>
    <cellStyle name="Normal 2 5 4 7 2 3" xfId="12736" xr:uid="{7659356B-0380-482B-9834-6499023FD5F8}"/>
    <cellStyle name="Normal 2 5 4 7 3" xfId="6359" xr:uid="{00000000-0005-0000-0000-000061110000}"/>
    <cellStyle name="Normal 2 5 4 7 3 2" xfId="14809" xr:uid="{4AA5BC78-83BA-40A2-9AF1-220C4EB93B02}"/>
    <cellStyle name="Normal 2 5 4 7 4" xfId="10591" xr:uid="{2574E2C8-0D96-4A8E-B892-B0F8E9AB17AC}"/>
    <cellStyle name="Normal 2 5 4 8" xfId="2489" xr:uid="{00000000-0005-0000-0000-000062110000}"/>
    <cellStyle name="Normal 2 5 4 8 2" xfId="6772" xr:uid="{00000000-0005-0000-0000-000063110000}"/>
    <cellStyle name="Normal 2 5 4 8 2 2" xfId="15222" xr:uid="{BC994349-7EA7-4043-A98D-C0FE22AF0F79}"/>
    <cellStyle name="Normal 2 5 4 8 3" xfId="11004" xr:uid="{7C757030-D424-464F-BC57-5F147D1C15CD}"/>
    <cellStyle name="Normal 2 5 4 9" xfId="4706" xr:uid="{00000000-0005-0000-0000-000064110000}"/>
    <cellStyle name="Normal 2 5 4 9 2" xfId="13156" xr:uid="{6E2B359F-E3B6-40E3-960E-5168D7752AA5}"/>
    <cellStyle name="Normal 2 5 5" xfId="803" xr:uid="{00000000-0005-0000-0000-000065110000}"/>
    <cellStyle name="Normal 2 5 5 2" xfId="3042" xr:uid="{00000000-0005-0000-0000-000066110000}"/>
    <cellStyle name="Normal 2 5 5 2 2" xfId="7264" xr:uid="{00000000-0005-0000-0000-000067110000}"/>
    <cellStyle name="Normal 2 5 5 2 2 2" xfId="15714" xr:uid="{37FD68B3-CD61-4519-B066-B58CE0C26203}"/>
    <cellStyle name="Normal 2 5 5 2 3" xfId="11496" xr:uid="{6129E08A-7BE8-4ED7-BF40-8582FE59B1F5}"/>
    <cellStyle name="Normal 2 5 5 3" xfId="5119" xr:uid="{00000000-0005-0000-0000-000068110000}"/>
    <cellStyle name="Normal 2 5 5 3 2" xfId="13569" xr:uid="{3D5A92AA-C886-4A85-8CF4-A5A4B89E3954}"/>
    <cellStyle name="Normal 2 5 5 4" xfId="9351" xr:uid="{5843E40A-0427-4425-9782-53F0400EAA1F}"/>
    <cellStyle name="Normal 2 5 6" xfId="1225" xr:uid="{00000000-0005-0000-0000-000069110000}"/>
    <cellStyle name="Normal 2 5 6 2" xfId="3455" xr:uid="{00000000-0005-0000-0000-00006A110000}"/>
    <cellStyle name="Normal 2 5 6 2 2" xfId="7677" xr:uid="{00000000-0005-0000-0000-00006B110000}"/>
    <cellStyle name="Normal 2 5 6 2 2 2" xfId="16127" xr:uid="{BD3BA31E-9492-402A-AAA3-1A1FC7838B7B}"/>
    <cellStyle name="Normal 2 5 6 2 3" xfId="11909" xr:uid="{CDFA8E30-147F-4EE5-943D-2B32F8003370}"/>
    <cellStyle name="Normal 2 5 6 3" xfId="5532" xr:uid="{00000000-0005-0000-0000-00006C110000}"/>
    <cellStyle name="Normal 2 5 6 3 2" xfId="13982" xr:uid="{1108033C-5A0A-4F90-B7E9-5FE47F474740}"/>
    <cellStyle name="Normal 2 5 6 4" xfId="9764" xr:uid="{D6C57301-99D0-42D7-85D7-77857BDCE382}"/>
    <cellStyle name="Normal 2 5 7" xfId="1638" xr:uid="{00000000-0005-0000-0000-00006D110000}"/>
    <cellStyle name="Normal 2 5 7 2" xfId="3868" xr:uid="{00000000-0005-0000-0000-00006E110000}"/>
    <cellStyle name="Normal 2 5 7 2 2" xfId="8090" xr:uid="{00000000-0005-0000-0000-00006F110000}"/>
    <cellStyle name="Normal 2 5 7 2 2 2" xfId="16540" xr:uid="{E5CABD66-0D74-4DE7-987E-74451AA60490}"/>
    <cellStyle name="Normal 2 5 7 2 3" xfId="12322" xr:uid="{2E99F3E9-9F56-479B-AD82-9FC2D9A6956C}"/>
    <cellStyle name="Normal 2 5 7 3" xfId="5945" xr:uid="{00000000-0005-0000-0000-000070110000}"/>
    <cellStyle name="Normal 2 5 7 3 2" xfId="14395" xr:uid="{15E283DD-9A6F-4273-A5E2-825E9434AC61}"/>
    <cellStyle name="Normal 2 5 7 4" xfId="10177" xr:uid="{8A33A16E-3777-42B4-BE5F-A3B5D4D421BC}"/>
    <cellStyle name="Normal 2 5 8" xfId="2052" xr:uid="{00000000-0005-0000-0000-000071110000}"/>
    <cellStyle name="Normal 2 5 8 2" xfId="4281" xr:uid="{00000000-0005-0000-0000-000072110000}"/>
    <cellStyle name="Normal 2 5 8 2 2" xfId="8503" xr:uid="{00000000-0005-0000-0000-000073110000}"/>
    <cellStyle name="Normal 2 5 8 2 2 2" xfId="16953" xr:uid="{40E4F86B-CB15-4E1F-9A21-86FD9EA97DB4}"/>
    <cellStyle name="Normal 2 5 8 2 3" xfId="12735" xr:uid="{0E766B2F-F4CE-42E7-9333-BCE312B9DF3E}"/>
    <cellStyle name="Normal 2 5 8 3" xfId="6358" xr:uid="{00000000-0005-0000-0000-000074110000}"/>
    <cellStyle name="Normal 2 5 8 3 2" xfId="14808" xr:uid="{DC5188E7-9F3D-4C25-A8F6-78FEDC45D788}"/>
    <cellStyle name="Normal 2 5 8 4" xfId="10590" xr:uid="{CF397EC7-78D3-477E-89C2-A073FFFBE82B}"/>
    <cellStyle name="Normal 2 5 9" xfId="2488" xr:uid="{00000000-0005-0000-0000-000075110000}"/>
    <cellStyle name="Normal 2 5 9 2" xfId="6771" xr:uid="{00000000-0005-0000-0000-000076110000}"/>
    <cellStyle name="Normal 2 5 9 2 2" xfId="15221" xr:uid="{19FD5931-14B1-4419-B89D-C5002D1F154B}"/>
    <cellStyle name="Normal 2 5 9 3" xfId="11003" xr:uid="{18C7F49F-48C7-4015-8054-45AAF799F9D9}"/>
    <cellStyle name="Normal 2 6" xfId="322" xr:uid="{00000000-0005-0000-0000-000077110000}"/>
    <cellStyle name="Normal 2 7" xfId="769" xr:uid="{00000000-0005-0000-0000-000078110000}"/>
    <cellStyle name="Normal 2 8" xfId="4495" xr:uid="{00000000-0005-0000-0000-000079110000}"/>
    <cellStyle name="Normal 2 8 2" xfId="12947" xr:uid="{9DCD12F9-7B06-4A38-A9BC-2B712CF5CC33}"/>
    <cellStyle name="Normal 3" xfId="323" xr:uid="{00000000-0005-0000-0000-00007A110000}"/>
    <cellStyle name="Normal 3 2" xfId="324" xr:uid="{00000000-0005-0000-0000-00007B110000}"/>
    <cellStyle name="Normal 3 2 10" xfId="8942" xr:uid="{EE570A42-37AC-400E-BAC0-879823DA193A}"/>
    <cellStyle name="Normal 3 2 2" xfId="325" xr:uid="{00000000-0005-0000-0000-00007C110000}"/>
    <cellStyle name="Normal 3 2 2 2" xfId="810" xr:uid="{00000000-0005-0000-0000-00007D110000}"/>
    <cellStyle name="Normal 3 2 3" xfId="326" xr:uid="{00000000-0005-0000-0000-00007E110000}"/>
    <cellStyle name="Normal 3 2 3 10" xfId="8943" xr:uid="{A13BFF9B-F2F4-49CF-8BD1-5CA724AC231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996DAA35-33A6-4940-9FE2-55B4DC0B8351}"/>
    <cellStyle name="Normal 3 2 3 2 2 2 2 3" xfId="11504" xr:uid="{ABE94EC1-CD72-480D-95BB-7E3E02B99C67}"/>
    <cellStyle name="Normal 3 2 3 2 2 2 3" xfId="5127" xr:uid="{00000000-0005-0000-0000-000084110000}"/>
    <cellStyle name="Normal 3 2 3 2 2 2 3 2" xfId="13577" xr:uid="{368F9B0F-FC10-4D69-8BE2-62D33143130A}"/>
    <cellStyle name="Normal 3 2 3 2 2 2 4" xfId="9359" xr:uid="{73E12AC0-27C3-4AF3-9AEE-058E825D0216}"/>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AA062C14-A8EC-478E-B670-D3242865BC8C}"/>
    <cellStyle name="Normal 3 2 3 2 2 3 2 3" xfId="11917" xr:uid="{CD6CAEB9-B8AE-4A98-969D-B35CCDB0F306}"/>
    <cellStyle name="Normal 3 2 3 2 2 3 3" xfId="5540" xr:uid="{00000000-0005-0000-0000-000088110000}"/>
    <cellStyle name="Normal 3 2 3 2 2 3 3 2" xfId="13990" xr:uid="{DF63AA5E-F884-4AEF-A43E-819C00FA6ED2}"/>
    <cellStyle name="Normal 3 2 3 2 2 3 4" xfId="9772" xr:uid="{2F054A99-F19A-47A5-96F2-15CCC064B86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052A6E2C-BB8B-479A-8BEA-F2981D244BD4}"/>
    <cellStyle name="Normal 3 2 3 2 2 4 2 3" xfId="12330" xr:uid="{7D7F8F1E-4C0A-4126-BC11-58DC41B3A8A5}"/>
    <cellStyle name="Normal 3 2 3 2 2 4 3" xfId="5953" xr:uid="{00000000-0005-0000-0000-00008C110000}"/>
    <cellStyle name="Normal 3 2 3 2 2 4 3 2" xfId="14403" xr:uid="{31E55C70-F46A-4BC5-A470-83D2556E12EF}"/>
    <cellStyle name="Normal 3 2 3 2 2 4 4" xfId="10185" xr:uid="{78F7BD21-FAE0-4381-8F89-E54D5FDD4721}"/>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C3789845-C431-450E-9563-ED96B0AF24AD}"/>
    <cellStyle name="Normal 3 2 3 2 2 5 2 3" xfId="12743" xr:uid="{B1ACFB25-C1DB-4BC9-A268-0487EF012844}"/>
    <cellStyle name="Normal 3 2 3 2 2 5 3" xfId="6366" xr:uid="{00000000-0005-0000-0000-000090110000}"/>
    <cellStyle name="Normal 3 2 3 2 2 5 3 2" xfId="14816" xr:uid="{CC6FBF7D-08B3-4C34-BE2A-9EE58197E869}"/>
    <cellStyle name="Normal 3 2 3 2 2 5 4" xfId="10598" xr:uid="{E6EBB526-9676-4494-98EB-AE7713B7CA9E}"/>
    <cellStyle name="Normal 3 2 3 2 2 6" xfId="2496" xr:uid="{00000000-0005-0000-0000-000091110000}"/>
    <cellStyle name="Normal 3 2 3 2 2 6 2" xfId="6779" xr:uid="{00000000-0005-0000-0000-000092110000}"/>
    <cellStyle name="Normal 3 2 3 2 2 6 2 2" xfId="15229" xr:uid="{9B0264DD-D663-4C08-8A51-E8F41D1C4CA1}"/>
    <cellStyle name="Normal 3 2 3 2 2 6 3" xfId="11011" xr:uid="{60D02976-4263-4098-B6BD-B16715BC8782}"/>
    <cellStyle name="Normal 3 2 3 2 2 7" xfId="4713" xr:uid="{00000000-0005-0000-0000-000093110000}"/>
    <cellStyle name="Normal 3 2 3 2 2 7 2" xfId="13163" xr:uid="{6BE823C6-9221-4D7D-9F5D-A857539BAD57}"/>
    <cellStyle name="Normal 3 2 3 2 2 8" xfId="8945" xr:uid="{751046E7-7A91-4DBF-A82D-33FDFBBF5E82}"/>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8FB1C192-F0E3-49AA-B7C8-792D6040D9CC}"/>
    <cellStyle name="Normal 3 2 3 2 3 2 3" xfId="11503" xr:uid="{C0848F40-DB3D-4DCC-B086-DCA63E9FAB33}"/>
    <cellStyle name="Normal 3 2 3 2 3 3" xfId="5126" xr:uid="{00000000-0005-0000-0000-000097110000}"/>
    <cellStyle name="Normal 3 2 3 2 3 3 2" xfId="13576" xr:uid="{3FBB2028-70DE-4BC5-9EDD-3C22821BECD1}"/>
    <cellStyle name="Normal 3 2 3 2 3 4" xfId="9358" xr:uid="{5249D20F-7EFF-468B-B134-B32D197AEA37}"/>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6F59264C-5F51-4E53-899E-4AAFF355A606}"/>
    <cellStyle name="Normal 3 2 3 2 4 2 3" xfId="11916" xr:uid="{4D68BF22-8C54-47D6-A792-1F79FD7B132F}"/>
    <cellStyle name="Normal 3 2 3 2 4 3" xfId="5539" xr:uid="{00000000-0005-0000-0000-00009B110000}"/>
    <cellStyle name="Normal 3 2 3 2 4 3 2" xfId="13989" xr:uid="{242771A8-A7D6-4511-A3A8-C736F996B12A}"/>
    <cellStyle name="Normal 3 2 3 2 4 4" xfId="9771" xr:uid="{F3E27FEC-4FC1-43AA-9CEA-9173F3CCDE60}"/>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041B30F8-460A-49E2-AC63-BF6202B02D57}"/>
    <cellStyle name="Normal 3 2 3 2 5 2 3" xfId="12329" xr:uid="{BBEAA1C1-75E6-4736-BE30-7294893738F9}"/>
    <cellStyle name="Normal 3 2 3 2 5 3" xfId="5952" xr:uid="{00000000-0005-0000-0000-00009F110000}"/>
    <cellStyle name="Normal 3 2 3 2 5 3 2" xfId="14402" xr:uid="{C09C869B-7306-47AA-9FF7-3B7784B16A3D}"/>
    <cellStyle name="Normal 3 2 3 2 5 4" xfId="10184" xr:uid="{CC47A62E-49C4-4052-A0D4-ECE6875C5F8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5F9A6D69-00E0-45F3-8FEB-4A6D17F2C846}"/>
    <cellStyle name="Normal 3 2 3 2 6 2 3" xfId="12742" xr:uid="{5479479E-9FD6-446E-892D-BBAA11CB9DF2}"/>
    <cellStyle name="Normal 3 2 3 2 6 3" xfId="6365" xr:uid="{00000000-0005-0000-0000-0000A3110000}"/>
    <cellStyle name="Normal 3 2 3 2 6 3 2" xfId="14815" xr:uid="{40AF7F9A-9388-4F84-A6BB-62A5E8E4E22A}"/>
    <cellStyle name="Normal 3 2 3 2 6 4" xfId="10597" xr:uid="{E112AA32-4481-4535-9C9C-DF29E69BDE40}"/>
    <cellStyle name="Normal 3 2 3 2 7" xfId="2495" xr:uid="{00000000-0005-0000-0000-0000A4110000}"/>
    <cellStyle name="Normal 3 2 3 2 7 2" xfId="6778" xr:uid="{00000000-0005-0000-0000-0000A5110000}"/>
    <cellStyle name="Normal 3 2 3 2 7 2 2" xfId="15228" xr:uid="{FC22EC29-6329-4361-8671-9ACF88821D2C}"/>
    <cellStyle name="Normal 3 2 3 2 7 3" xfId="11010" xr:uid="{77035618-0D77-47D8-B66A-2CE3D8B0DA65}"/>
    <cellStyle name="Normal 3 2 3 2 8" xfId="4712" xr:uid="{00000000-0005-0000-0000-0000A6110000}"/>
    <cellStyle name="Normal 3 2 3 2 8 2" xfId="13162" xr:uid="{FAC29C5C-0A6C-452E-999D-4DC4CB6E398D}"/>
    <cellStyle name="Normal 3 2 3 2 9" xfId="8944" xr:uid="{EC81BCE5-A5FA-475E-8B54-35B6762F7832}"/>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5E3BA409-595E-45AA-9AEC-D2BE242A12AE}"/>
    <cellStyle name="Normal 3 2 3 3 2 2 3" xfId="11505" xr:uid="{A523405A-1297-424C-98B1-3785D4647C41}"/>
    <cellStyle name="Normal 3 2 3 3 2 3" xfId="5128" xr:uid="{00000000-0005-0000-0000-0000AB110000}"/>
    <cellStyle name="Normal 3 2 3 3 2 3 2" xfId="13578" xr:uid="{7407005F-767A-4010-B8AC-3179181F8235}"/>
    <cellStyle name="Normal 3 2 3 3 2 4" xfId="9360" xr:uid="{8EC81226-2F7C-46CB-8E9D-7EFF3DE13674}"/>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41A58E98-59DD-4868-AFEA-12E486DC21B3}"/>
    <cellStyle name="Normal 3 2 3 3 3 2 3" xfId="11918" xr:uid="{DB50296A-3B43-4C88-AC95-814057627E64}"/>
    <cellStyle name="Normal 3 2 3 3 3 3" xfId="5541" xr:uid="{00000000-0005-0000-0000-0000AF110000}"/>
    <cellStyle name="Normal 3 2 3 3 3 3 2" xfId="13991" xr:uid="{D9F97815-3EE9-4DDF-A57E-7BFBC095ABF3}"/>
    <cellStyle name="Normal 3 2 3 3 3 4" xfId="9773" xr:uid="{B64FB93A-6F86-4B77-9F2D-A422E060910F}"/>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E572DF6C-EA12-46EE-B708-E2024C795F69}"/>
    <cellStyle name="Normal 3 2 3 3 4 2 3" xfId="12331" xr:uid="{4A55B1CE-3797-4480-97CE-6144F34387DB}"/>
    <cellStyle name="Normal 3 2 3 3 4 3" xfId="5954" xr:uid="{00000000-0005-0000-0000-0000B3110000}"/>
    <cellStyle name="Normal 3 2 3 3 4 3 2" xfId="14404" xr:uid="{5C4D2715-363A-4382-A963-154CEEE60DF1}"/>
    <cellStyle name="Normal 3 2 3 3 4 4" xfId="10186" xr:uid="{D5E6DBA3-D8A5-4327-9179-D977B6AFEFF0}"/>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328E312-547E-4AC2-B77D-D8FD8C7A9C12}"/>
    <cellStyle name="Normal 3 2 3 3 5 2 3" xfId="12744" xr:uid="{5443D096-C7C6-4224-AE66-DC5BC36479D4}"/>
    <cellStyle name="Normal 3 2 3 3 5 3" xfId="6367" xr:uid="{00000000-0005-0000-0000-0000B7110000}"/>
    <cellStyle name="Normal 3 2 3 3 5 3 2" xfId="14817" xr:uid="{871A5B3A-F5C7-46A1-8890-9B8125645B4C}"/>
    <cellStyle name="Normal 3 2 3 3 5 4" xfId="10599" xr:uid="{840D24F9-8DCC-4E2F-99C3-6F758E92E660}"/>
    <cellStyle name="Normal 3 2 3 3 6" xfId="2497" xr:uid="{00000000-0005-0000-0000-0000B8110000}"/>
    <cellStyle name="Normal 3 2 3 3 6 2" xfId="6780" xr:uid="{00000000-0005-0000-0000-0000B9110000}"/>
    <cellStyle name="Normal 3 2 3 3 6 2 2" xfId="15230" xr:uid="{05507BF2-1506-4EA9-BC78-62E26F2D175A}"/>
    <cellStyle name="Normal 3 2 3 3 6 3" xfId="11012" xr:uid="{086F83F2-752F-4D2A-8861-2559D644185F}"/>
    <cellStyle name="Normal 3 2 3 3 7" xfId="4714" xr:uid="{00000000-0005-0000-0000-0000BA110000}"/>
    <cellStyle name="Normal 3 2 3 3 7 2" xfId="13164" xr:uid="{84BCDC3E-15BE-40E9-9E45-7DB7FDF6BE52}"/>
    <cellStyle name="Normal 3 2 3 3 8" xfId="8946" xr:uid="{BAA224DB-F43E-4FFC-97D0-06B0BD559BD9}"/>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73E01EAD-D315-4C9E-956B-CB4FE7378789}"/>
    <cellStyle name="Normal 3 2 3 4 2 3" xfId="11502" xr:uid="{1DD9E708-43D0-41CC-AD61-F066069C486F}"/>
    <cellStyle name="Normal 3 2 3 4 3" xfId="5125" xr:uid="{00000000-0005-0000-0000-0000BE110000}"/>
    <cellStyle name="Normal 3 2 3 4 3 2" xfId="13575" xr:uid="{E585DA3A-B108-4E7C-A51D-6CA862C8A1EB}"/>
    <cellStyle name="Normal 3 2 3 4 4" xfId="9357" xr:uid="{3C41F744-F119-4011-8243-1240CDC0D58D}"/>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71A78414-0A8B-4B1C-81A8-381F66235049}"/>
    <cellStyle name="Normal 3 2 3 5 2 3" xfId="11915" xr:uid="{4C54B1DE-D33E-445E-8F88-B4F65D9C4C9B}"/>
    <cellStyle name="Normal 3 2 3 5 3" xfId="5538" xr:uid="{00000000-0005-0000-0000-0000C2110000}"/>
    <cellStyle name="Normal 3 2 3 5 3 2" xfId="13988" xr:uid="{B236C610-8009-4BA5-A729-5C313E4F5AF2}"/>
    <cellStyle name="Normal 3 2 3 5 4" xfId="9770" xr:uid="{443D087C-7BD5-4637-AB05-943C6C314644}"/>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7B52C58F-64DB-4538-BD63-48D8D572D148}"/>
    <cellStyle name="Normal 3 2 3 6 2 3" xfId="12328" xr:uid="{D476F166-CD56-4D85-885A-DC3746C5BA61}"/>
    <cellStyle name="Normal 3 2 3 6 3" xfId="5951" xr:uid="{00000000-0005-0000-0000-0000C6110000}"/>
    <cellStyle name="Normal 3 2 3 6 3 2" xfId="14401" xr:uid="{41EBE55D-2178-496E-94CB-24053619FB27}"/>
    <cellStyle name="Normal 3 2 3 6 4" xfId="10183" xr:uid="{13B6BC1C-2AE2-4393-A200-A412818EA51F}"/>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584B6792-A1FC-4F0C-A4D2-037F5827DE4F}"/>
    <cellStyle name="Normal 3 2 3 7 2 3" xfId="12741" xr:uid="{09E27B55-1D76-4B90-AB8E-F7CBAD0B33E1}"/>
    <cellStyle name="Normal 3 2 3 7 3" xfId="6364" xr:uid="{00000000-0005-0000-0000-0000CA110000}"/>
    <cellStyle name="Normal 3 2 3 7 3 2" xfId="14814" xr:uid="{06EED5E0-C84B-4FAE-BD39-EF4F1233A97E}"/>
    <cellStyle name="Normal 3 2 3 7 4" xfId="10596" xr:uid="{A39FFF8F-6B01-47BA-91F6-DE7698CA8298}"/>
    <cellStyle name="Normal 3 2 3 8" xfId="2494" xr:uid="{00000000-0005-0000-0000-0000CB110000}"/>
    <cellStyle name="Normal 3 2 3 8 2" xfId="6777" xr:uid="{00000000-0005-0000-0000-0000CC110000}"/>
    <cellStyle name="Normal 3 2 3 8 2 2" xfId="15227" xr:uid="{DB659346-F33D-42E9-905A-455A20AB42E4}"/>
    <cellStyle name="Normal 3 2 3 8 3" xfId="11009" xr:uid="{92BB0216-B863-4DE9-9DE4-DF0637081ADD}"/>
    <cellStyle name="Normal 3 2 3 9" xfId="4711" xr:uid="{00000000-0005-0000-0000-0000CD110000}"/>
    <cellStyle name="Normal 3 2 3 9 2" xfId="13161" xr:uid="{EDA03A43-39D1-43E0-97E2-4F7709DD4EFD}"/>
    <cellStyle name="Normal 3 2 4" xfId="809" xr:uid="{00000000-0005-0000-0000-0000CE110000}"/>
    <cellStyle name="Normal 3 2 4 2" xfId="3047" xr:uid="{00000000-0005-0000-0000-0000CF110000}"/>
    <cellStyle name="Normal 3 2 4 2 2" xfId="7269" xr:uid="{00000000-0005-0000-0000-0000D0110000}"/>
    <cellStyle name="Normal 3 2 4 2 2 2" xfId="15719" xr:uid="{C9353D8C-984C-463C-8F41-726B1BC7E9C1}"/>
    <cellStyle name="Normal 3 2 4 2 3" xfId="11501" xr:uid="{306FF6F9-F9FD-4303-8B07-3988328D627E}"/>
    <cellStyle name="Normal 3 2 4 3" xfId="5124" xr:uid="{00000000-0005-0000-0000-0000D1110000}"/>
    <cellStyle name="Normal 3 2 4 3 2" xfId="13574" xr:uid="{6D183197-1217-4203-9876-7B7CCDD3E8E7}"/>
    <cellStyle name="Normal 3 2 4 4" xfId="9356" xr:uid="{FB03F872-B4F7-40FB-AD6F-DC412E2CD64C}"/>
    <cellStyle name="Normal 3 2 5" xfId="1230" xr:uid="{00000000-0005-0000-0000-0000D2110000}"/>
    <cellStyle name="Normal 3 2 5 2" xfId="3460" xr:uid="{00000000-0005-0000-0000-0000D3110000}"/>
    <cellStyle name="Normal 3 2 5 2 2" xfId="7682" xr:uid="{00000000-0005-0000-0000-0000D4110000}"/>
    <cellStyle name="Normal 3 2 5 2 2 2" xfId="16132" xr:uid="{5C81D9C8-6A79-4E6E-89F0-A8ACBBF5F699}"/>
    <cellStyle name="Normal 3 2 5 2 3" xfId="11914" xr:uid="{045321AE-2B14-49ED-AD89-96093FF847C0}"/>
    <cellStyle name="Normal 3 2 5 3" xfId="5537" xr:uid="{00000000-0005-0000-0000-0000D5110000}"/>
    <cellStyle name="Normal 3 2 5 3 2" xfId="13987" xr:uid="{0AF95AD2-B9EE-4CC6-BC63-C8CE82523110}"/>
    <cellStyle name="Normal 3 2 5 4" xfId="9769" xr:uid="{2A57916C-D667-4BEA-95EE-B7A571EBC7C5}"/>
    <cellStyle name="Normal 3 2 6" xfId="1643" xr:uid="{00000000-0005-0000-0000-0000D6110000}"/>
    <cellStyle name="Normal 3 2 6 2" xfId="3873" xr:uid="{00000000-0005-0000-0000-0000D7110000}"/>
    <cellStyle name="Normal 3 2 6 2 2" xfId="8095" xr:uid="{00000000-0005-0000-0000-0000D8110000}"/>
    <cellStyle name="Normal 3 2 6 2 2 2" xfId="16545" xr:uid="{1EE4D207-C951-42D8-B969-9396C09A9609}"/>
    <cellStyle name="Normal 3 2 6 2 3" xfId="12327" xr:uid="{213F7381-C975-4EF4-9654-C45CA06F9709}"/>
    <cellStyle name="Normal 3 2 6 3" xfId="5950" xr:uid="{00000000-0005-0000-0000-0000D9110000}"/>
    <cellStyle name="Normal 3 2 6 3 2" xfId="14400" xr:uid="{DE390C0A-8903-4D04-B06A-D8F0683D3231}"/>
    <cellStyle name="Normal 3 2 6 4" xfId="10182" xr:uid="{E7DB7B9D-6ED3-4757-936D-6EFFEC28D92A}"/>
    <cellStyle name="Normal 3 2 7" xfId="2057" xr:uid="{00000000-0005-0000-0000-0000DA110000}"/>
    <cellStyle name="Normal 3 2 7 2" xfId="4286" xr:uid="{00000000-0005-0000-0000-0000DB110000}"/>
    <cellStyle name="Normal 3 2 7 2 2" xfId="8508" xr:uid="{00000000-0005-0000-0000-0000DC110000}"/>
    <cellStyle name="Normal 3 2 7 2 2 2" xfId="16958" xr:uid="{986F24CD-5B3D-4F54-971A-F7E7A25B0BCD}"/>
    <cellStyle name="Normal 3 2 7 2 3" xfId="12740" xr:uid="{33D0C59D-9A6F-4262-B8AD-B197042D7BD1}"/>
    <cellStyle name="Normal 3 2 7 3" xfId="6363" xr:uid="{00000000-0005-0000-0000-0000DD110000}"/>
    <cellStyle name="Normal 3 2 7 3 2" xfId="14813" xr:uid="{C4EFD4DB-BCFD-4B0F-9ADB-5344068DC612}"/>
    <cellStyle name="Normal 3 2 7 4" xfId="10595" xr:uid="{B185D68C-94E1-45BB-8150-BA24C2E96780}"/>
    <cellStyle name="Normal 3 2 8" xfId="2493" xr:uid="{00000000-0005-0000-0000-0000DE110000}"/>
    <cellStyle name="Normal 3 2 8 2" xfId="6776" xr:uid="{00000000-0005-0000-0000-0000DF110000}"/>
    <cellStyle name="Normal 3 2 8 2 2" xfId="15226" xr:uid="{D73D1331-4E21-4012-BE0E-0A4F61C24B0A}"/>
    <cellStyle name="Normal 3 2 8 3" xfId="11008" xr:uid="{78401823-AA69-4B8D-9964-D96A34D44742}"/>
    <cellStyle name="Normal 3 2 9" xfId="4710" xr:uid="{00000000-0005-0000-0000-0000E0110000}"/>
    <cellStyle name="Normal 3 2 9 2" xfId="13160" xr:uid="{7C6DA850-9551-4318-AA2C-C25674A597F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C2B1AEB0-8E5C-4090-A699-BE097F66B22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86C1DA12-1739-46EC-9A65-F093A6768F22}"/>
    <cellStyle name="Normal 4 2 2 10 2 3" xfId="12745" xr:uid="{153953C1-0035-42A6-A5DC-DABF77C6235E}"/>
    <cellStyle name="Normal 4 2 2 10 3" xfId="6368" xr:uid="{00000000-0005-0000-0000-0000ED110000}"/>
    <cellStyle name="Normal 4 2 2 10 3 2" xfId="14818" xr:uid="{B6A8869B-D1A5-4A11-BC48-FC4A2334D6C6}"/>
    <cellStyle name="Normal 4 2 2 10 4" xfId="10600" xr:uid="{5D8C5985-01E0-4077-BE21-1909DF9F1944}"/>
    <cellStyle name="Normal 4 2 2 11" xfId="2498" xr:uid="{00000000-0005-0000-0000-0000EE110000}"/>
    <cellStyle name="Normal 4 2 2 11 2" xfId="6781" xr:uid="{00000000-0005-0000-0000-0000EF110000}"/>
    <cellStyle name="Normal 4 2 2 11 2 2" xfId="15231" xr:uid="{60BA2A1F-13A2-45E0-84E3-57D6F48B0DA7}"/>
    <cellStyle name="Normal 4 2 2 11 3" xfId="11013" xr:uid="{4A3D6919-C846-491D-B3AE-D41E751D5F0E}"/>
    <cellStyle name="Normal 4 2 2 12" xfId="4716" xr:uid="{00000000-0005-0000-0000-0000F0110000}"/>
    <cellStyle name="Normal 4 2 2 12 2" xfId="13166" xr:uid="{FD0525F8-8E37-4F8B-8225-6BB7706BABB0}"/>
    <cellStyle name="Normal 4 2 2 13" xfId="8948" xr:uid="{53F18A9F-6A6B-48E4-802D-050F76289B72}"/>
    <cellStyle name="Normal 4 2 2 2" xfId="338" xr:uid="{00000000-0005-0000-0000-0000F1110000}"/>
    <cellStyle name="Normal 4 2 2 3" xfId="339" xr:uid="{00000000-0005-0000-0000-0000F2110000}"/>
    <cellStyle name="Normal 4 2 2 3 10" xfId="4717" xr:uid="{00000000-0005-0000-0000-0000F3110000}"/>
    <cellStyle name="Normal 4 2 2 3 10 2" xfId="13167" xr:uid="{928DB99E-B643-434A-B5AB-6F53573B2AF0}"/>
    <cellStyle name="Normal 4 2 2 3 11" xfId="8949" xr:uid="{0FC9F562-D6AB-4602-951A-0DCE1F1EF377}"/>
    <cellStyle name="Normal 4 2 2 3 2" xfId="340" xr:uid="{00000000-0005-0000-0000-0000F4110000}"/>
    <cellStyle name="Normal 4 2 2 3 2 10" xfId="8950" xr:uid="{7D339438-BF1A-4771-9117-6A5981CA3DDE}"/>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679A6A04-3476-477F-A385-207B42FDA329}"/>
    <cellStyle name="Normal 4 2 2 3 2 2 2 2 2 3" xfId="11510" xr:uid="{762CA045-232F-4107-98C1-13A133E627A5}"/>
    <cellStyle name="Normal 4 2 2 3 2 2 2 2 3" xfId="5133" xr:uid="{00000000-0005-0000-0000-0000FA110000}"/>
    <cellStyle name="Normal 4 2 2 3 2 2 2 2 3 2" xfId="13583" xr:uid="{2742CBD4-7694-4532-BEF9-23DFC19713C5}"/>
    <cellStyle name="Normal 4 2 2 3 2 2 2 2 4" xfId="9365" xr:uid="{FA0F0C70-51CF-4873-AEF3-0C35DBE39A4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AAFD48EE-05BB-46F3-9871-0B3EFD622EA8}"/>
    <cellStyle name="Normal 4 2 2 3 2 2 2 3 2 3" xfId="11923" xr:uid="{9ABF13E9-7BB2-4B9C-B3BE-F48A1194833A}"/>
    <cellStyle name="Normal 4 2 2 3 2 2 2 3 3" xfId="5546" xr:uid="{00000000-0005-0000-0000-0000FE110000}"/>
    <cellStyle name="Normal 4 2 2 3 2 2 2 3 3 2" xfId="13996" xr:uid="{2710F34D-8828-478A-B636-8A7D61C7A90A}"/>
    <cellStyle name="Normal 4 2 2 3 2 2 2 3 4" xfId="9778" xr:uid="{026ADFBD-A911-4F75-81D9-8856FCDD8D0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E2B09BA8-7A54-4D19-9B32-08CEEC2ED6EB}"/>
    <cellStyle name="Normal 4 2 2 3 2 2 2 4 2 3" xfId="12336" xr:uid="{4B0DBDD2-504A-4D33-A1A6-E47D9D953FF6}"/>
    <cellStyle name="Normal 4 2 2 3 2 2 2 4 3" xfId="5959" xr:uid="{00000000-0005-0000-0000-000002120000}"/>
    <cellStyle name="Normal 4 2 2 3 2 2 2 4 3 2" xfId="14409" xr:uid="{2CE51438-74AD-4812-9EF4-825B824D3090}"/>
    <cellStyle name="Normal 4 2 2 3 2 2 2 4 4" xfId="10191" xr:uid="{D6A6DA29-2360-4E55-81BD-D171C00CEA71}"/>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F79DDFD7-C168-4CCD-9AD2-E251A20F8B91}"/>
    <cellStyle name="Normal 4 2 2 3 2 2 2 5 2 3" xfId="12749" xr:uid="{E969522C-3343-4687-B44A-F1105203835D}"/>
    <cellStyle name="Normal 4 2 2 3 2 2 2 5 3" xfId="6372" xr:uid="{00000000-0005-0000-0000-000006120000}"/>
    <cellStyle name="Normal 4 2 2 3 2 2 2 5 3 2" xfId="14822" xr:uid="{9D2BD37B-1F77-4447-B139-33F08D42B038}"/>
    <cellStyle name="Normal 4 2 2 3 2 2 2 5 4" xfId="10604" xr:uid="{4FA6CF3B-793A-4A24-AFDF-9756610ABB9D}"/>
    <cellStyle name="Normal 4 2 2 3 2 2 2 6" xfId="2502" xr:uid="{00000000-0005-0000-0000-000007120000}"/>
    <cellStyle name="Normal 4 2 2 3 2 2 2 6 2" xfId="6785" xr:uid="{00000000-0005-0000-0000-000008120000}"/>
    <cellStyle name="Normal 4 2 2 3 2 2 2 6 2 2" xfId="15235" xr:uid="{9825AAC2-85AD-4D36-A729-C0A17C9393FD}"/>
    <cellStyle name="Normal 4 2 2 3 2 2 2 6 3" xfId="11017" xr:uid="{15A51EDB-96B1-42D3-B2C1-3EC6D93E0A09}"/>
    <cellStyle name="Normal 4 2 2 3 2 2 2 7" xfId="4720" xr:uid="{00000000-0005-0000-0000-000009120000}"/>
    <cellStyle name="Normal 4 2 2 3 2 2 2 7 2" xfId="13170" xr:uid="{B2F4ADAE-11CE-4F5C-81BE-5830E03148CC}"/>
    <cellStyle name="Normal 4 2 2 3 2 2 2 8" xfId="8952" xr:uid="{C6218C00-7A6C-4213-8CE3-4E76543E715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EFE5930A-3948-4418-BD0B-FEDF36CC8BE2}"/>
    <cellStyle name="Normal 4 2 2 3 2 2 3 2 3" xfId="11509" xr:uid="{049315D4-28BC-406A-8979-7B8445B34C27}"/>
    <cellStyle name="Normal 4 2 2 3 2 2 3 3" xfId="5132" xr:uid="{00000000-0005-0000-0000-00000D120000}"/>
    <cellStyle name="Normal 4 2 2 3 2 2 3 3 2" xfId="13582" xr:uid="{5FCAC714-3063-4E39-B989-E814A8E788B4}"/>
    <cellStyle name="Normal 4 2 2 3 2 2 3 4" xfId="9364" xr:uid="{8E0E28DF-1AE5-4CC7-8E91-EE24D7C48D3F}"/>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48CD345D-A960-4EA7-88D7-059670F0B122}"/>
    <cellStyle name="Normal 4 2 2 3 2 2 4 2 3" xfId="11922" xr:uid="{D8AB7A7C-C9ED-4515-AE7E-3839FC92EEA3}"/>
    <cellStyle name="Normal 4 2 2 3 2 2 4 3" xfId="5545" xr:uid="{00000000-0005-0000-0000-000011120000}"/>
    <cellStyle name="Normal 4 2 2 3 2 2 4 3 2" xfId="13995" xr:uid="{9D292E10-2EDF-41A9-B631-5C308F18FEAB}"/>
    <cellStyle name="Normal 4 2 2 3 2 2 4 4" xfId="9777" xr:uid="{D8A78E1C-7D1A-4F4E-B7CF-CCF0167A52E9}"/>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8FCB4345-8C1D-4B60-8671-C474F4AC330D}"/>
    <cellStyle name="Normal 4 2 2 3 2 2 5 2 3" xfId="12335" xr:uid="{C67C7A22-51B4-41E8-AE05-370A3705A97C}"/>
    <cellStyle name="Normal 4 2 2 3 2 2 5 3" xfId="5958" xr:uid="{00000000-0005-0000-0000-000015120000}"/>
    <cellStyle name="Normal 4 2 2 3 2 2 5 3 2" xfId="14408" xr:uid="{8183B545-7222-4184-91B2-43B0E1724C20}"/>
    <cellStyle name="Normal 4 2 2 3 2 2 5 4" xfId="10190" xr:uid="{66F2CAFE-CFD8-4965-8B61-2875DB539777}"/>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B5AE62D6-55F9-469F-845B-B634C0FC2627}"/>
    <cellStyle name="Normal 4 2 2 3 2 2 6 2 3" xfId="12748" xr:uid="{C7514BCC-D601-4F3D-9B85-0AF64B61E266}"/>
    <cellStyle name="Normal 4 2 2 3 2 2 6 3" xfId="6371" xr:uid="{00000000-0005-0000-0000-000019120000}"/>
    <cellStyle name="Normal 4 2 2 3 2 2 6 3 2" xfId="14821" xr:uid="{5FE1E6E8-FD8B-4E85-AE1E-93AAE87A0FCA}"/>
    <cellStyle name="Normal 4 2 2 3 2 2 6 4" xfId="10603" xr:uid="{915BED17-8871-44B2-AC80-C925E852717D}"/>
    <cellStyle name="Normal 4 2 2 3 2 2 7" xfId="2501" xr:uid="{00000000-0005-0000-0000-00001A120000}"/>
    <cellStyle name="Normal 4 2 2 3 2 2 7 2" xfId="6784" xr:uid="{00000000-0005-0000-0000-00001B120000}"/>
    <cellStyle name="Normal 4 2 2 3 2 2 7 2 2" xfId="15234" xr:uid="{C376FF65-9AFB-4C44-8A4F-7A3FD4106D91}"/>
    <cellStyle name="Normal 4 2 2 3 2 2 7 3" xfId="11016" xr:uid="{2FEC06BC-57D5-4146-BC92-D8CF9D7BDBD0}"/>
    <cellStyle name="Normal 4 2 2 3 2 2 8" xfId="4719" xr:uid="{00000000-0005-0000-0000-00001C120000}"/>
    <cellStyle name="Normal 4 2 2 3 2 2 8 2" xfId="13169" xr:uid="{AD882032-535F-4B11-A1E2-4CCA84A2DC55}"/>
    <cellStyle name="Normal 4 2 2 3 2 2 9" xfId="8951" xr:uid="{91B71743-6655-4068-96CE-5EF6DE6778E1}"/>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9E7533E5-3F07-4FE2-B590-AD58AFDEF4D6}"/>
    <cellStyle name="Normal 4 2 2 3 2 3 2 2 3" xfId="11511" xr:uid="{F431D3CF-CCCD-4768-AFC6-78745F24E994}"/>
    <cellStyle name="Normal 4 2 2 3 2 3 2 3" xfId="5134" xr:uid="{00000000-0005-0000-0000-000021120000}"/>
    <cellStyle name="Normal 4 2 2 3 2 3 2 3 2" xfId="13584" xr:uid="{880029FD-647C-472E-99D5-A6562797B399}"/>
    <cellStyle name="Normal 4 2 2 3 2 3 2 4" xfId="9366" xr:uid="{4A392CF6-B334-4EBC-B99E-77F0B006A5F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18CD0153-C040-463E-9C3F-28AA33436AB4}"/>
    <cellStyle name="Normal 4 2 2 3 2 3 3 2 3" xfId="11924" xr:uid="{6D58959D-741D-4646-ADED-B44D2AF4D0DE}"/>
    <cellStyle name="Normal 4 2 2 3 2 3 3 3" xfId="5547" xr:uid="{00000000-0005-0000-0000-000025120000}"/>
    <cellStyle name="Normal 4 2 2 3 2 3 3 3 2" xfId="13997" xr:uid="{BF4077BD-1C79-4CDF-98A3-AC363D33F3D5}"/>
    <cellStyle name="Normal 4 2 2 3 2 3 3 4" xfId="9779" xr:uid="{A0A1DE42-B647-4FB1-9635-AC153FD4878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7E87842F-6A58-407E-A435-DFC48506E4E8}"/>
    <cellStyle name="Normal 4 2 2 3 2 3 4 2 3" xfId="12337" xr:uid="{B4A8C4BE-EEB1-49EC-AC72-2D42C12581AF}"/>
    <cellStyle name="Normal 4 2 2 3 2 3 4 3" xfId="5960" xr:uid="{00000000-0005-0000-0000-000029120000}"/>
    <cellStyle name="Normal 4 2 2 3 2 3 4 3 2" xfId="14410" xr:uid="{7B09E3AD-AC6A-47B8-A9C7-58494E5F7B13}"/>
    <cellStyle name="Normal 4 2 2 3 2 3 4 4" xfId="10192" xr:uid="{84AF64C4-F35E-4C24-A4E3-FF1C1A0BB0C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3CD79F6E-0E1A-4C1A-AADC-3A4D38DF0240}"/>
    <cellStyle name="Normal 4 2 2 3 2 3 5 2 3" xfId="12750" xr:uid="{7162D37E-01D5-498F-B645-FA27610C1E77}"/>
    <cellStyle name="Normal 4 2 2 3 2 3 5 3" xfId="6373" xr:uid="{00000000-0005-0000-0000-00002D120000}"/>
    <cellStyle name="Normal 4 2 2 3 2 3 5 3 2" xfId="14823" xr:uid="{0B7A560C-204B-40AD-BCDA-F0CDE01F97D2}"/>
    <cellStyle name="Normal 4 2 2 3 2 3 5 4" xfId="10605" xr:uid="{50AE1A14-37DF-40DC-9EBD-62AE0A9FAD78}"/>
    <cellStyle name="Normal 4 2 2 3 2 3 6" xfId="2503" xr:uid="{00000000-0005-0000-0000-00002E120000}"/>
    <cellStyle name="Normal 4 2 2 3 2 3 6 2" xfId="6786" xr:uid="{00000000-0005-0000-0000-00002F120000}"/>
    <cellStyle name="Normal 4 2 2 3 2 3 6 2 2" xfId="15236" xr:uid="{641EE29F-9FCF-48DD-A837-2A578CC3716C}"/>
    <cellStyle name="Normal 4 2 2 3 2 3 6 3" xfId="11018" xr:uid="{6D195689-9E7C-4B73-ACE2-43093F72C19F}"/>
    <cellStyle name="Normal 4 2 2 3 2 3 7" xfId="4721" xr:uid="{00000000-0005-0000-0000-000030120000}"/>
    <cellStyle name="Normal 4 2 2 3 2 3 7 2" xfId="13171" xr:uid="{B4048FB7-5925-4502-865E-F90B6520F55D}"/>
    <cellStyle name="Normal 4 2 2 3 2 3 8" xfId="8953" xr:uid="{EB52FB54-3DAC-4827-91B2-44D5978E737D}"/>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4545794C-9E80-44E9-8B92-00BEA0F23D78}"/>
    <cellStyle name="Normal 4 2 2 3 2 4 2 3" xfId="11508" xr:uid="{EA7955B3-F07C-425E-A33A-D2A09B5B5A15}"/>
    <cellStyle name="Normal 4 2 2 3 2 4 3" xfId="5131" xr:uid="{00000000-0005-0000-0000-000034120000}"/>
    <cellStyle name="Normal 4 2 2 3 2 4 3 2" xfId="13581" xr:uid="{C783E329-2985-48A0-9F84-41FE55A5F71A}"/>
    <cellStyle name="Normal 4 2 2 3 2 4 4" xfId="9363" xr:uid="{B661FC97-E71F-4EB2-93AA-C0720678EA57}"/>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18BA9ADC-42A0-4877-8E41-B2FEB60A9D8D}"/>
    <cellStyle name="Normal 4 2 2 3 2 5 2 3" xfId="11921" xr:uid="{C5B33E73-0931-4ACD-920D-A08C1055E726}"/>
    <cellStyle name="Normal 4 2 2 3 2 5 3" xfId="5544" xr:uid="{00000000-0005-0000-0000-000038120000}"/>
    <cellStyle name="Normal 4 2 2 3 2 5 3 2" xfId="13994" xr:uid="{85223E01-0D64-4CA0-9E1F-A0200C908E3E}"/>
    <cellStyle name="Normal 4 2 2 3 2 5 4" xfId="9776" xr:uid="{F5FC6121-7B49-4961-AB75-8C241C3388D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84580723-8EC9-4367-9414-FDAE6739ED4F}"/>
    <cellStyle name="Normal 4 2 2 3 2 6 2 3" xfId="12334" xr:uid="{4E807FBA-67E5-44D2-8E2D-D007BB7CE20F}"/>
    <cellStyle name="Normal 4 2 2 3 2 6 3" xfId="5957" xr:uid="{00000000-0005-0000-0000-00003C120000}"/>
    <cellStyle name="Normal 4 2 2 3 2 6 3 2" xfId="14407" xr:uid="{5E39235B-9161-423C-BB23-9475FA686853}"/>
    <cellStyle name="Normal 4 2 2 3 2 6 4" xfId="10189" xr:uid="{4B8224A6-5A8B-4DAB-8AB8-52E76990986B}"/>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8E72EBBF-D625-46EA-A58E-7359193FD27B}"/>
    <cellStyle name="Normal 4 2 2 3 2 7 2 3" xfId="12747" xr:uid="{A5BF8943-228D-4E8D-ACF4-4A584B494461}"/>
    <cellStyle name="Normal 4 2 2 3 2 7 3" xfId="6370" xr:uid="{00000000-0005-0000-0000-000040120000}"/>
    <cellStyle name="Normal 4 2 2 3 2 7 3 2" xfId="14820" xr:uid="{CC44390B-0334-4893-818A-614D16734197}"/>
    <cellStyle name="Normal 4 2 2 3 2 7 4" xfId="10602" xr:uid="{8BDBD184-1FB6-47EB-A315-94B628A3CB43}"/>
    <cellStyle name="Normal 4 2 2 3 2 8" xfId="2500" xr:uid="{00000000-0005-0000-0000-000041120000}"/>
    <cellStyle name="Normal 4 2 2 3 2 8 2" xfId="6783" xr:uid="{00000000-0005-0000-0000-000042120000}"/>
    <cellStyle name="Normal 4 2 2 3 2 8 2 2" xfId="15233" xr:uid="{0F1B5D00-EF7B-4BEC-8A03-8FFC6DF77436}"/>
    <cellStyle name="Normal 4 2 2 3 2 8 3" xfId="11015" xr:uid="{753AFD42-3DD1-46AC-B623-0A3D7B31B7FF}"/>
    <cellStyle name="Normal 4 2 2 3 2 9" xfId="4718" xr:uid="{00000000-0005-0000-0000-000043120000}"/>
    <cellStyle name="Normal 4 2 2 3 2 9 2" xfId="13168" xr:uid="{836CA121-4AD1-4C92-B1B7-2378C32472FA}"/>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B6298808-80DD-4F99-AA21-0469D41685B7}"/>
    <cellStyle name="Normal 4 2 2 3 3 2 2 2 3" xfId="11513" xr:uid="{D8F6D8E8-C094-4687-BB45-CE8B360B61E7}"/>
    <cellStyle name="Normal 4 2 2 3 3 2 2 3" xfId="5136" xr:uid="{00000000-0005-0000-0000-000049120000}"/>
    <cellStyle name="Normal 4 2 2 3 3 2 2 3 2" xfId="13586" xr:uid="{F4229519-3F72-4687-90AD-85F67D606CC9}"/>
    <cellStyle name="Normal 4 2 2 3 3 2 2 4" xfId="9368" xr:uid="{8A16C936-E6CC-41B2-BE9D-02AB63E0EA64}"/>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910D927-8D57-4CC7-897E-6F115F56885F}"/>
    <cellStyle name="Normal 4 2 2 3 3 2 3 2 3" xfId="11926" xr:uid="{A3CD58E3-DC32-44AB-98C6-60CAAF4BBEB0}"/>
    <cellStyle name="Normal 4 2 2 3 3 2 3 3" xfId="5549" xr:uid="{00000000-0005-0000-0000-00004D120000}"/>
    <cellStyle name="Normal 4 2 2 3 3 2 3 3 2" xfId="13999" xr:uid="{64387DA8-6149-4B08-9CA3-92964A43B138}"/>
    <cellStyle name="Normal 4 2 2 3 3 2 3 4" xfId="9781" xr:uid="{CC6BB459-0DCB-445E-87D8-45D2214517EB}"/>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23DACA76-7159-4A2B-B72C-9D461FD1600A}"/>
    <cellStyle name="Normal 4 2 2 3 3 2 4 2 3" xfId="12339" xr:uid="{01792AC3-8BEC-4BCE-B73D-DADFCD1A38C8}"/>
    <cellStyle name="Normal 4 2 2 3 3 2 4 3" xfId="5962" xr:uid="{00000000-0005-0000-0000-000051120000}"/>
    <cellStyle name="Normal 4 2 2 3 3 2 4 3 2" xfId="14412" xr:uid="{3DBFE544-2011-4845-9C78-899EAF38E56F}"/>
    <cellStyle name="Normal 4 2 2 3 3 2 4 4" xfId="10194" xr:uid="{587C6B63-01E4-4226-8B82-44DB54974ADF}"/>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CB1ED5FA-6BF4-4DAC-BAE3-063C1F17B42A}"/>
    <cellStyle name="Normal 4 2 2 3 3 2 5 2 3" xfId="12752" xr:uid="{0E47D30A-F8D6-4F83-A2AA-598B46DF8E23}"/>
    <cellStyle name="Normal 4 2 2 3 3 2 5 3" xfId="6375" xr:uid="{00000000-0005-0000-0000-000055120000}"/>
    <cellStyle name="Normal 4 2 2 3 3 2 5 3 2" xfId="14825" xr:uid="{824E725C-50C3-483B-8CA8-3F8054E6DDFB}"/>
    <cellStyle name="Normal 4 2 2 3 3 2 5 4" xfId="10607" xr:uid="{3942EA41-6671-4CED-9C55-B23908112AA5}"/>
    <cellStyle name="Normal 4 2 2 3 3 2 6" xfId="2505" xr:uid="{00000000-0005-0000-0000-000056120000}"/>
    <cellStyle name="Normal 4 2 2 3 3 2 6 2" xfId="6788" xr:uid="{00000000-0005-0000-0000-000057120000}"/>
    <cellStyle name="Normal 4 2 2 3 3 2 6 2 2" xfId="15238" xr:uid="{F463C5F3-358A-4647-9228-DDAFB6D57E0A}"/>
    <cellStyle name="Normal 4 2 2 3 3 2 6 3" xfId="11020" xr:uid="{FA54C8CF-472C-425A-96BB-9AF99C6ACC0A}"/>
    <cellStyle name="Normal 4 2 2 3 3 2 7" xfId="4723" xr:uid="{00000000-0005-0000-0000-000058120000}"/>
    <cellStyle name="Normal 4 2 2 3 3 2 7 2" xfId="13173" xr:uid="{BAFB6564-BDBF-4190-8EEB-ACBFE37BB590}"/>
    <cellStyle name="Normal 4 2 2 3 3 2 8" xfId="8955" xr:uid="{D10AEB95-73F9-4C3F-8B8F-016978DC591C}"/>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0D4B0B5F-DECD-4EA8-A959-3B3CB44ADE2B}"/>
    <cellStyle name="Normal 4 2 2 3 3 3 2 3" xfId="11512" xr:uid="{2DC957FF-C7F1-43DA-84DF-CC183461EC67}"/>
    <cellStyle name="Normal 4 2 2 3 3 3 3" xfId="5135" xr:uid="{00000000-0005-0000-0000-00005C120000}"/>
    <cellStyle name="Normal 4 2 2 3 3 3 3 2" xfId="13585" xr:uid="{CE166173-F34F-46A2-91E9-E3FAB1388967}"/>
    <cellStyle name="Normal 4 2 2 3 3 3 4" xfId="9367" xr:uid="{6E9B4F10-AB40-4C23-A90B-8685AF71345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7F0D4E82-473A-44EE-B624-5C140A14651C}"/>
    <cellStyle name="Normal 4 2 2 3 3 4 2 3" xfId="11925" xr:uid="{0AA4EDCF-6785-4AAF-B089-12E14E071BCC}"/>
    <cellStyle name="Normal 4 2 2 3 3 4 3" xfId="5548" xr:uid="{00000000-0005-0000-0000-000060120000}"/>
    <cellStyle name="Normal 4 2 2 3 3 4 3 2" xfId="13998" xr:uid="{5E66EF4E-9F72-46E3-98D0-4449EF92346C}"/>
    <cellStyle name="Normal 4 2 2 3 3 4 4" xfId="9780" xr:uid="{59942AB6-E44A-4B4C-99A3-0A59F0A0F9E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26DA5FEE-9881-455B-ADB3-BFF06BEE17B3}"/>
    <cellStyle name="Normal 4 2 2 3 3 5 2 3" xfId="12338" xr:uid="{48320D24-74DE-472B-9BFF-2E6D9659F546}"/>
    <cellStyle name="Normal 4 2 2 3 3 5 3" xfId="5961" xr:uid="{00000000-0005-0000-0000-000064120000}"/>
    <cellStyle name="Normal 4 2 2 3 3 5 3 2" xfId="14411" xr:uid="{4C44B7D7-C1C3-4340-B519-4AA6101B6955}"/>
    <cellStyle name="Normal 4 2 2 3 3 5 4" xfId="10193" xr:uid="{D7D3B230-D993-4699-96EA-8297807C4195}"/>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A09AD7E6-29DA-497F-B543-BE0D241D8486}"/>
    <cellStyle name="Normal 4 2 2 3 3 6 2 3" xfId="12751" xr:uid="{E0456B05-0E8A-4DBF-B6C9-605AF27E16B3}"/>
    <cellStyle name="Normal 4 2 2 3 3 6 3" xfId="6374" xr:uid="{00000000-0005-0000-0000-000068120000}"/>
    <cellStyle name="Normal 4 2 2 3 3 6 3 2" xfId="14824" xr:uid="{18258CC3-F52A-4488-B96A-CD8FC6FB3AEC}"/>
    <cellStyle name="Normal 4 2 2 3 3 6 4" xfId="10606" xr:uid="{08E4E186-5884-4F7D-BC76-95AA60A3555C}"/>
    <cellStyle name="Normal 4 2 2 3 3 7" xfId="2504" xr:uid="{00000000-0005-0000-0000-000069120000}"/>
    <cellStyle name="Normal 4 2 2 3 3 7 2" xfId="6787" xr:uid="{00000000-0005-0000-0000-00006A120000}"/>
    <cellStyle name="Normal 4 2 2 3 3 7 2 2" xfId="15237" xr:uid="{10DEA912-7DD5-47CC-8D0C-EC76BFCFE60D}"/>
    <cellStyle name="Normal 4 2 2 3 3 7 3" xfId="11019" xr:uid="{1FE0FE9C-842B-4EB8-888D-5432083D4A00}"/>
    <cellStyle name="Normal 4 2 2 3 3 8" xfId="4722" xr:uid="{00000000-0005-0000-0000-00006B120000}"/>
    <cellStyle name="Normal 4 2 2 3 3 8 2" xfId="13172" xr:uid="{A2840E61-70CA-4642-9A2B-48CA84534C45}"/>
    <cellStyle name="Normal 4 2 2 3 3 9" xfId="8954" xr:uid="{1B8949E4-3C94-4313-B60E-8AAAFDB790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5AFE1E30-8333-480F-949B-258E173DB686}"/>
    <cellStyle name="Normal 4 2 2 3 4 2 2 3" xfId="11514" xr:uid="{E1BCC6D3-3A4A-4DCD-B329-E6BB4572136B}"/>
    <cellStyle name="Normal 4 2 2 3 4 2 3" xfId="5137" xr:uid="{00000000-0005-0000-0000-000070120000}"/>
    <cellStyle name="Normal 4 2 2 3 4 2 3 2" xfId="13587" xr:uid="{061EA635-A22E-4717-BC60-099675B7BBF6}"/>
    <cellStyle name="Normal 4 2 2 3 4 2 4" xfId="9369" xr:uid="{F55E57BE-0124-44FA-BEB6-2C0BFEF7E3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D69F5CC7-51DC-4EEE-B304-1DDAC3316FF6}"/>
    <cellStyle name="Normal 4 2 2 3 4 3 2 3" xfId="11927" xr:uid="{C0C18D3B-6DF5-4DC4-BDAB-A052C983359B}"/>
    <cellStyle name="Normal 4 2 2 3 4 3 3" xfId="5550" xr:uid="{00000000-0005-0000-0000-000074120000}"/>
    <cellStyle name="Normal 4 2 2 3 4 3 3 2" xfId="14000" xr:uid="{7EC549B8-8B97-4EB9-9191-C7DBDD4CBB94}"/>
    <cellStyle name="Normal 4 2 2 3 4 3 4" xfId="9782" xr:uid="{66A05701-C39E-4544-8B0D-00F1ADCEE99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25220C20-D5ED-4E4F-9123-3F5F7E6FB431}"/>
    <cellStyle name="Normal 4 2 2 3 4 4 2 3" xfId="12340" xr:uid="{D4FB8989-2C78-4B14-9F83-793C6B20D8D2}"/>
    <cellStyle name="Normal 4 2 2 3 4 4 3" xfId="5963" xr:uid="{00000000-0005-0000-0000-000078120000}"/>
    <cellStyle name="Normal 4 2 2 3 4 4 3 2" xfId="14413" xr:uid="{272F856E-6842-4860-B0E3-413CA3219B4F}"/>
    <cellStyle name="Normal 4 2 2 3 4 4 4" xfId="10195" xr:uid="{68945C4A-5289-49FB-86C8-1DDF806CFD76}"/>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DF7E86B6-6D72-461D-A396-A47988D3725D}"/>
    <cellStyle name="Normal 4 2 2 3 4 5 2 3" xfId="12753" xr:uid="{E621E5AD-6973-4866-8462-E7D43BB0C318}"/>
    <cellStyle name="Normal 4 2 2 3 4 5 3" xfId="6376" xr:uid="{00000000-0005-0000-0000-00007C120000}"/>
    <cellStyle name="Normal 4 2 2 3 4 5 3 2" xfId="14826" xr:uid="{2B0671D6-D8D6-4A35-BAE7-185420AB8E5D}"/>
    <cellStyle name="Normal 4 2 2 3 4 5 4" xfId="10608" xr:uid="{C3D8BA1E-0155-4054-B5E3-F1AE7E3C03D4}"/>
    <cellStyle name="Normal 4 2 2 3 4 6" xfId="2506" xr:uid="{00000000-0005-0000-0000-00007D120000}"/>
    <cellStyle name="Normal 4 2 2 3 4 6 2" xfId="6789" xr:uid="{00000000-0005-0000-0000-00007E120000}"/>
    <cellStyle name="Normal 4 2 2 3 4 6 2 2" xfId="15239" xr:uid="{92580F97-FDB0-4FD4-A71D-1C3F9C3F26C3}"/>
    <cellStyle name="Normal 4 2 2 3 4 6 3" xfId="11021" xr:uid="{325E2ACB-4210-4C94-A7FD-13B35FB8F444}"/>
    <cellStyle name="Normal 4 2 2 3 4 7" xfId="4724" xr:uid="{00000000-0005-0000-0000-00007F120000}"/>
    <cellStyle name="Normal 4 2 2 3 4 7 2" xfId="13174" xr:uid="{58A1B205-0B8E-4534-90AD-3B3EF288F6CD}"/>
    <cellStyle name="Normal 4 2 2 3 4 8" xfId="8956" xr:uid="{34A3201B-6FCF-41CC-B589-18AC6DA7919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00ED228D-6C9D-48FA-9048-B839CD11FBA4}"/>
    <cellStyle name="Normal 4 2 2 3 5 2 3" xfId="11507" xr:uid="{7F40FB7A-9807-41AF-ACD6-7C8732B1D69C}"/>
    <cellStyle name="Normal 4 2 2 3 5 3" xfId="5130" xr:uid="{00000000-0005-0000-0000-000083120000}"/>
    <cellStyle name="Normal 4 2 2 3 5 3 2" xfId="13580" xr:uid="{F3595B13-8D68-466E-A9E2-26DEF83A5C1E}"/>
    <cellStyle name="Normal 4 2 2 3 5 4" xfId="9362" xr:uid="{020EE3D8-AE5D-4D4E-9781-C5FF1C6E800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434CEB6B-B9F1-4FE5-AFF1-6AD90B891150}"/>
    <cellStyle name="Normal 4 2 2 3 6 2 3" xfId="11920" xr:uid="{456F2312-D10E-4912-A0EA-092585EFFE4B}"/>
    <cellStyle name="Normal 4 2 2 3 6 3" xfId="5543" xr:uid="{00000000-0005-0000-0000-000087120000}"/>
    <cellStyle name="Normal 4 2 2 3 6 3 2" xfId="13993" xr:uid="{5E65F8C4-20DC-460C-B96C-D77F11B0C0A1}"/>
    <cellStyle name="Normal 4 2 2 3 6 4" xfId="9775" xr:uid="{66205304-D6C0-4042-8AB0-29B32298D153}"/>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3D2B70D1-F307-42EB-A120-15DE0C22639A}"/>
    <cellStyle name="Normal 4 2 2 3 7 2 3" xfId="12333" xr:uid="{26FF5CBA-5BD3-442A-9934-F00F6B07FDDE}"/>
    <cellStyle name="Normal 4 2 2 3 7 3" xfId="5956" xr:uid="{00000000-0005-0000-0000-00008B120000}"/>
    <cellStyle name="Normal 4 2 2 3 7 3 2" xfId="14406" xr:uid="{6298D510-F042-41C6-86AE-AAB68461DACB}"/>
    <cellStyle name="Normal 4 2 2 3 7 4" xfId="10188" xr:uid="{AC177A22-3783-4FE4-B027-EC8390A5624A}"/>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BDBF30AA-4779-45EB-9346-6E08F73AB93C}"/>
    <cellStyle name="Normal 4 2 2 3 8 2 3" xfId="12746" xr:uid="{5B97EBCC-B07D-4782-96CB-1FC2BC6F917B}"/>
    <cellStyle name="Normal 4 2 2 3 8 3" xfId="6369" xr:uid="{00000000-0005-0000-0000-00008F120000}"/>
    <cellStyle name="Normal 4 2 2 3 8 3 2" xfId="14819" xr:uid="{61E0676D-D706-4C1C-8D94-4B4F384E5212}"/>
    <cellStyle name="Normal 4 2 2 3 8 4" xfId="10601" xr:uid="{8F1854D2-9083-47E1-AA35-85EB866A59F3}"/>
    <cellStyle name="Normal 4 2 2 3 9" xfId="2499" xr:uid="{00000000-0005-0000-0000-000090120000}"/>
    <cellStyle name="Normal 4 2 2 3 9 2" xfId="6782" xr:uid="{00000000-0005-0000-0000-000091120000}"/>
    <cellStyle name="Normal 4 2 2 3 9 2 2" xfId="15232" xr:uid="{C7EE7AC9-1DDE-428A-9BF5-92AFBF1F9F64}"/>
    <cellStyle name="Normal 4 2 2 3 9 3" xfId="11014" xr:uid="{AA693422-9A85-466B-A948-F166C3B629F9}"/>
    <cellStyle name="Normal 4 2 2 4" xfId="347" xr:uid="{00000000-0005-0000-0000-000092120000}"/>
    <cellStyle name="Normal 4 2 2 4 10" xfId="8957" xr:uid="{B3728DFA-6174-48B3-94E1-CE99CD3255B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DA144861-7A08-425B-8C98-D15CD9270DCD}"/>
    <cellStyle name="Normal 4 2 2 4 2 2 2 2 3" xfId="11517" xr:uid="{7FBBF303-E054-4EC9-A8CE-61E922D6C700}"/>
    <cellStyle name="Normal 4 2 2 4 2 2 2 3" xfId="5140" xr:uid="{00000000-0005-0000-0000-000098120000}"/>
    <cellStyle name="Normal 4 2 2 4 2 2 2 3 2" xfId="13590" xr:uid="{41E5C4BC-3EED-4B2F-A6D6-B63617522983}"/>
    <cellStyle name="Normal 4 2 2 4 2 2 2 4" xfId="9372" xr:uid="{F75A3E06-17E3-4984-B027-44EA56E428E7}"/>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AFAE56A1-9DED-4D83-8CC8-188D2923323C}"/>
    <cellStyle name="Normal 4 2 2 4 2 2 3 2 3" xfId="11930" xr:uid="{1CB1DC3F-8522-4F55-87AD-1FCE196AF67D}"/>
    <cellStyle name="Normal 4 2 2 4 2 2 3 3" xfId="5553" xr:uid="{00000000-0005-0000-0000-00009C120000}"/>
    <cellStyle name="Normal 4 2 2 4 2 2 3 3 2" xfId="14003" xr:uid="{AC2DE81F-E545-483E-AF47-2D29B9991389}"/>
    <cellStyle name="Normal 4 2 2 4 2 2 3 4" xfId="9785" xr:uid="{3747D0DE-0E75-4EE3-BB8E-A97CEFFA5E22}"/>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B0B1F94A-BDE1-49BF-8DD0-FD48A690E92F}"/>
    <cellStyle name="Normal 4 2 2 4 2 2 4 2 3" xfId="12343" xr:uid="{387C4E0F-A2D3-46DA-B4DD-8A9995CF4C4B}"/>
    <cellStyle name="Normal 4 2 2 4 2 2 4 3" xfId="5966" xr:uid="{00000000-0005-0000-0000-0000A0120000}"/>
    <cellStyle name="Normal 4 2 2 4 2 2 4 3 2" xfId="14416" xr:uid="{49B05AE9-9A4C-4398-AC1B-333E1FB004FA}"/>
    <cellStyle name="Normal 4 2 2 4 2 2 4 4" xfId="10198" xr:uid="{0C1D23F2-7D48-4A5D-989F-A0A8904BF822}"/>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C7677358-0644-459B-964B-BA059E13EE7D}"/>
    <cellStyle name="Normal 4 2 2 4 2 2 5 2 3" xfId="12756" xr:uid="{E8C7AC48-0710-435C-9165-60F67F237CA9}"/>
    <cellStyle name="Normal 4 2 2 4 2 2 5 3" xfId="6379" xr:uid="{00000000-0005-0000-0000-0000A4120000}"/>
    <cellStyle name="Normal 4 2 2 4 2 2 5 3 2" xfId="14829" xr:uid="{C7DAD3B2-F12C-4565-A367-B7E33764A20F}"/>
    <cellStyle name="Normal 4 2 2 4 2 2 5 4" xfId="10611" xr:uid="{4F87E7EC-9151-4312-9F9B-41F1BCCC7A32}"/>
    <cellStyle name="Normal 4 2 2 4 2 2 6" xfId="2509" xr:uid="{00000000-0005-0000-0000-0000A5120000}"/>
    <cellStyle name="Normal 4 2 2 4 2 2 6 2" xfId="6792" xr:uid="{00000000-0005-0000-0000-0000A6120000}"/>
    <cellStyle name="Normal 4 2 2 4 2 2 6 2 2" xfId="15242" xr:uid="{88372B1F-DA99-446D-BB50-5C88E3EBAA88}"/>
    <cellStyle name="Normal 4 2 2 4 2 2 6 3" xfId="11024" xr:uid="{DD1AB010-1D27-42ED-BA1F-91F0581612FA}"/>
    <cellStyle name="Normal 4 2 2 4 2 2 7" xfId="4727" xr:uid="{00000000-0005-0000-0000-0000A7120000}"/>
    <cellStyle name="Normal 4 2 2 4 2 2 7 2" xfId="13177" xr:uid="{23CE33F9-292D-4CF3-9002-86E8799A2D48}"/>
    <cellStyle name="Normal 4 2 2 4 2 2 8" xfId="8959" xr:uid="{F3037372-1C39-4B5B-913C-997A47C1A9E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41AD70B4-FA6A-4050-8B9E-F9E266B40913}"/>
    <cellStyle name="Normal 4 2 2 4 2 3 2 3" xfId="11516" xr:uid="{792B1327-B441-4C76-90B2-3D0BE546BAC4}"/>
    <cellStyle name="Normal 4 2 2 4 2 3 3" xfId="5139" xr:uid="{00000000-0005-0000-0000-0000AB120000}"/>
    <cellStyle name="Normal 4 2 2 4 2 3 3 2" xfId="13589" xr:uid="{89F24939-EE70-48E9-AD89-E4CCBD4DD090}"/>
    <cellStyle name="Normal 4 2 2 4 2 3 4" xfId="9371" xr:uid="{EBC49A2D-552E-40C4-985D-AA7C4C6E5186}"/>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24346493-DB7C-4C39-BFD6-2797A0FB3E6C}"/>
    <cellStyle name="Normal 4 2 2 4 2 4 2 3" xfId="11929" xr:uid="{48B0E977-E5BA-4D83-B26E-874556A73802}"/>
    <cellStyle name="Normal 4 2 2 4 2 4 3" xfId="5552" xr:uid="{00000000-0005-0000-0000-0000AF120000}"/>
    <cellStyle name="Normal 4 2 2 4 2 4 3 2" xfId="14002" xr:uid="{F64FFFAA-DFD7-4743-8010-6998268AC423}"/>
    <cellStyle name="Normal 4 2 2 4 2 4 4" xfId="9784" xr:uid="{ACE34FB6-7DE7-4788-B8C8-523F494BE1F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C98E1BF7-53A4-4C5D-8443-B0C743D203FF}"/>
    <cellStyle name="Normal 4 2 2 4 2 5 2 3" xfId="12342" xr:uid="{E2672AE7-1E92-4462-BB2F-071224392241}"/>
    <cellStyle name="Normal 4 2 2 4 2 5 3" xfId="5965" xr:uid="{00000000-0005-0000-0000-0000B3120000}"/>
    <cellStyle name="Normal 4 2 2 4 2 5 3 2" xfId="14415" xr:uid="{3450A0CE-825A-4432-AF96-2E9F4A82E314}"/>
    <cellStyle name="Normal 4 2 2 4 2 5 4" xfId="10197" xr:uid="{A320208D-EACD-4056-8801-145C819261CE}"/>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8EE9DA4F-915B-49F4-816D-F24470F1887E}"/>
    <cellStyle name="Normal 4 2 2 4 2 6 2 3" xfId="12755" xr:uid="{18A099DC-45F2-426E-BCE5-B56E669BC448}"/>
    <cellStyle name="Normal 4 2 2 4 2 6 3" xfId="6378" xr:uid="{00000000-0005-0000-0000-0000B7120000}"/>
    <cellStyle name="Normal 4 2 2 4 2 6 3 2" xfId="14828" xr:uid="{561D208B-838E-46D0-8DF3-609915CBD450}"/>
    <cellStyle name="Normal 4 2 2 4 2 6 4" xfId="10610" xr:uid="{76935B2B-1BE0-4D54-A6A0-10E405416F73}"/>
    <cellStyle name="Normal 4 2 2 4 2 7" xfId="2508" xr:uid="{00000000-0005-0000-0000-0000B8120000}"/>
    <cellStyle name="Normal 4 2 2 4 2 7 2" xfId="6791" xr:uid="{00000000-0005-0000-0000-0000B9120000}"/>
    <cellStyle name="Normal 4 2 2 4 2 7 2 2" xfId="15241" xr:uid="{18C61C9C-A55C-4FEA-B5D4-7C510957552B}"/>
    <cellStyle name="Normal 4 2 2 4 2 7 3" xfId="11023" xr:uid="{B8B2542A-0921-4860-B85B-33C013BEC18E}"/>
    <cellStyle name="Normal 4 2 2 4 2 8" xfId="4726" xr:uid="{00000000-0005-0000-0000-0000BA120000}"/>
    <cellStyle name="Normal 4 2 2 4 2 8 2" xfId="13176" xr:uid="{A8E521AC-D69D-441A-BC79-8E44B739F181}"/>
    <cellStyle name="Normal 4 2 2 4 2 9" xfId="8958" xr:uid="{51723AA7-348B-4664-B39E-437A4D69AE2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D32D560E-8E13-42ED-9452-908FA60367B1}"/>
    <cellStyle name="Normal 4 2 2 4 3 2 2 3" xfId="11518" xr:uid="{BDD5B863-0BE4-4377-A35F-A8C414204A24}"/>
    <cellStyle name="Normal 4 2 2 4 3 2 3" xfId="5141" xr:uid="{00000000-0005-0000-0000-0000BF120000}"/>
    <cellStyle name="Normal 4 2 2 4 3 2 3 2" xfId="13591" xr:uid="{ED714308-1983-4532-94B8-60BDBE5CF10A}"/>
    <cellStyle name="Normal 4 2 2 4 3 2 4" xfId="9373" xr:uid="{C87441B4-214B-42B0-84E1-7489C981C0D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F01EA2B2-F69C-4A12-9309-6C0F5215FF3E}"/>
    <cellStyle name="Normal 4 2 2 4 3 3 2 3" xfId="11931" xr:uid="{96C8124D-6449-430C-BAA0-BDF1D333680F}"/>
    <cellStyle name="Normal 4 2 2 4 3 3 3" xfId="5554" xr:uid="{00000000-0005-0000-0000-0000C3120000}"/>
    <cellStyle name="Normal 4 2 2 4 3 3 3 2" xfId="14004" xr:uid="{70314890-AB9D-4861-AFB4-8AEDEFB7F217}"/>
    <cellStyle name="Normal 4 2 2 4 3 3 4" xfId="9786" xr:uid="{F6C6BA69-1B74-45DA-8200-5437587449C9}"/>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310DA5B0-6C6B-48FE-B39E-81FCF5042C7F}"/>
    <cellStyle name="Normal 4 2 2 4 3 4 2 3" xfId="12344" xr:uid="{31EA28BD-2B08-4FA0-9907-F0BCDCAD48AC}"/>
    <cellStyle name="Normal 4 2 2 4 3 4 3" xfId="5967" xr:uid="{00000000-0005-0000-0000-0000C7120000}"/>
    <cellStyle name="Normal 4 2 2 4 3 4 3 2" xfId="14417" xr:uid="{1C7C470E-547E-4DDB-AE8F-53FA81A451FC}"/>
    <cellStyle name="Normal 4 2 2 4 3 4 4" xfId="10199" xr:uid="{9B96ED92-31C5-4627-A6AB-CACE98B2168E}"/>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B32886DA-B216-416D-A215-777DD504807B}"/>
    <cellStyle name="Normal 4 2 2 4 3 5 2 3" xfId="12757" xr:uid="{DB1A6A3C-D7C2-47B9-A0E2-C894E567D4EA}"/>
    <cellStyle name="Normal 4 2 2 4 3 5 3" xfId="6380" xr:uid="{00000000-0005-0000-0000-0000CB120000}"/>
    <cellStyle name="Normal 4 2 2 4 3 5 3 2" xfId="14830" xr:uid="{C9A72AB0-19E3-461B-9D10-44EAAD0B71B7}"/>
    <cellStyle name="Normal 4 2 2 4 3 5 4" xfId="10612" xr:uid="{47ED8773-7F39-49C0-B5DE-1BB42E202B75}"/>
    <cellStyle name="Normal 4 2 2 4 3 6" xfId="2510" xr:uid="{00000000-0005-0000-0000-0000CC120000}"/>
    <cellStyle name="Normal 4 2 2 4 3 6 2" xfId="6793" xr:uid="{00000000-0005-0000-0000-0000CD120000}"/>
    <cellStyle name="Normal 4 2 2 4 3 6 2 2" xfId="15243" xr:uid="{659E9CA9-F1AE-4EBC-8080-3BEF2E6DD399}"/>
    <cellStyle name="Normal 4 2 2 4 3 6 3" xfId="11025" xr:uid="{3866213F-CE86-446F-9ABF-AEDAF8F4F29D}"/>
    <cellStyle name="Normal 4 2 2 4 3 7" xfId="4728" xr:uid="{00000000-0005-0000-0000-0000CE120000}"/>
    <cellStyle name="Normal 4 2 2 4 3 7 2" xfId="13178" xr:uid="{8CA5E578-8A36-4CC5-B7B4-805A69E2CA14}"/>
    <cellStyle name="Normal 4 2 2 4 3 8" xfId="8960" xr:uid="{35EB8CC9-4098-42E1-933C-F513FD743B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8E40B2E4-8174-40E7-B747-9C51EC7A7650}"/>
    <cellStyle name="Normal 4 2 2 4 4 2 3" xfId="11515" xr:uid="{4005C9EC-BC4C-4FD0-9C52-4B00590379F9}"/>
    <cellStyle name="Normal 4 2 2 4 4 3" xfId="5138" xr:uid="{00000000-0005-0000-0000-0000D2120000}"/>
    <cellStyle name="Normal 4 2 2 4 4 3 2" xfId="13588" xr:uid="{062CBAA2-65E7-4668-8868-607C0851D900}"/>
    <cellStyle name="Normal 4 2 2 4 4 4" xfId="9370" xr:uid="{B7BEDFF4-AFEE-4D1E-989E-BD16E2E07B0C}"/>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6F68DEC9-8D55-4F41-B990-7416344D3533}"/>
    <cellStyle name="Normal 4 2 2 4 5 2 3" xfId="11928" xr:uid="{C17B5EE4-DBFB-43B9-9EB9-5EBA605A4116}"/>
    <cellStyle name="Normal 4 2 2 4 5 3" xfId="5551" xr:uid="{00000000-0005-0000-0000-0000D6120000}"/>
    <cellStyle name="Normal 4 2 2 4 5 3 2" xfId="14001" xr:uid="{D28BA5CF-F27E-4961-9244-C94669C9B751}"/>
    <cellStyle name="Normal 4 2 2 4 5 4" xfId="9783" xr:uid="{071B07B7-46B4-4FC0-8A4D-43DA9807FEE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5E77D31C-23D4-4717-ABA2-57A0A5CFF970}"/>
    <cellStyle name="Normal 4 2 2 4 6 2 3" xfId="12341" xr:uid="{2EA37911-8823-4B62-BE25-711E792B1746}"/>
    <cellStyle name="Normal 4 2 2 4 6 3" xfId="5964" xr:uid="{00000000-0005-0000-0000-0000DA120000}"/>
    <cellStyle name="Normal 4 2 2 4 6 3 2" xfId="14414" xr:uid="{CA38DF51-F434-4A91-BDF7-50AA3D8E181A}"/>
    <cellStyle name="Normal 4 2 2 4 6 4" xfId="10196" xr:uid="{44DADFB0-3EF5-4273-A2C8-D1813C2C6F05}"/>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DEB6A097-FA9E-4E36-A4A1-C03A60BC2701}"/>
    <cellStyle name="Normal 4 2 2 4 7 2 3" xfId="12754" xr:uid="{3AF54090-BF84-42B7-A5D0-42274EC68936}"/>
    <cellStyle name="Normal 4 2 2 4 7 3" xfId="6377" xr:uid="{00000000-0005-0000-0000-0000DE120000}"/>
    <cellStyle name="Normal 4 2 2 4 7 3 2" xfId="14827" xr:uid="{3881B073-7B7D-4A84-89C9-6574FD8DA999}"/>
    <cellStyle name="Normal 4 2 2 4 7 4" xfId="10609" xr:uid="{FB06B6D7-C5FA-4D14-B66C-7DBA6EDBEE63}"/>
    <cellStyle name="Normal 4 2 2 4 8" xfId="2507" xr:uid="{00000000-0005-0000-0000-0000DF120000}"/>
    <cellStyle name="Normal 4 2 2 4 8 2" xfId="6790" xr:uid="{00000000-0005-0000-0000-0000E0120000}"/>
    <cellStyle name="Normal 4 2 2 4 8 2 2" xfId="15240" xr:uid="{34BE8E0A-412E-471C-AFF4-38885D18B22E}"/>
    <cellStyle name="Normal 4 2 2 4 8 3" xfId="11022" xr:uid="{89604A5D-3D6E-4652-A8CF-7A642E666C81}"/>
    <cellStyle name="Normal 4 2 2 4 9" xfId="4725" xr:uid="{00000000-0005-0000-0000-0000E1120000}"/>
    <cellStyle name="Normal 4 2 2 4 9 2" xfId="13175" xr:uid="{E27ABA19-2260-4794-B25D-9D3A8255CD06}"/>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FD005A13-CC60-488A-A60E-F709A7864AD6}"/>
    <cellStyle name="Normal 4 2 2 5 2 2 2 3" xfId="11520" xr:uid="{D268BC23-BA9C-4B2C-969E-FBBFED0B6161}"/>
    <cellStyle name="Normal 4 2 2 5 2 2 3" xfId="5143" xr:uid="{00000000-0005-0000-0000-0000E7120000}"/>
    <cellStyle name="Normal 4 2 2 5 2 2 3 2" xfId="13593" xr:uid="{362D8097-F031-480C-B2BE-B11B760FEE26}"/>
    <cellStyle name="Normal 4 2 2 5 2 2 4" xfId="9375" xr:uid="{C0E2AE19-9D69-4014-A39B-F070CAA36E77}"/>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A6043FDC-D22E-408F-BBA2-ABEE4A8FCEC9}"/>
    <cellStyle name="Normal 4 2 2 5 2 3 2 3" xfId="11933" xr:uid="{1ECB7ACA-17F0-487E-97BD-1C953A0FA4DA}"/>
    <cellStyle name="Normal 4 2 2 5 2 3 3" xfId="5556" xr:uid="{00000000-0005-0000-0000-0000EB120000}"/>
    <cellStyle name="Normal 4 2 2 5 2 3 3 2" xfId="14006" xr:uid="{8AC87031-5499-4005-81C0-548C37A26C7C}"/>
    <cellStyle name="Normal 4 2 2 5 2 3 4" xfId="9788" xr:uid="{39C00D10-E41E-49C8-8030-4137EF9B3987}"/>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E0F44F70-B3C2-4BBB-AE4A-002D460C43C9}"/>
    <cellStyle name="Normal 4 2 2 5 2 4 2 3" xfId="12346" xr:uid="{58970BCE-63B9-43DF-9A3D-8BF9F0A6074D}"/>
    <cellStyle name="Normal 4 2 2 5 2 4 3" xfId="5969" xr:uid="{00000000-0005-0000-0000-0000EF120000}"/>
    <cellStyle name="Normal 4 2 2 5 2 4 3 2" xfId="14419" xr:uid="{9A9B9860-0E98-4D9C-A821-298CB44A552C}"/>
    <cellStyle name="Normal 4 2 2 5 2 4 4" xfId="10201" xr:uid="{D15D32EC-1D48-4FA4-8D41-F656E2BC5C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77288861-2B64-49B6-AD76-A5A94EC0EC3E}"/>
    <cellStyle name="Normal 4 2 2 5 2 5 2 3" xfId="12759" xr:uid="{F28D7116-DD6F-4A32-BC8D-7A2606897B58}"/>
    <cellStyle name="Normal 4 2 2 5 2 5 3" xfId="6382" xr:uid="{00000000-0005-0000-0000-0000F3120000}"/>
    <cellStyle name="Normal 4 2 2 5 2 5 3 2" xfId="14832" xr:uid="{19385495-A685-4C81-8B0C-531D9B9E15B4}"/>
    <cellStyle name="Normal 4 2 2 5 2 5 4" xfId="10614" xr:uid="{40E31AD9-EC6D-468B-863C-8DE108634600}"/>
    <cellStyle name="Normal 4 2 2 5 2 6" xfId="2512" xr:uid="{00000000-0005-0000-0000-0000F4120000}"/>
    <cellStyle name="Normal 4 2 2 5 2 6 2" xfId="6795" xr:uid="{00000000-0005-0000-0000-0000F5120000}"/>
    <cellStyle name="Normal 4 2 2 5 2 6 2 2" xfId="15245" xr:uid="{7D34EF4B-3CA5-43DA-BE59-6E9DAB5A4420}"/>
    <cellStyle name="Normal 4 2 2 5 2 6 3" xfId="11027" xr:uid="{DBACB61D-707C-4E5D-8F85-A3CAD05C1A54}"/>
    <cellStyle name="Normal 4 2 2 5 2 7" xfId="4730" xr:uid="{00000000-0005-0000-0000-0000F6120000}"/>
    <cellStyle name="Normal 4 2 2 5 2 7 2" xfId="13180" xr:uid="{7DEDA6E2-82F3-437A-B523-95C9923CA222}"/>
    <cellStyle name="Normal 4 2 2 5 2 8" xfId="8962" xr:uid="{FC554A0A-B810-455C-B63D-13DDA76FB329}"/>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E9C6D480-C316-4D16-ACB1-1FB368C1B67E}"/>
    <cellStyle name="Normal 4 2 2 5 3 2 3" xfId="11519" xr:uid="{5A5EB5FB-D982-4B9F-9D47-7D824CA0DF52}"/>
    <cellStyle name="Normal 4 2 2 5 3 3" xfId="5142" xr:uid="{00000000-0005-0000-0000-0000FA120000}"/>
    <cellStyle name="Normal 4 2 2 5 3 3 2" xfId="13592" xr:uid="{3AE562BE-E142-45A7-BB37-6E406444C993}"/>
    <cellStyle name="Normal 4 2 2 5 3 4" xfId="9374" xr:uid="{776028A9-1655-4FAA-8526-C7530EF6EA27}"/>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0B4343BF-1F57-43FC-B0DE-0D8DAAC5BAEF}"/>
    <cellStyle name="Normal 4 2 2 5 4 2 3" xfId="11932" xr:uid="{19E7AD71-0DD3-4B8A-9601-534B5C98FBE8}"/>
    <cellStyle name="Normal 4 2 2 5 4 3" xfId="5555" xr:uid="{00000000-0005-0000-0000-0000FE120000}"/>
    <cellStyle name="Normal 4 2 2 5 4 3 2" xfId="14005" xr:uid="{7905C921-DD14-4675-A111-E7E8FB4B8418}"/>
    <cellStyle name="Normal 4 2 2 5 4 4" xfId="9787" xr:uid="{CCB9F3C6-B971-4A95-9549-7BFEFF53FDA8}"/>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F29ABBF6-C792-4F8D-B571-5790467D3AC8}"/>
    <cellStyle name="Normal 4 2 2 5 5 2 3" xfId="12345" xr:uid="{EEC4A671-CEEC-4266-A8F3-4288650B888A}"/>
    <cellStyle name="Normal 4 2 2 5 5 3" xfId="5968" xr:uid="{00000000-0005-0000-0000-000002130000}"/>
    <cellStyle name="Normal 4 2 2 5 5 3 2" xfId="14418" xr:uid="{3801FB21-005C-4CE6-9BED-7F88806D65F2}"/>
    <cellStyle name="Normal 4 2 2 5 5 4" xfId="10200" xr:uid="{46EFFA2C-EEBD-407C-8171-00CD1C015ACA}"/>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A10ECDF2-D79D-4FBA-9CB0-314A46E6E8B2}"/>
    <cellStyle name="Normal 4 2 2 5 6 2 3" xfId="12758" xr:uid="{96B1B3DD-3D05-415C-B150-8F0F41AD5877}"/>
    <cellStyle name="Normal 4 2 2 5 6 3" xfId="6381" xr:uid="{00000000-0005-0000-0000-000006130000}"/>
    <cellStyle name="Normal 4 2 2 5 6 3 2" xfId="14831" xr:uid="{CF24E2F6-2872-4A5A-868A-4DBEAA43F56C}"/>
    <cellStyle name="Normal 4 2 2 5 6 4" xfId="10613" xr:uid="{96CA8B1D-6294-49F2-874A-5EA5D92C2201}"/>
    <cellStyle name="Normal 4 2 2 5 7" xfId="2511" xr:uid="{00000000-0005-0000-0000-000007130000}"/>
    <cellStyle name="Normal 4 2 2 5 7 2" xfId="6794" xr:uid="{00000000-0005-0000-0000-000008130000}"/>
    <cellStyle name="Normal 4 2 2 5 7 2 2" xfId="15244" xr:uid="{E8A12076-5031-49A4-93F7-34174ABBA752}"/>
    <cellStyle name="Normal 4 2 2 5 7 3" xfId="11026" xr:uid="{47774001-2F71-4AA1-A646-10301C219098}"/>
    <cellStyle name="Normal 4 2 2 5 8" xfId="4729" xr:uid="{00000000-0005-0000-0000-000009130000}"/>
    <cellStyle name="Normal 4 2 2 5 8 2" xfId="13179" xr:uid="{5EA68EB4-1037-44CC-8F9B-FD617CA5C0CC}"/>
    <cellStyle name="Normal 4 2 2 5 9" xfId="8961" xr:uid="{B97DDF4C-AE14-4516-8940-225E18F10231}"/>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6196037C-BE0B-49B6-A5BF-53BBD0BC8C71}"/>
    <cellStyle name="Normal 4 2 2 6 2 2 3" xfId="11521" xr:uid="{A2DE5E69-9D66-4C26-B4BA-6A1AC0AAC7B6}"/>
    <cellStyle name="Normal 4 2 2 6 2 3" xfId="5144" xr:uid="{00000000-0005-0000-0000-00000E130000}"/>
    <cellStyle name="Normal 4 2 2 6 2 3 2" xfId="13594" xr:uid="{26701DB4-E146-4449-A999-B4BFAD75B525}"/>
    <cellStyle name="Normal 4 2 2 6 2 4" xfId="9376" xr:uid="{BF8F30E0-12D6-4DD3-A6EA-736665279027}"/>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688781AC-FD36-4530-9620-B69B01F31570}"/>
    <cellStyle name="Normal 4 2 2 6 3 2 3" xfId="11934" xr:uid="{704D1670-E6F3-4929-A998-7C2B719C608C}"/>
    <cellStyle name="Normal 4 2 2 6 3 3" xfId="5557" xr:uid="{00000000-0005-0000-0000-000012130000}"/>
    <cellStyle name="Normal 4 2 2 6 3 3 2" xfId="14007" xr:uid="{94042F72-570D-4EB8-8031-0DDE75E734E4}"/>
    <cellStyle name="Normal 4 2 2 6 3 4" xfId="9789" xr:uid="{C9D3DC39-DB0B-4A27-9874-CAC5E970A92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7184676B-F476-41BD-BFE5-BAEF2D621754}"/>
    <cellStyle name="Normal 4 2 2 6 4 2 3" xfId="12347" xr:uid="{72DFFDD1-584D-4CA8-9579-51EF19C259A3}"/>
    <cellStyle name="Normal 4 2 2 6 4 3" xfId="5970" xr:uid="{00000000-0005-0000-0000-000016130000}"/>
    <cellStyle name="Normal 4 2 2 6 4 3 2" xfId="14420" xr:uid="{9761F96A-6B66-464C-8320-6E7013E376E5}"/>
    <cellStyle name="Normal 4 2 2 6 4 4" xfId="10202" xr:uid="{A00650E4-AB55-4012-8F8E-7A54FEEE088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D765C09F-86A1-4DEA-B487-444BA52F5B98}"/>
    <cellStyle name="Normal 4 2 2 6 5 2 3" xfId="12760" xr:uid="{593227BE-E789-4715-82A9-05E652558BFD}"/>
    <cellStyle name="Normal 4 2 2 6 5 3" xfId="6383" xr:uid="{00000000-0005-0000-0000-00001A130000}"/>
    <cellStyle name="Normal 4 2 2 6 5 3 2" xfId="14833" xr:uid="{93D822E6-5379-4F04-A4ED-39F5F46F6833}"/>
    <cellStyle name="Normal 4 2 2 6 5 4" xfId="10615" xr:uid="{02A8A583-BDB0-4B3B-81B9-FDA5535EC24B}"/>
    <cellStyle name="Normal 4 2 2 6 6" xfId="2513" xr:uid="{00000000-0005-0000-0000-00001B130000}"/>
    <cellStyle name="Normal 4 2 2 6 6 2" xfId="6796" xr:uid="{00000000-0005-0000-0000-00001C130000}"/>
    <cellStyle name="Normal 4 2 2 6 6 2 2" xfId="15246" xr:uid="{B3FD6D57-B205-40BD-B593-DBEB756B1B12}"/>
    <cellStyle name="Normal 4 2 2 6 6 3" xfId="11028" xr:uid="{B0334E61-D370-4326-A4C7-A639130CC807}"/>
    <cellStyle name="Normal 4 2 2 6 7" xfId="4731" xr:uid="{00000000-0005-0000-0000-00001D130000}"/>
    <cellStyle name="Normal 4 2 2 6 7 2" xfId="13181" xr:uid="{4532B2DF-A61C-451A-924A-68DA9BDC8B51}"/>
    <cellStyle name="Normal 4 2 2 6 8" xfId="8963" xr:uid="{32AC8F2C-A8D0-4F6D-915A-ECEAAE48EAEA}"/>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B85233AB-B749-4707-8860-0B596DB57233}"/>
    <cellStyle name="Normal 4 2 2 7 2 3" xfId="11506" xr:uid="{5EBB3C3F-BEEE-4C9F-9311-E0543C08EEDD}"/>
    <cellStyle name="Normal 4 2 2 7 3" xfId="5129" xr:uid="{00000000-0005-0000-0000-000021130000}"/>
    <cellStyle name="Normal 4 2 2 7 3 2" xfId="13579" xr:uid="{5F4FBF64-4542-4E21-B370-70C21B5F583A}"/>
    <cellStyle name="Normal 4 2 2 7 4" xfId="9361" xr:uid="{5DB70FAF-E835-44E3-B03D-21E7FFBC0BCC}"/>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45A86546-8A4B-4572-BDC1-8692A6D75C6E}"/>
    <cellStyle name="Normal 4 2 2 8 2 3" xfId="11919" xr:uid="{B5F0B31E-8108-43AF-8AB8-3984A58E67EB}"/>
    <cellStyle name="Normal 4 2 2 8 3" xfId="5542" xr:uid="{00000000-0005-0000-0000-000025130000}"/>
    <cellStyle name="Normal 4 2 2 8 3 2" xfId="13992" xr:uid="{D53CF2D3-46C6-4A9F-9B5F-D0946F46CCD0}"/>
    <cellStyle name="Normal 4 2 2 8 4" xfId="9774" xr:uid="{B6723754-6D5B-4565-A6EF-B9D9AFD27A31}"/>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99E668D2-B444-4384-A0C8-9FFF8D5FFAFA}"/>
    <cellStyle name="Normal 4 2 2 9 2 3" xfId="12332" xr:uid="{BEDB5BD8-A8A3-4139-9F26-ED3675F231E1}"/>
    <cellStyle name="Normal 4 2 2 9 3" xfId="5955" xr:uid="{00000000-0005-0000-0000-000029130000}"/>
    <cellStyle name="Normal 4 2 2 9 3 2" xfId="14405" xr:uid="{03B11E80-83AC-4A5C-B874-860ECD65EC03}"/>
    <cellStyle name="Normal 4 2 2 9 4" xfId="10187" xr:uid="{2470526B-19CF-4D15-9151-2DD4E57A6F27}"/>
    <cellStyle name="Normal 4 2 3" xfId="354" xr:uid="{00000000-0005-0000-0000-00002A130000}"/>
    <cellStyle name="Normal 4 2 4" xfId="355" xr:uid="{00000000-0005-0000-0000-00002B130000}"/>
    <cellStyle name="Normal 4 2 4 10" xfId="4732" xr:uid="{00000000-0005-0000-0000-00002C130000}"/>
    <cellStyle name="Normal 4 2 4 10 2" xfId="13182" xr:uid="{368B2E25-2A63-4B7A-91C2-549CAF37C528}"/>
    <cellStyle name="Normal 4 2 4 11" xfId="8964" xr:uid="{9F7D02DA-270B-4609-9867-F1529F895B22}"/>
    <cellStyle name="Normal 4 2 4 2" xfId="356" xr:uid="{00000000-0005-0000-0000-00002D130000}"/>
    <cellStyle name="Normal 4 2 4 2 10" xfId="8965" xr:uid="{7FFD9314-B696-44CD-914D-3F855898FEA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369127F9-8343-434C-9298-3D983BA9DDF9}"/>
    <cellStyle name="Normal 4 2 4 2 2 2 2 2 3" xfId="11525" xr:uid="{ACF08363-9267-4172-A231-18DC2E88FB65}"/>
    <cellStyle name="Normal 4 2 4 2 2 2 2 3" xfId="5148" xr:uid="{00000000-0005-0000-0000-000033130000}"/>
    <cellStyle name="Normal 4 2 4 2 2 2 2 3 2" xfId="13598" xr:uid="{48B5C2F8-EFB8-4C6D-8C53-CB859F2D0ACC}"/>
    <cellStyle name="Normal 4 2 4 2 2 2 2 4" xfId="9380" xr:uid="{6D1D6738-13CD-4F1E-80AF-7F6CF07AB11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1E336AA4-5CD4-4E1E-8999-8A4F374797E7}"/>
    <cellStyle name="Normal 4 2 4 2 2 2 3 2 3" xfId="11938" xr:uid="{BF6235B0-3BAC-4FEA-B26E-EF2490BA67B2}"/>
    <cellStyle name="Normal 4 2 4 2 2 2 3 3" xfId="5561" xr:uid="{00000000-0005-0000-0000-000037130000}"/>
    <cellStyle name="Normal 4 2 4 2 2 2 3 3 2" xfId="14011" xr:uid="{7AAAB0F2-1DF1-41CD-B84C-CF975D02A015}"/>
    <cellStyle name="Normal 4 2 4 2 2 2 3 4" xfId="9793" xr:uid="{BAF5CE37-29F5-41D8-A5CD-A5F289BA2422}"/>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FDA6330E-C5C9-4F82-9277-DBF71FC948D3}"/>
    <cellStyle name="Normal 4 2 4 2 2 2 4 2 3" xfId="12351" xr:uid="{77A04A98-EFF3-4B59-ADAD-95BB5B572D26}"/>
    <cellStyle name="Normal 4 2 4 2 2 2 4 3" xfId="5974" xr:uid="{00000000-0005-0000-0000-00003B130000}"/>
    <cellStyle name="Normal 4 2 4 2 2 2 4 3 2" xfId="14424" xr:uid="{0187AE0C-9D36-4B69-8C82-5F659D819687}"/>
    <cellStyle name="Normal 4 2 4 2 2 2 4 4" xfId="10206" xr:uid="{043574A2-9DB8-45C6-A789-9AF1C803656C}"/>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BF204FCB-ED11-4ECB-BEFC-140423B0B637}"/>
    <cellStyle name="Normal 4 2 4 2 2 2 5 2 3" xfId="12764" xr:uid="{EAB24124-673F-4A5A-9590-84B8E49BEEDC}"/>
    <cellStyle name="Normal 4 2 4 2 2 2 5 3" xfId="6387" xr:uid="{00000000-0005-0000-0000-00003F130000}"/>
    <cellStyle name="Normal 4 2 4 2 2 2 5 3 2" xfId="14837" xr:uid="{7FCD2B34-3349-4DE6-BA45-254488C9AC25}"/>
    <cellStyle name="Normal 4 2 4 2 2 2 5 4" xfId="10619" xr:uid="{9D32FAFF-0780-4015-AC9C-03D42A15C11D}"/>
    <cellStyle name="Normal 4 2 4 2 2 2 6" xfId="2517" xr:uid="{00000000-0005-0000-0000-000040130000}"/>
    <cellStyle name="Normal 4 2 4 2 2 2 6 2" xfId="6800" xr:uid="{00000000-0005-0000-0000-000041130000}"/>
    <cellStyle name="Normal 4 2 4 2 2 2 6 2 2" xfId="15250" xr:uid="{AD49FC46-BF5F-48BE-AAEA-72C84EBFB2FA}"/>
    <cellStyle name="Normal 4 2 4 2 2 2 6 3" xfId="11032" xr:uid="{30EB7989-DD6E-450A-A4E4-E986A0CADD5C}"/>
    <cellStyle name="Normal 4 2 4 2 2 2 7" xfId="4735" xr:uid="{00000000-0005-0000-0000-000042130000}"/>
    <cellStyle name="Normal 4 2 4 2 2 2 7 2" xfId="13185" xr:uid="{48FB2386-EF5C-439D-A5EF-8954F490B527}"/>
    <cellStyle name="Normal 4 2 4 2 2 2 8" xfId="8967" xr:uid="{6B3B9BE8-0A33-41B3-9518-9424F47D0C35}"/>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D22B4F9B-67CC-4E56-9841-956B23B46C78}"/>
    <cellStyle name="Normal 4 2 4 2 2 3 2 3" xfId="11524" xr:uid="{F875A7F7-D224-4D17-9140-56D28B118AF0}"/>
    <cellStyle name="Normal 4 2 4 2 2 3 3" xfId="5147" xr:uid="{00000000-0005-0000-0000-000046130000}"/>
    <cellStyle name="Normal 4 2 4 2 2 3 3 2" xfId="13597" xr:uid="{9B108E7D-36D0-4CC6-B0A8-6FF669742D67}"/>
    <cellStyle name="Normal 4 2 4 2 2 3 4" xfId="9379" xr:uid="{DC93884A-2ECD-414B-B353-376A0353138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8779B0CA-AF07-45F1-ABD0-E5F0F4317218}"/>
    <cellStyle name="Normal 4 2 4 2 2 4 2 3" xfId="11937" xr:uid="{25EFB2D9-A1AD-4214-A93F-ACA41D1B1B2A}"/>
    <cellStyle name="Normal 4 2 4 2 2 4 3" xfId="5560" xr:uid="{00000000-0005-0000-0000-00004A130000}"/>
    <cellStyle name="Normal 4 2 4 2 2 4 3 2" xfId="14010" xr:uid="{FA40D790-1AC2-4355-BFAB-6C0BB25F3FBA}"/>
    <cellStyle name="Normal 4 2 4 2 2 4 4" xfId="9792" xr:uid="{A9038917-634A-426C-B43C-CDE4D48AE85B}"/>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B22DE66D-61BF-4465-AB00-7042BA3F7613}"/>
    <cellStyle name="Normal 4 2 4 2 2 5 2 3" xfId="12350" xr:uid="{92F9E52A-45ED-47BA-9CEC-64BA90FF8EF4}"/>
    <cellStyle name="Normal 4 2 4 2 2 5 3" xfId="5973" xr:uid="{00000000-0005-0000-0000-00004E130000}"/>
    <cellStyle name="Normal 4 2 4 2 2 5 3 2" xfId="14423" xr:uid="{35A77E3B-F47D-4B18-97F3-150347BE9E12}"/>
    <cellStyle name="Normal 4 2 4 2 2 5 4" xfId="10205" xr:uid="{6DF6DDE2-0E69-43D6-8CDF-DD13C2FB6EB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0301A447-9236-476C-B99C-DDC3CEDC394B}"/>
    <cellStyle name="Normal 4 2 4 2 2 6 2 3" xfId="12763" xr:uid="{9CA1721D-94BC-4DFA-8151-E5E061CBBD01}"/>
    <cellStyle name="Normal 4 2 4 2 2 6 3" xfId="6386" xr:uid="{00000000-0005-0000-0000-000052130000}"/>
    <cellStyle name="Normal 4 2 4 2 2 6 3 2" xfId="14836" xr:uid="{2AE4DDA0-1CD3-4B60-86EB-64C9D289E686}"/>
    <cellStyle name="Normal 4 2 4 2 2 6 4" xfId="10618" xr:uid="{30A6EF33-CE79-4553-B7DF-554039B5BAA5}"/>
    <cellStyle name="Normal 4 2 4 2 2 7" xfId="2516" xr:uid="{00000000-0005-0000-0000-000053130000}"/>
    <cellStyle name="Normal 4 2 4 2 2 7 2" xfId="6799" xr:uid="{00000000-0005-0000-0000-000054130000}"/>
    <cellStyle name="Normal 4 2 4 2 2 7 2 2" xfId="15249" xr:uid="{89510DF3-8F9E-459A-B54C-2E7737DFCBF4}"/>
    <cellStyle name="Normal 4 2 4 2 2 7 3" xfId="11031" xr:uid="{DAE9949A-5F3D-49DA-8187-B853AC908E47}"/>
    <cellStyle name="Normal 4 2 4 2 2 8" xfId="4734" xr:uid="{00000000-0005-0000-0000-000055130000}"/>
    <cellStyle name="Normal 4 2 4 2 2 8 2" xfId="13184" xr:uid="{F4585673-5F16-4E8A-93C1-8A0C9513CBED}"/>
    <cellStyle name="Normal 4 2 4 2 2 9" xfId="8966" xr:uid="{F8CDAE69-2153-4141-A223-00631D75BE8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C4C06850-9D5D-4D63-9879-F965D77053BB}"/>
    <cellStyle name="Normal 4 2 4 2 3 2 2 3" xfId="11526" xr:uid="{77C89882-6021-41D7-BE6C-7A4150EA7363}"/>
    <cellStyle name="Normal 4 2 4 2 3 2 3" xfId="5149" xr:uid="{00000000-0005-0000-0000-00005A130000}"/>
    <cellStyle name="Normal 4 2 4 2 3 2 3 2" xfId="13599" xr:uid="{CEE1E20F-97EE-4C5E-BE63-326C0FEB7073}"/>
    <cellStyle name="Normal 4 2 4 2 3 2 4" xfId="9381" xr:uid="{7843E3D3-C00B-472F-AC73-B7AC5B60E3B5}"/>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F7E600FE-63E1-405C-B0D8-C6B5046C2BC9}"/>
    <cellStyle name="Normal 4 2 4 2 3 3 2 3" xfId="11939" xr:uid="{F1355A77-1C21-4AB6-BD38-B3317990C410}"/>
    <cellStyle name="Normal 4 2 4 2 3 3 3" xfId="5562" xr:uid="{00000000-0005-0000-0000-00005E130000}"/>
    <cellStyle name="Normal 4 2 4 2 3 3 3 2" xfId="14012" xr:uid="{3EF59D3A-B8A2-453B-B7EE-FEDFA6FE9FF3}"/>
    <cellStyle name="Normal 4 2 4 2 3 3 4" xfId="9794" xr:uid="{752D06E7-2F3D-4E43-B3A7-297481B2A34B}"/>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49026438-A1A9-4007-A07E-26D8DDD35AC9}"/>
    <cellStyle name="Normal 4 2 4 2 3 4 2 3" xfId="12352" xr:uid="{5042CD0F-8401-475E-BD40-58E5356310F8}"/>
    <cellStyle name="Normal 4 2 4 2 3 4 3" xfId="5975" xr:uid="{00000000-0005-0000-0000-000062130000}"/>
    <cellStyle name="Normal 4 2 4 2 3 4 3 2" xfId="14425" xr:uid="{CD521FE1-BF6A-405F-9EEE-D67062A56782}"/>
    <cellStyle name="Normal 4 2 4 2 3 4 4" xfId="10207" xr:uid="{404BBCDE-D480-4AC5-9B46-EEB39F735A23}"/>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393C649F-72FA-4B87-99B6-C580B3DF9E3D}"/>
    <cellStyle name="Normal 4 2 4 2 3 5 2 3" xfId="12765" xr:uid="{0783EBF5-2C6D-43A8-8F6D-063DC42BA644}"/>
    <cellStyle name="Normal 4 2 4 2 3 5 3" xfId="6388" xr:uid="{00000000-0005-0000-0000-000066130000}"/>
    <cellStyle name="Normal 4 2 4 2 3 5 3 2" xfId="14838" xr:uid="{EEB351E6-211D-4D2F-96ED-6565DA4F9D03}"/>
    <cellStyle name="Normal 4 2 4 2 3 5 4" xfId="10620" xr:uid="{49B5C991-868D-4F81-9409-A1EF0F3CE1EF}"/>
    <cellStyle name="Normal 4 2 4 2 3 6" xfId="2518" xr:uid="{00000000-0005-0000-0000-000067130000}"/>
    <cellStyle name="Normal 4 2 4 2 3 6 2" xfId="6801" xr:uid="{00000000-0005-0000-0000-000068130000}"/>
    <cellStyle name="Normal 4 2 4 2 3 6 2 2" xfId="15251" xr:uid="{0530B09A-4C7A-405D-A136-CD9A4EE699C6}"/>
    <cellStyle name="Normal 4 2 4 2 3 6 3" xfId="11033" xr:uid="{9B95DB1C-B408-4789-8E77-793860C80CC2}"/>
    <cellStyle name="Normal 4 2 4 2 3 7" xfId="4736" xr:uid="{00000000-0005-0000-0000-000069130000}"/>
    <cellStyle name="Normal 4 2 4 2 3 7 2" xfId="13186" xr:uid="{F00314FC-DF81-4135-8CA7-E2253740F58C}"/>
    <cellStyle name="Normal 4 2 4 2 3 8" xfId="8968" xr:uid="{45F2A9C1-98DE-4826-A389-0D6FA7AC87B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00A26723-7FA7-4CFA-AF63-03AE3CBCCDA6}"/>
    <cellStyle name="Normal 4 2 4 2 4 2 3" xfId="11523" xr:uid="{B5972B9F-9C88-4C87-8CA6-D24C9F4A6552}"/>
    <cellStyle name="Normal 4 2 4 2 4 3" xfId="5146" xr:uid="{00000000-0005-0000-0000-00006D130000}"/>
    <cellStyle name="Normal 4 2 4 2 4 3 2" xfId="13596" xr:uid="{3AA95FC7-8AC6-4066-979A-100E9EC09A2E}"/>
    <cellStyle name="Normal 4 2 4 2 4 4" xfId="9378" xr:uid="{A1153ED2-B80B-40E4-A6FA-E99CC21F76F2}"/>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53C02DDA-7F6A-47F9-BD5C-842DEEC60B46}"/>
    <cellStyle name="Normal 4 2 4 2 5 2 3" xfId="11936" xr:uid="{BBF9A45E-52F8-4A53-A0E2-F070460D7AF7}"/>
    <cellStyle name="Normal 4 2 4 2 5 3" xfId="5559" xr:uid="{00000000-0005-0000-0000-000071130000}"/>
    <cellStyle name="Normal 4 2 4 2 5 3 2" xfId="14009" xr:uid="{31915C83-723F-4C43-B4D8-EA3F929FFF7E}"/>
    <cellStyle name="Normal 4 2 4 2 5 4" xfId="9791" xr:uid="{A17A517F-AF8E-4DE5-9D6A-08B7FB671CE1}"/>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3157DE7D-85AE-41BE-A621-6398B41FA3C1}"/>
    <cellStyle name="Normal 4 2 4 2 6 2 3" xfId="12349" xr:uid="{93C701DF-E280-4457-B746-254FF92426B4}"/>
    <cellStyle name="Normal 4 2 4 2 6 3" xfId="5972" xr:uid="{00000000-0005-0000-0000-000075130000}"/>
    <cellStyle name="Normal 4 2 4 2 6 3 2" xfId="14422" xr:uid="{08966FA5-B939-4C79-B693-83018AF90EC8}"/>
    <cellStyle name="Normal 4 2 4 2 6 4" xfId="10204" xr:uid="{4111B1B2-F9FE-4D2F-9D48-653A9DBD2D2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BA83E29A-6889-4447-8C38-AFC3A2FCC7C8}"/>
    <cellStyle name="Normal 4 2 4 2 7 2 3" xfId="12762" xr:uid="{4E679D34-45F4-4354-A5B7-F1F83D60C50A}"/>
    <cellStyle name="Normal 4 2 4 2 7 3" xfId="6385" xr:uid="{00000000-0005-0000-0000-000079130000}"/>
    <cellStyle name="Normal 4 2 4 2 7 3 2" xfId="14835" xr:uid="{7E7BECEB-73F8-4585-A1B6-F21D892795D6}"/>
    <cellStyle name="Normal 4 2 4 2 7 4" xfId="10617" xr:uid="{90E58D81-AD2E-4DFD-84BF-052320B24F03}"/>
    <cellStyle name="Normal 4 2 4 2 8" xfId="2515" xr:uid="{00000000-0005-0000-0000-00007A130000}"/>
    <cellStyle name="Normal 4 2 4 2 8 2" xfId="6798" xr:uid="{00000000-0005-0000-0000-00007B130000}"/>
    <cellStyle name="Normal 4 2 4 2 8 2 2" xfId="15248" xr:uid="{59534486-C60F-4AE6-8490-AD025D6B5A98}"/>
    <cellStyle name="Normal 4 2 4 2 8 3" xfId="11030" xr:uid="{8BC564EB-E64A-467A-92AC-41EFFBC856BC}"/>
    <cellStyle name="Normal 4 2 4 2 9" xfId="4733" xr:uid="{00000000-0005-0000-0000-00007C130000}"/>
    <cellStyle name="Normal 4 2 4 2 9 2" xfId="13183" xr:uid="{F600FE2D-C486-4315-9A37-99641FF8DCC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B44DE386-F165-427B-A53F-438303E5F0E4}"/>
    <cellStyle name="Normal 4 2 4 3 2 2 2 3" xfId="11528" xr:uid="{5E486921-71A3-4522-B529-AE416B4DB901}"/>
    <cellStyle name="Normal 4 2 4 3 2 2 3" xfId="5151" xr:uid="{00000000-0005-0000-0000-000082130000}"/>
    <cellStyle name="Normal 4 2 4 3 2 2 3 2" xfId="13601" xr:uid="{4170B752-9D94-4CFC-8443-31A63BF679C9}"/>
    <cellStyle name="Normal 4 2 4 3 2 2 4" xfId="9383" xr:uid="{E904F9FD-F465-4F5D-944B-98409664101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21C6220E-0A20-4C5D-9B14-A58F8B86D3F0}"/>
    <cellStyle name="Normal 4 2 4 3 2 3 2 3" xfId="11941" xr:uid="{DB6719B5-378A-448B-9C88-785710BF596E}"/>
    <cellStyle name="Normal 4 2 4 3 2 3 3" xfId="5564" xr:uid="{00000000-0005-0000-0000-000086130000}"/>
    <cellStyle name="Normal 4 2 4 3 2 3 3 2" xfId="14014" xr:uid="{2E0AD7DE-5FFB-4A26-9B2D-3020A7FF69B9}"/>
    <cellStyle name="Normal 4 2 4 3 2 3 4" xfId="9796" xr:uid="{82BD8292-B548-456E-A6BC-3F1D150BF38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D50771BF-E0EF-4A4F-BE69-0CC0B74C868B}"/>
    <cellStyle name="Normal 4 2 4 3 2 4 2 3" xfId="12354" xr:uid="{69DB7FDC-DF8F-4F93-A40C-FFB5FC999584}"/>
    <cellStyle name="Normal 4 2 4 3 2 4 3" xfId="5977" xr:uid="{00000000-0005-0000-0000-00008A130000}"/>
    <cellStyle name="Normal 4 2 4 3 2 4 3 2" xfId="14427" xr:uid="{B878EF52-D128-4580-9F41-72CD9D90B328}"/>
    <cellStyle name="Normal 4 2 4 3 2 4 4" xfId="10209" xr:uid="{9EE43019-24AC-4448-B7DB-5F4D64476127}"/>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46E337F8-EDE5-4E3E-A5E8-2860518E900C}"/>
    <cellStyle name="Normal 4 2 4 3 2 5 2 3" xfId="12767" xr:uid="{104B0679-8F3C-4C65-9A5B-36540BCC85B9}"/>
    <cellStyle name="Normal 4 2 4 3 2 5 3" xfId="6390" xr:uid="{00000000-0005-0000-0000-00008E130000}"/>
    <cellStyle name="Normal 4 2 4 3 2 5 3 2" xfId="14840" xr:uid="{3652AF8F-A5BE-42B5-91E7-270905E99F18}"/>
    <cellStyle name="Normal 4 2 4 3 2 5 4" xfId="10622" xr:uid="{6998D18D-C8C8-4727-8331-9583A0B01013}"/>
    <cellStyle name="Normal 4 2 4 3 2 6" xfId="2520" xr:uid="{00000000-0005-0000-0000-00008F130000}"/>
    <cellStyle name="Normal 4 2 4 3 2 6 2" xfId="6803" xr:uid="{00000000-0005-0000-0000-000090130000}"/>
    <cellStyle name="Normal 4 2 4 3 2 6 2 2" xfId="15253" xr:uid="{941451EC-C35E-477D-988C-C534F1D24F0E}"/>
    <cellStyle name="Normal 4 2 4 3 2 6 3" xfId="11035" xr:uid="{76E2ED0C-3EC1-43B2-BDB3-32E37419760D}"/>
    <cellStyle name="Normal 4 2 4 3 2 7" xfId="4738" xr:uid="{00000000-0005-0000-0000-000091130000}"/>
    <cellStyle name="Normal 4 2 4 3 2 7 2" xfId="13188" xr:uid="{12049C13-545C-4613-9490-857308C241F6}"/>
    <cellStyle name="Normal 4 2 4 3 2 8" xfId="8970" xr:uid="{C12759A5-5E37-4E9E-A91B-DDDAB427725B}"/>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DCC12BF0-1C0A-473E-8E59-3DE5AD4B9C63}"/>
    <cellStyle name="Normal 4 2 4 3 3 2 3" xfId="11527" xr:uid="{B54967F2-5DD7-4315-955A-4ACC9C974496}"/>
    <cellStyle name="Normal 4 2 4 3 3 3" xfId="5150" xr:uid="{00000000-0005-0000-0000-000095130000}"/>
    <cellStyle name="Normal 4 2 4 3 3 3 2" xfId="13600" xr:uid="{F0B7FFAF-0501-492A-9370-58C3B7EE4337}"/>
    <cellStyle name="Normal 4 2 4 3 3 4" xfId="9382" xr:uid="{F32877DC-BA07-45C6-BAE5-89A3965B9102}"/>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4538C6CD-07FB-42CA-B276-0C5896842F96}"/>
    <cellStyle name="Normal 4 2 4 3 4 2 3" xfId="11940" xr:uid="{3C502D54-410E-49C2-A811-E49C3EF4F08B}"/>
    <cellStyle name="Normal 4 2 4 3 4 3" xfId="5563" xr:uid="{00000000-0005-0000-0000-000099130000}"/>
    <cellStyle name="Normal 4 2 4 3 4 3 2" xfId="14013" xr:uid="{7CC02377-F7AF-4374-8775-333DFE5F8207}"/>
    <cellStyle name="Normal 4 2 4 3 4 4" xfId="9795" xr:uid="{8518D0DA-3625-479C-9085-E5F7B99BD1F2}"/>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5AB9790D-3CE0-4F6C-B0D8-919A9F7236B0}"/>
    <cellStyle name="Normal 4 2 4 3 5 2 3" xfId="12353" xr:uid="{B6A2E53E-952D-4AEF-8812-6183D2127129}"/>
    <cellStyle name="Normal 4 2 4 3 5 3" xfId="5976" xr:uid="{00000000-0005-0000-0000-00009D130000}"/>
    <cellStyle name="Normal 4 2 4 3 5 3 2" xfId="14426" xr:uid="{56F5C234-099B-4F48-A226-4CFED50FADA3}"/>
    <cellStyle name="Normal 4 2 4 3 5 4" xfId="10208" xr:uid="{D86B1452-182F-4725-903E-6784EB7EC88C}"/>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0ED9AB59-17EA-4370-A646-BD851FE4FDA4}"/>
    <cellStyle name="Normal 4 2 4 3 6 2 3" xfId="12766" xr:uid="{E2EFBCF0-F7B6-4A05-8DEA-B335E0024248}"/>
    <cellStyle name="Normal 4 2 4 3 6 3" xfId="6389" xr:uid="{00000000-0005-0000-0000-0000A1130000}"/>
    <cellStyle name="Normal 4 2 4 3 6 3 2" xfId="14839" xr:uid="{0EC29195-3C33-4CAE-AF25-D6D6192F2FC8}"/>
    <cellStyle name="Normal 4 2 4 3 6 4" xfId="10621" xr:uid="{E8F171B7-5B25-4E3E-9035-C452C3A52820}"/>
    <cellStyle name="Normal 4 2 4 3 7" xfId="2519" xr:uid="{00000000-0005-0000-0000-0000A2130000}"/>
    <cellStyle name="Normal 4 2 4 3 7 2" xfId="6802" xr:uid="{00000000-0005-0000-0000-0000A3130000}"/>
    <cellStyle name="Normal 4 2 4 3 7 2 2" xfId="15252" xr:uid="{0F08382B-56C9-49C4-AED8-2B70526CD5D0}"/>
    <cellStyle name="Normal 4 2 4 3 7 3" xfId="11034" xr:uid="{826FDD15-B692-40A3-B9E7-CFCBABEC9707}"/>
    <cellStyle name="Normal 4 2 4 3 8" xfId="4737" xr:uid="{00000000-0005-0000-0000-0000A4130000}"/>
    <cellStyle name="Normal 4 2 4 3 8 2" xfId="13187" xr:uid="{4D3B08B1-B045-4136-803E-049FDE99ADFA}"/>
    <cellStyle name="Normal 4 2 4 3 9" xfId="8969" xr:uid="{86538A41-2456-4019-8967-501A670AB1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27EA0BEC-1ABE-4621-9C1A-101E192CE1D6}"/>
    <cellStyle name="Normal 4 2 4 4 2 2 3" xfId="11529" xr:uid="{8AC1A3B6-64A1-4E1B-A343-8598BB038FCA}"/>
    <cellStyle name="Normal 4 2 4 4 2 3" xfId="5152" xr:uid="{00000000-0005-0000-0000-0000A9130000}"/>
    <cellStyle name="Normal 4 2 4 4 2 3 2" xfId="13602" xr:uid="{2E7DC851-53F7-4CFE-9177-4CAB1DAD1CCD}"/>
    <cellStyle name="Normal 4 2 4 4 2 4" xfId="9384" xr:uid="{641AFF4E-444C-4DBD-816C-BD320ACC1C75}"/>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05B457A-2029-436B-954D-EEA4F8A965AF}"/>
    <cellStyle name="Normal 4 2 4 4 3 2 3" xfId="11942" xr:uid="{10D902D9-9FA5-4C54-A56C-CE0937AF3663}"/>
    <cellStyle name="Normal 4 2 4 4 3 3" xfId="5565" xr:uid="{00000000-0005-0000-0000-0000AD130000}"/>
    <cellStyle name="Normal 4 2 4 4 3 3 2" xfId="14015" xr:uid="{6B6CF9ED-F8BD-475C-91D8-ADC6C8A3C755}"/>
    <cellStyle name="Normal 4 2 4 4 3 4" xfId="9797" xr:uid="{907C3814-0BC7-4246-BE7A-56B0E7028C1F}"/>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F2691EA4-FC7A-4E57-991C-57CAEFD8E917}"/>
    <cellStyle name="Normal 4 2 4 4 4 2 3" xfId="12355" xr:uid="{DCF555F4-AE72-4BE4-8129-BF5204996E47}"/>
    <cellStyle name="Normal 4 2 4 4 4 3" xfId="5978" xr:uid="{00000000-0005-0000-0000-0000B1130000}"/>
    <cellStyle name="Normal 4 2 4 4 4 3 2" xfId="14428" xr:uid="{95819269-E6AC-4A44-88F4-BDF7633341FC}"/>
    <cellStyle name="Normal 4 2 4 4 4 4" xfId="10210" xr:uid="{5F19461C-EF30-4229-AA17-D520072F16E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230922AE-A3EA-4280-BBF3-B9C0F96B4CD9}"/>
    <cellStyle name="Normal 4 2 4 4 5 2 3" xfId="12768" xr:uid="{C7C0D2F1-EAF3-4516-A6C5-0D79D498C55B}"/>
    <cellStyle name="Normal 4 2 4 4 5 3" xfId="6391" xr:uid="{00000000-0005-0000-0000-0000B5130000}"/>
    <cellStyle name="Normal 4 2 4 4 5 3 2" xfId="14841" xr:uid="{7CC84DFD-B3E4-4DED-8E14-18E1E757364B}"/>
    <cellStyle name="Normal 4 2 4 4 5 4" xfId="10623" xr:uid="{B11A5D80-154B-4B8A-8AE3-EAC636BFAF07}"/>
    <cellStyle name="Normal 4 2 4 4 6" xfId="2521" xr:uid="{00000000-0005-0000-0000-0000B6130000}"/>
    <cellStyle name="Normal 4 2 4 4 6 2" xfId="6804" xr:uid="{00000000-0005-0000-0000-0000B7130000}"/>
    <cellStyle name="Normal 4 2 4 4 6 2 2" xfId="15254" xr:uid="{D74736B3-9D94-44C1-BF9C-F83A54BBFBD7}"/>
    <cellStyle name="Normal 4 2 4 4 6 3" xfId="11036" xr:uid="{0090D79D-2E77-4988-8005-C05659C307C8}"/>
    <cellStyle name="Normal 4 2 4 4 7" xfId="4739" xr:uid="{00000000-0005-0000-0000-0000B8130000}"/>
    <cellStyle name="Normal 4 2 4 4 7 2" xfId="13189" xr:uid="{6E92CA5D-D535-4FD7-954D-F38FFC05F7F2}"/>
    <cellStyle name="Normal 4 2 4 4 8" xfId="8971" xr:uid="{520BDDFB-53F6-43F4-9839-FB8D1A7012A4}"/>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6926B5DD-BDD3-4D3A-AFD8-E752DC99A118}"/>
    <cellStyle name="Normal 4 2 4 5 2 3" xfId="11522" xr:uid="{65A2300E-78EA-405E-9F42-433ABDC9FB55}"/>
    <cellStyle name="Normal 4 2 4 5 3" xfId="5145" xr:uid="{00000000-0005-0000-0000-0000BC130000}"/>
    <cellStyle name="Normal 4 2 4 5 3 2" xfId="13595" xr:uid="{0C6B4237-F65B-439A-9253-7B87FB1EE5AA}"/>
    <cellStyle name="Normal 4 2 4 5 4" xfId="9377" xr:uid="{8E9558F5-B065-4E3D-9ACF-A0D0F5A38B02}"/>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2F701FB6-D85D-46E4-ACDD-85CDFABD163A}"/>
    <cellStyle name="Normal 4 2 4 6 2 3" xfId="11935" xr:uid="{3B23A78C-4A63-403E-AB6E-F783D4A02DEF}"/>
    <cellStyle name="Normal 4 2 4 6 3" xfId="5558" xr:uid="{00000000-0005-0000-0000-0000C0130000}"/>
    <cellStyle name="Normal 4 2 4 6 3 2" xfId="14008" xr:uid="{492C62CC-07BE-4526-9E31-4ECC39B3C19A}"/>
    <cellStyle name="Normal 4 2 4 6 4" xfId="9790" xr:uid="{A9A38829-408C-46FA-9C95-4B29BEF4E242}"/>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43EAA8A6-BD9F-49D0-BF63-55A3A138879F}"/>
    <cellStyle name="Normal 4 2 4 7 2 3" xfId="12348" xr:uid="{69C14462-7E31-4725-9C1A-F6BEBE3632C6}"/>
    <cellStyle name="Normal 4 2 4 7 3" xfId="5971" xr:uid="{00000000-0005-0000-0000-0000C4130000}"/>
    <cellStyle name="Normal 4 2 4 7 3 2" xfId="14421" xr:uid="{8CB17F8E-DAB3-4598-8DC4-BFA303CEBA16}"/>
    <cellStyle name="Normal 4 2 4 7 4" xfId="10203" xr:uid="{9F91D125-0B8E-46CE-96C9-09FFD2500A10}"/>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51036DEF-23EE-4A7E-8323-17710C9AE1B2}"/>
    <cellStyle name="Normal 4 2 4 8 2 3" xfId="12761" xr:uid="{A1BA2F71-0F71-4EB3-BC56-D70A291E663C}"/>
    <cellStyle name="Normal 4 2 4 8 3" xfId="6384" xr:uid="{00000000-0005-0000-0000-0000C8130000}"/>
    <cellStyle name="Normal 4 2 4 8 3 2" xfId="14834" xr:uid="{7EA5B21A-359C-4647-AED1-D7F60FA0BE52}"/>
    <cellStyle name="Normal 4 2 4 8 4" xfId="10616" xr:uid="{1ACB60A9-EC7B-4908-9A24-E20F96C91CF7}"/>
    <cellStyle name="Normal 4 2 4 9" xfId="2514" xr:uid="{00000000-0005-0000-0000-0000C9130000}"/>
    <cellStyle name="Normal 4 2 4 9 2" xfId="6797" xr:uid="{00000000-0005-0000-0000-0000CA130000}"/>
    <cellStyle name="Normal 4 2 4 9 2 2" xfId="15247" xr:uid="{60098933-EA41-4CFE-8793-2656992BAF15}"/>
    <cellStyle name="Normal 4 2 4 9 3" xfId="11029" xr:uid="{D9FB68CA-DDFB-45F4-97C4-C7E56BDE2E37}"/>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02564FB4-0D23-451C-A279-74B40A4B021F}"/>
    <cellStyle name="Normal 4 2 5 2 2 2 3" xfId="11531" xr:uid="{5A5040F1-852C-4A17-9D5A-E22E0726CADB}"/>
    <cellStyle name="Normal 4 2 5 2 2 3" xfId="5154" xr:uid="{00000000-0005-0000-0000-0000D0130000}"/>
    <cellStyle name="Normal 4 2 5 2 2 3 2" xfId="13604" xr:uid="{810DD8B4-F62F-45B9-A4B9-FA9AE19A60FB}"/>
    <cellStyle name="Normal 4 2 5 2 2 4" xfId="9386" xr:uid="{9D810DD6-B712-4436-8FEE-6F6EE367F6EC}"/>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0477BB03-D38D-4925-9A5D-B68DB7467F6E}"/>
    <cellStyle name="Normal 4 2 5 2 3 2 3" xfId="11944" xr:uid="{6438EA2A-6E23-43B1-8636-3064D08EEB87}"/>
    <cellStyle name="Normal 4 2 5 2 3 3" xfId="5567" xr:uid="{00000000-0005-0000-0000-0000D4130000}"/>
    <cellStyle name="Normal 4 2 5 2 3 3 2" xfId="14017" xr:uid="{32B60E49-0D7B-4475-BD29-8A2E2F85778D}"/>
    <cellStyle name="Normal 4 2 5 2 3 4" xfId="9799" xr:uid="{384E782F-264D-4A42-B4FB-71CA0CD37EC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1952F86F-69B9-4599-B25E-B74CCCF17754}"/>
    <cellStyle name="Normal 4 2 5 2 4 2 3" xfId="12357" xr:uid="{DB836BAF-0095-420A-BC27-73F30E903A69}"/>
    <cellStyle name="Normal 4 2 5 2 4 3" xfId="5980" xr:uid="{00000000-0005-0000-0000-0000D8130000}"/>
    <cellStyle name="Normal 4 2 5 2 4 3 2" xfId="14430" xr:uid="{856EDA71-DBD8-4ADE-ADAB-534A44608B79}"/>
    <cellStyle name="Normal 4 2 5 2 4 4" xfId="10212" xr:uid="{62853043-C717-41AD-87CC-E8660C7E472E}"/>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662D3E36-961F-45DC-82A5-38E14A4C8470}"/>
    <cellStyle name="Normal 4 2 5 2 5 2 3" xfId="12770" xr:uid="{EEF2F8EA-7E7C-444F-B993-15EEDD74BC47}"/>
    <cellStyle name="Normal 4 2 5 2 5 3" xfId="6393" xr:uid="{00000000-0005-0000-0000-0000DC130000}"/>
    <cellStyle name="Normal 4 2 5 2 5 3 2" xfId="14843" xr:uid="{041A5268-ED39-4B31-8003-62B0D3A3E6B1}"/>
    <cellStyle name="Normal 4 2 5 2 5 4" xfId="10625" xr:uid="{F8E8C0E9-579C-4634-B625-6C190D390DA9}"/>
    <cellStyle name="Normal 4 2 5 2 6" xfId="2523" xr:uid="{00000000-0005-0000-0000-0000DD130000}"/>
    <cellStyle name="Normal 4 2 5 2 6 2" xfId="6806" xr:uid="{00000000-0005-0000-0000-0000DE130000}"/>
    <cellStyle name="Normal 4 2 5 2 6 2 2" xfId="15256" xr:uid="{A6BF1C7C-3DD4-4452-8EE9-1C21BB0DBA5A}"/>
    <cellStyle name="Normal 4 2 5 2 6 3" xfId="11038" xr:uid="{24C1C492-C372-4871-A612-221E1CBDAAE0}"/>
    <cellStyle name="Normal 4 2 5 2 7" xfId="4741" xr:uid="{00000000-0005-0000-0000-0000DF130000}"/>
    <cellStyle name="Normal 4 2 5 2 7 2" xfId="13191" xr:uid="{E329AA6C-EBE3-456B-A861-BA68E21292AD}"/>
    <cellStyle name="Normal 4 2 5 2 8" xfId="8973" xr:uid="{0350E1B6-F774-4E1B-A8CC-94E5A8E0AC71}"/>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211B0D15-2308-4CA3-84F6-6AAFD3B941D5}"/>
    <cellStyle name="Normal 4 2 5 3 2 3" xfId="11530" xr:uid="{50619B36-2778-4246-BCF2-FD9DAD0D8CF7}"/>
    <cellStyle name="Normal 4 2 5 3 3" xfId="5153" xr:uid="{00000000-0005-0000-0000-0000E3130000}"/>
    <cellStyle name="Normal 4 2 5 3 3 2" xfId="13603" xr:uid="{4C80090D-D019-4DCD-A893-55F777BE1D92}"/>
    <cellStyle name="Normal 4 2 5 3 4" xfId="9385" xr:uid="{ED9B3ABC-99C1-4B31-AC53-B5D03DA098D9}"/>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4EBC86D7-3230-4ED5-A2EA-A6F4E77E6A0B}"/>
    <cellStyle name="Normal 4 2 5 4 2 3" xfId="11943" xr:uid="{1B1312A8-6546-4F2B-8534-90F4A5890227}"/>
    <cellStyle name="Normal 4 2 5 4 3" xfId="5566" xr:uid="{00000000-0005-0000-0000-0000E7130000}"/>
    <cellStyle name="Normal 4 2 5 4 3 2" xfId="14016" xr:uid="{84B84CC8-9ECC-4A52-97EA-817BF06270CC}"/>
    <cellStyle name="Normal 4 2 5 4 4" xfId="9798" xr:uid="{8CC63122-75B3-424E-B1B9-33FBAD40AA85}"/>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C1D61240-541F-4399-A239-366854CA248C}"/>
    <cellStyle name="Normal 4 2 5 5 2 3" xfId="12356" xr:uid="{4BAAC3CB-B537-429D-96DC-243D1FE10A2A}"/>
    <cellStyle name="Normal 4 2 5 5 3" xfId="5979" xr:uid="{00000000-0005-0000-0000-0000EB130000}"/>
    <cellStyle name="Normal 4 2 5 5 3 2" xfId="14429" xr:uid="{47857622-4F30-4663-B303-5D29F0DF0A94}"/>
    <cellStyle name="Normal 4 2 5 5 4" xfId="10211" xr:uid="{0B01872B-30CC-439E-87BB-626DC0F452A1}"/>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069BD1CB-D4A7-4CD0-954B-D719771083FC}"/>
    <cellStyle name="Normal 4 2 5 6 2 3" xfId="12769" xr:uid="{F2BE7E6B-873D-4977-8FBD-AFFA60F17D0B}"/>
    <cellStyle name="Normal 4 2 5 6 3" xfId="6392" xr:uid="{00000000-0005-0000-0000-0000EF130000}"/>
    <cellStyle name="Normal 4 2 5 6 3 2" xfId="14842" xr:uid="{CC51E2EB-1163-493C-BC3D-278AE36D0CA4}"/>
    <cellStyle name="Normal 4 2 5 6 4" xfId="10624" xr:uid="{7AFB153E-1F29-4DE9-B78C-544C5C50F2CC}"/>
    <cellStyle name="Normal 4 2 5 7" xfId="2522" xr:uid="{00000000-0005-0000-0000-0000F0130000}"/>
    <cellStyle name="Normal 4 2 5 7 2" xfId="6805" xr:uid="{00000000-0005-0000-0000-0000F1130000}"/>
    <cellStyle name="Normal 4 2 5 7 2 2" xfId="15255" xr:uid="{59B08890-534A-46FA-B868-DC02553E8719}"/>
    <cellStyle name="Normal 4 2 5 7 3" xfId="11037" xr:uid="{C1047CC5-9183-45D7-8B40-84A80D6822B9}"/>
    <cellStyle name="Normal 4 2 5 8" xfId="4740" xr:uid="{00000000-0005-0000-0000-0000F2130000}"/>
    <cellStyle name="Normal 4 2 5 8 2" xfId="13190" xr:uid="{BC7EFC2B-0387-4B3C-AEF9-09B6966ACC55}"/>
    <cellStyle name="Normal 4 2 5 9" xfId="8972" xr:uid="{8504B906-BCDC-4E58-8412-7E068B085124}"/>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18A58DD9-9B04-4D9B-86F7-60A479EA701C}"/>
    <cellStyle name="Normal 4 2 6 2 2 3" xfId="11532" xr:uid="{9CD0FE81-C767-4DD6-92BC-4FA322A8B5C8}"/>
    <cellStyle name="Normal 4 2 6 2 3" xfId="5155" xr:uid="{00000000-0005-0000-0000-0000F7130000}"/>
    <cellStyle name="Normal 4 2 6 2 3 2" xfId="13605" xr:uid="{ABA2C69A-A033-497D-8668-8CEAA7A7C7BF}"/>
    <cellStyle name="Normal 4 2 6 2 4" xfId="9387" xr:uid="{A7015680-2D99-4756-B358-DAFCE16959B5}"/>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FBD35ADD-7DB3-4D12-9EDA-EF8B449C95A1}"/>
    <cellStyle name="Normal 4 2 6 3 2 3" xfId="11945" xr:uid="{58690A0C-2444-4D3B-9757-D9A43B75D22A}"/>
    <cellStyle name="Normal 4 2 6 3 3" xfId="5568" xr:uid="{00000000-0005-0000-0000-0000FB130000}"/>
    <cellStyle name="Normal 4 2 6 3 3 2" xfId="14018" xr:uid="{430F493A-E65F-495A-A142-8C7922AFD051}"/>
    <cellStyle name="Normal 4 2 6 3 4" xfId="9800" xr:uid="{DFCA3035-9113-4DF1-A57E-917D9E6FC892}"/>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B254679E-F2B0-4547-B998-1353901FBB50}"/>
    <cellStyle name="Normal 4 2 6 4 2 3" xfId="12358" xr:uid="{19DC3CE2-42CA-4021-828A-0AD3FE66505C}"/>
    <cellStyle name="Normal 4 2 6 4 3" xfId="5981" xr:uid="{00000000-0005-0000-0000-0000FF130000}"/>
    <cellStyle name="Normal 4 2 6 4 3 2" xfId="14431" xr:uid="{64EDB6F1-B9F9-4256-8204-F2378699F8F5}"/>
    <cellStyle name="Normal 4 2 6 4 4" xfId="10213" xr:uid="{7D588DFC-64E5-4009-B273-F660F70F3B3C}"/>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A9B91E9A-6F4A-491C-B0C4-639A2FC715B9}"/>
    <cellStyle name="Normal 4 2 6 5 2 3" xfId="12771" xr:uid="{2BBD17BC-BE2C-4D7B-974F-A33782BF26E2}"/>
    <cellStyle name="Normal 4 2 6 5 3" xfId="6394" xr:uid="{00000000-0005-0000-0000-000003140000}"/>
    <cellStyle name="Normal 4 2 6 5 3 2" xfId="14844" xr:uid="{6D446795-181A-4FBE-AF21-19F2014E000F}"/>
    <cellStyle name="Normal 4 2 6 5 4" xfId="10626" xr:uid="{E1B1D93A-3C73-423E-904F-AC40B097B079}"/>
    <cellStyle name="Normal 4 2 6 6" xfId="2524" xr:uid="{00000000-0005-0000-0000-000004140000}"/>
    <cellStyle name="Normal 4 2 6 6 2" xfId="6807" xr:uid="{00000000-0005-0000-0000-000005140000}"/>
    <cellStyle name="Normal 4 2 6 6 2 2" xfId="15257" xr:uid="{14D77440-FE02-491F-B535-DDF62BFB72D6}"/>
    <cellStyle name="Normal 4 2 6 6 3" xfId="11039" xr:uid="{4E1132D7-875D-4594-A040-C8D8801C44DA}"/>
    <cellStyle name="Normal 4 2 6 7" xfId="4742" xr:uid="{00000000-0005-0000-0000-000006140000}"/>
    <cellStyle name="Normal 4 2 6 7 2" xfId="13192" xr:uid="{37FBC773-012C-4EED-A869-6C086A5516AB}"/>
    <cellStyle name="Normal 4 2 6 8" xfId="8974" xr:uid="{AE207A51-FF7B-4479-BEFA-74FD4750C5AC}"/>
    <cellStyle name="Normal 4 3" xfId="366" xr:uid="{00000000-0005-0000-0000-000007140000}"/>
    <cellStyle name="Normal 4 3 10" xfId="8975" xr:uid="{22CC7E26-A94E-49AD-9CF3-59353D2A9BE0}"/>
    <cellStyle name="Normal 4 3 2" xfId="367" xr:uid="{00000000-0005-0000-0000-000008140000}"/>
    <cellStyle name="Normal 4 3 2 2" xfId="368" xr:uid="{00000000-0005-0000-0000-000009140000}"/>
    <cellStyle name="Normal 4 3 2 2 2" xfId="369" xr:uid="{00000000-0005-0000-0000-00000A140000}"/>
    <cellStyle name="Normal 4 3 2 2 2 10" xfId="8976" xr:uid="{72976C6F-15B0-4A7B-BB78-FD4795EFCC96}"/>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AC6F1946-269D-4242-9D5C-C3B50CFA6C43}"/>
    <cellStyle name="Normal 4 3 2 2 2 2 2 2 2 3" xfId="11536" xr:uid="{C651054B-3234-49B6-A5E7-7A255A0305EA}"/>
    <cellStyle name="Normal 4 3 2 2 2 2 2 2 3" xfId="5159" xr:uid="{00000000-0005-0000-0000-000010140000}"/>
    <cellStyle name="Normal 4 3 2 2 2 2 2 2 3 2" xfId="13609" xr:uid="{873F0BF4-1794-4CB3-8D9F-9528559EF59C}"/>
    <cellStyle name="Normal 4 3 2 2 2 2 2 2 4" xfId="9391" xr:uid="{7FE9F55B-B42D-420F-87B4-2CD6306971A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9EEF0CBF-2540-408B-89B7-39F28973A75F}"/>
    <cellStyle name="Normal 4 3 2 2 2 2 2 3 2 3" xfId="11949" xr:uid="{70E16D0F-E7A6-4900-B950-5E0BB4B8FF9D}"/>
    <cellStyle name="Normal 4 3 2 2 2 2 2 3 3" xfId="5572" xr:uid="{00000000-0005-0000-0000-000014140000}"/>
    <cellStyle name="Normal 4 3 2 2 2 2 2 3 3 2" xfId="14022" xr:uid="{834A4FEF-15F2-4B1A-88EA-8DBA5F8963D2}"/>
    <cellStyle name="Normal 4 3 2 2 2 2 2 3 4" xfId="9804" xr:uid="{E345529C-F0BD-48E6-B274-0149F09A39D3}"/>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EB2A33C5-563C-428F-BC6A-1F1A8B17C8F7}"/>
    <cellStyle name="Normal 4 3 2 2 2 2 2 4 2 3" xfId="12362" xr:uid="{F19FC91B-EEA7-4119-94CB-45935DAE9829}"/>
    <cellStyle name="Normal 4 3 2 2 2 2 2 4 3" xfId="5985" xr:uid="{00000000-0005-0000-0000-000018140000}"/>
    <cellStyle name="Normal 4 3 2 2 2 2 2 4 3 2" xfId="14435" xr:uid="{15A65F6C-7698-4E81-A4C4-8ED2EF8303BB}"/>
    <cellStyle name="Normal 4 3 2 2 2 2 2 4 4" xfId="10217" xr:uid="{C0B132E0-8B98-4D33-B1D1-4938FC11B82E}"/>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9F5E1A4E-18A0-40E6-A585-20290A065500}"/>
    <cellStyle name="Normal 4 3 2 2 2 2 2 5 2 3" xfId="12775" xr:uid="{00AED205-C654-4F09-8361-455A0B3A0679}"/>
    <cellStyle name="Normal 4 3 2 2 2 2 2 5 3" xfId="6398" xr:uid="{00000000-0005-0000-0000-00001C140000}"/>
    <cellStyle name="Normal 4 3 2 2 2 2 2 5 3 2" xfId="14848" xr:uid="{65841668-CC79-423E-A4FD-10A71390BC0F}"/>
    <cellStyle name="Normal 4 3 2 2 2 2 2 5 4" xfId="10630" xr:uid="{1098EBA9-7B8B-4ED8-BB76-D389D404317E}"/>
    <cellStyle name="Normal 4 3 2 2 2 2 2 6" xfId="2528" xr:uid="{00000000-0005-0000-0000-00001D140000}"/>
    <cellStyle name="Normal 4 3 2 2 2 2 2 6 2" xfId="6811" xr:uid="{00000000-0005-0000-0000-00001E140000}"/>
    <cellStyle name="Normal 4 3 2 2 2 2 2 6 2 2" xfId="15261" xr:uid="{E334341D-8249-45B0-8229-DA8CDBB1E7B5}"/>
    <cellStyle name="Normal 4 3 2 2 2 2 2 6 3" xfId="11043" xr:uid="{AC257C05-2817-4D3B-A682-1FA42971D4CA}"/>
    <cellStyle name="Normal 4 3 2 2 2 2 2 7" xfId="4746" xr:uid="{00000000-0005-0000-0000-00001F140000}"/>
    <cellStyle name="Normal 4 3 2 2 2 2 2 7 2" xfId="13196" xr:uid="{2DAACB84-8485-4664-B596-8DBF1A9F1E72}"/>
    <cellStyle name="Normal 4 3 2 2 2 2 2 8" xfId="8978" xr:uid="{B08630EE-5E74-498E-A603-0FB616C945A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79F4AE79-46AD-4B92-8ED0-958396B0E0B2}"/>
    <cellStyle name="Normal 4 3 2 2 2 2 3 2 3" xfId="11535" xr:uid="{B4909CAA-2323-43C4-B765-8C2DFDBF5294}"/>
    <cellStyle name="Normal 4 3 2 2 2 2 3 3" xfId="5158" xr:uid="{00000000-0005-0000-0000-000023140000}"/>
    <cellStyle name="Normal 4 3 2 2 2 2 3 3 2" xfId="13608" xr:uid="{DFFFE9E5-C9D8-4707-97F5-6F32E16BC3B8}"/>
    <cellStyle name="Normal 4 3 2 2 2 2 3 4" xfId="9390" xr:uid="{7B4876F0-2B77-46D9-9843-FEE460AB8F2E}"/>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86D082AA-5310-4EDB-B88D-9B651ED1B7AD}"/>
    <cellStyle name="Normal 4 3 2 2 2 2 4 2 3" xfId="11948" xr:uid="{201E6E46-0D3A-4009-B20E-9E3A7CC20966}"/>
    <cellStyle name="Normal 4 3 2 2 2 2 4 3" xfId="5571" xr:uid="{00000000-0005-0000-0000-000027140000}"/>
    <cellStyle name="Normal 4 3 2 2 2 2 4 3 2" xfId="14021" xr:uid="{78EF677B-37C5-473E-A49D-2E27D56ED82F}"/>
    <cellStyle name="Normal 4 3 2 2 2 2 4 4" xfId="9803" xr:uid="{378C32D0-B4F1-497B-A3E4-93DF5EB5CFDB}"/>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8B9DC253-2667-406C-A21B-CEC8E49B93CE}"/>
    <cellStyle name="Normal 4 3 2 2 2 2 5 2 3" xfId="12361" xr:uid="{1C1DC25C-5256-4551-89E4-DA161F20DC91}"/>
    <cellStyle name="Normal 4 3 2 2 2 2 5 3" xfId="5984" xr:uid="{00000000-0005-0000-0000-00002B140000}"/>
    <cellStyle name="Normal 4 3 2 2 2 2 5 3 2" xfId="14434" xr:uid="{2CA39218-7EB5-4D47-9911-F905EDDA853F}"/>
    <cellStyle name="Normal 4 3 2 2 2 2 5 4" xfId="10216" xr:uid="{BF657924-3131-4F40-AAFD-C845151AB64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1F4E26A6-25FA-4F39-9002-0E6F7E9DCDC6}"/>
    <cellStyle name="Normal 4 3 2 2 2 2 6 2 3" xfId="12774" xr:uid="{21FDD168-AAE9-49B5-91C2-5F55530BF762}"/>
    <cellStyle name="Normal 4 3 2 2 2 2 6 3" xfId="6397" xr:uid="{00000000-0005-0000-0000-00002F140000}"/>
    <cellStyle name="Normal 4 3 2 2 2 2 6 3 2" xfId="14847" xr:uid="{6C304524-416F-49E0-A611-AC492C9EE0B0}"/>
    <cellStyle name="Normal 4 3 2 2 2 2 6 4" xfId="10629" xr:uid="{FB987FAC-7D78-4980-B6DA-8001B3402B4B}"/>
    <cellStyle name="Normal 4 3 2 2 2 2 7" xfId="2527" xr:uid="{00000000-0005-0000-0000-000030140000}"/>
    <cellStyle name="Normal 4 3 2 2 2 2 7 2" xfId="6810" xr:uid="{00000000-0005-0000-0000-000031140000}"/>
    <cellStyle name="Normal 4 3 2 2 2 2 7 2 2" xfId="15260" xr:uid="{03D01738-4BFB-4854-98CF-70F80D2529AD}"/>
    <cellStyle name="Normal 4 3 2 2 2 2 7 3" xfId="11042" xr:uid="{123939CE-6D08-4899-9D53-DE8423F5B55E}"/>
    <cellStyle name="Normal 4 3 2 2 2 2 8" xfId="4745" xr:uid="{00000000-0005-0000-0000-000032140000}"/>
    <cellStyle name="Normal 4 3 2 2 2 2 8 2" xfId="13195" xr:uid="{CFE2505F-5B37-40F1-8886-E90FB5418C7A}"/>
    <cellStyle name="Normal 4 3 2 2 2 2 9" xfId="8977" xr:uid="{7D69000B-5DCD-4C57-B340-2AE2BAB05B3C}"/>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3D93ED12-A25D-4FAF-9629-6FDDDA502CC7}"/>
    <cellStyle name="Normal 4 3 2 2 2 3 2 2 3" xfId="11537" xr:uid="{5FAE77C8-4D46-407D-B7B3-605F52367FB8}"/>
    <cellStyle name="Normal 4 3 2 2 2 3 2 3" xfId="5160" xr:uid="{00000000-0005-0000-0000-000037140000}"/>
    <cellStyle name="Normal 4 3 2 2 2 3 2 3 2" xfId="13610" xr:uid="{6219231F-2D9E-40F9-B041-90513DF8DF06}"/>
    <cellStyle name="Normal 4 3 2 2 2 3 2 4" xfId="9392" xr:uid="{AB0F6EDF-6B43-4C02-849A-C5A9B473C37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C1FCDF6C-F532-42B7-B192-FEF3AF956BBE}"/>
    <cellStyle name="Normal 4 3 2 2 2 3 3 2 3" xfId="11950" xr:uid="{D20E3F9D-2E9E-4ECD-BBCD-5C8E20107B91}"/>
    <cellStyle name="Normal 4 3 2 2 2 3 3 3" xfId="5573" xr:uid="{00000000-0005-0000-0000-00003B140000}"/>
    <cellStyle name="Normal 4 3 2 2 2 3 3 3 2" xfId="14023" xr:uid="{0FA0B6E3-F74B-4BA7-A950-93E3A910DA85}"/>
    <cellStyle name="Normal 4 3 2 2 2 3 3 4" xfId="9805" xr:uid="{4865380C-1C91-4118-87DC-D058D4234E5F}"/>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D76C54EF-2C3F-4D6B-ABBF-CA50380740FC}"/>
    <cellStyle name="Normal 4 3 2 2 2 3 4 2 3" xfId="12363" xr:uid="{4E9C269F-521D-48D3-A09D-B8CB3A1B50EB}"/>
    <cellStyle name="Normal 4 3 2 2 2 3 4 3" xfId="5986" xr:uid="{00000000-0005-0000-0000-00003F140000}"/>
    <cellStyle name="Normal 4 3 2 2 2 3 4 3 2" xfId="14436" xr:uid="{AE4D9F9C-2799-4BB9-AE52-2408167CCC07}"/>
    <cellStyle name="Normal 4 3 2 2 2 3 4 4" xfId="10218" xr:uid="{24951FF5-E589-4B7D-872B-28A80730A46B}"/>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64F3AB3C-585B-4FA8-AEAE-1AEC7BC4CD0E}"/>
    <cellStyle name="Normal 4 3 2 2 2 3 5 2 3" xfId="12776" xr:uid="{11802D9C-D7A2-4619-8E08-A98F7B0F4C2C}"/>
    <cellStyle name="Normal 4 3 2 2 2 3 5 3" xfId="6399" xr:uid="{00000000-0005-0000-0000-000043140000}"/>
    <cellStyle name="Normal 4 3 2 2 2 3 5 3 2" xfId="14849" xr:uid="{C21D89C1-40F0-4880-A068-DA659A605256}"/>
    <cellStyle name="Normal 4 3 2 2 2 3 5 4" xfId="10631" xr:uid="{6F5ACD8C-8699-4C98-A933-A4B61D9EEDA4}"/>
    <cellStyle name="Normal 4 3 2 2 2 3 6" xfId="2529" xr:uid="{00000000-0005-0000-0000-000044140000}"/>
    <cellStyle name="Normal 4 3 2 2 2 3 6 2" xfId="6812" xr:uid="{00000000-0005-0000-0000-000045140000}"/>
    <cellStyle name="Normal 4 3 2 2 2 3 6 2 2" xfId="15262" xr:uid="{78990DD3-6D85-4A44-A274-6D47B7794FD5}"/>
    <cellStyle name="Normal 4 3 2 2 2 3 6 3" xfId="11044" xr:uid="{914C5F26-721E-4062-AA87-C61BFBEC3D95}"/>
    <cellStyle name="Normal 4 3 2 2 2 3 7" xfId="4747" xr:uid="{00000000-0005-0000-0000-000046140000}"/>
    <cellStyle name="Normal 4 3 2 2 2 3 7 2" xfId="13197" xr:uid="{D40ECD7A-5DC6-4DFC-9BC9-2AC8403AF73F}"/>
    <cellStyle name="Normal 4 3 2 2 2 3 8" xfId="8979" xr:uid="{6301351A-FAA4-4B54-9A9C-64DDFCF7D84B}"/>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65A91A91-60E0-44C2-A26D-69FF12C70388}"/>
    <cellStyle name="Normal 4 3 2 2 2 4 2 3" xfId="11534" xr:uid="{D4E78282-62A3-450C-96BC-D9A70C902B49}"/>
    <cellStyle name="Normal 4 3 2 2 2 4 3" xfId="5157" xr:uid="{00000000-0005-0000-0000-00004A140000}"/>
    <cellStyle name="Normal 4 3 2 2 2 4 3 2" xfId="13607" xr:uid="{27D0FA10-D5C7-4397-BA43-158C22076298}"/>
    <cellStyle name="Normal 4 3 2 2 2 4 4" xfId="9389" xr:uid="{4E1716AF-2FF5-404F-A46D-231FF140D7DC}"/>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8A0A6D2D-171B-4216-B559-55BDFA1A2A96}"/>
    <cellStyle name="Normal 4 3 2 2 2 5 2 3" xfId="11947" xr:uid="{0F12D0FB-DCDD-4E84-A257-BE9428F4EEE4}"/>
    <cellStyle name="Normal 4 3 2 2 2 5 3" xfId="5570" xr:uid="{00000000-0005-0000-0000-00004E140000}"/>
    <cellStyle name="Normal 4 3 2 2 2 5 3 2" xfId="14020" xr:uid="{0450D412-6783-4FD1-A82F-82A5B17C3BF7}"/>
    <cellStyle name="Normal 4 3 2 2 2 5 4" xfId="9802" xr:uid="{6C10E62B-DE7B-48B6-9CDC-6C7B90779E81}"/>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D39FF6E7-8014-4C6E-B583-340F3FAAF045}"/>
    <cellStyle name="Normal 4 3 2 2 2 6 2 3" xfId="12360" xr:uid="{E1E96C78-8AD7-4901-AD6F-FA64503567B7}"/>
    <cellStyle name="Normal 4 3 2 2 2 6 3" xfId="5983" xr:uid="{00000000-0005-0000-0000-000052140000}"/>
    <cellStyle name="Normal 4 3 2 2 2 6 3 2" xfId="14433" xr:uid="{03578F30-80D2-4B98-9976-1ABE257ACADA}"/>
    <cellStyle name="Normal 4 3 2 2 2 6 4" xfId="10215" xr:uid="{A19DE619-169E-47C1-92A8-D54D90F6D7C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734016E9-2539-4ECA-BD6A-F7E3F32B0037}"/>
    <cellStyle name="Normal 4 3 2 2 2 7 2 3" xfId="12773" xr:uid="{EF866404-16F5-4457-BB8E-6D82E001C6CE}"/>
    <cellStyle name="Normal 4 3 2 2 2 7 3" xfId="6396" xr:uid="{00000000-0005-0000-0000-000056140000}"/>
    <cellStyle name="Normal 4 3 2 2 2 7 3 2" xfId="14846" xr:uid="{163D35AE-C9CA-41F2-A18C-ABA2B7BCECC0}"/>
    <cellStyle name="Normal 4 3 2 2 2 7 4" xfId="10628" xr:uid="{90C5F930-6926-48AD-A2EC-CAA6D6FAFB6E}"/>
    <cellStyle name="Normal 4 3 2 2 2 8" xfId="2526" xr:uid="{00000000-0005-0000-0000-000057140000}"/>
    <cellStyle name="Normal 4 3 2 2 2 8 2" xfId="6809" xr:uid="{00000000-0005-0000-0000-000058140000}"/>
    <cellStyle name="Normal 4 3 2 2 2 8 2 2" xfId="15259" xr:uid="{E0ECACDC-166E-4FE9-902E-E12F21D05DDE}"/>
    <cellStyle name="Normal 4 3 2 2 2 8 3" xfId="11041" xr:uid="{59592CE2-8891-4C65-893F-5457C4425F4D}"/>
    <cellStyle name="Normal 4 3 2 2 2 9" xfId="4744" xr:uid="{00000000-0005-0000-0000-000059140000}"/>
    <cellStyle name="Normal 4 3 2 2 2 9 2" xfId="13194" xr:uid="{ACA877FA-C353-4EE8-860D-F65B7E9C53F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FD3B7480-F60D-40EA-B714-FAB51A8747CE}"/>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188DAC49-AAD4-4D50-B8F9-613EC73B1D4C}"/>
    <cellStyle name="Normal 4 3 3 2 2 2 2 3" xfId="11540" xr:uid="{BED0D848-4267-4387-9691-886B4B43D599}"/>
    <cellStyle name="Normal 4 3 3 2 2 2 3" xfId="5163" xr:uid="{00000000-0005-0000-0000-000063140000}"/>
    <cellStyle name="Normal 4 3 3 2 2 2 3 2" xfId="13613" xr:uid="{3BDA910B-5C69-4FE6-9C47-679881242A9D}"/>
    <cellStyle name="Normal 4 3 3 2 2 2 4" xfId="9395" xr:uid="{0F86F5AE-2FB6-4615-AFB1-AD14B540FF76}"/>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49B0EA6D-3DEC-4C23-89C9-B9F18D610B7D}"/>
    <cellStyle name="Normal 4 3 3 2 2 3 2 3" xfId="11953" xr:uid="{87F24E4E-F063-4105-8112-B6327987664E}"/>
    <cellStyle name="Normal 4 3 3 2 2 3 3" xfId="5576" xr:uid="{00000000-0005-0000-0000-000067140000}"/>
    <cellStyle name="Normal 4 3 3 2 2 3 3 2" xfId="14026" xr:uid="{7EA428AE-7366-445A-8FF3-8ED4A280567D}"/>
    <cellStyle name="Normal 4 3 3 2 2 3 4" xfId="9808" xr:uid="{2577ED00-DE6D-4F06-AA2F-C8AE58E4C63C}"/>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03E41DD1-2E65-43E8-A2FE-FEE098BB98FF}"/>
    <cellStyle name="Normal 4 3 3 2 2 4 2 3" xfId="12366" xr:uid="{E7FFCA8E-DBB8-4D36-B499-4980718F9349}"/>
    <cellStyle name="Normal 4 3 3 2 2 4 3" xfId="5989" xr:uid="{00000000-0005-0000-0000-00006B140000}"/>
    <cellStyle name="Normal 4 3 3 2 2 4 3 2" xfId="14439" xr:uid="{25AE19A8-2463-433B-918C-2B10D06F7EC9}"/>
    <cellStyle name="Normal 4 3 3 2 2 4 4" xfId="10221" xr:uid="{B40656DA-42A4-4B32-B8D6-15C83F15B2DE}"/>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C52BFC85-AB8E-4738-9BD7-7567C399953A}"/>
    <cellStyle name="Normal 4 3 3 2 2 5 2 3" xfId="12779" xr:uid="{CE81C573-CD39-4565-90D7-E8BF73247A77}"/>
    <cellStyle name="Normal 4 3 3 2 2 5 3" xfId="6402" xr:uid="{00000000-0005-0000-0000-00006F140000}"/>
    <cellStyle name="Normal 4 3 3 2 2 5 3 2" xfId="14852" xr:uid="{93AC458E-B834-4F8E-BE79-2CDD9D925618}"/>
    <cellStyle name="Normal 4 3 3 2 2 5 4" xfId="10634" xr:uid="{67712A95-DD68-4989-AA81-BE77B008887B}"/>
    <cellStyle name="Normal 4 3 3 2 2 6" xfId="2532" xr:uid="{00000000-0005-0000-0000-000070140000}"/>
    <cellStyle name="Normal 4 3 3 2 2 6 2" xfId="6815" xr:uid="{00000000-0005-0000-0000-000071140000}"/>
    <cellStyle name="Normal 4 3 3 2 2 6 2 2" xfId="15265" xr:uid="{12EAA02C-B0B5-4748-8B29-FC2A6AA7FA5E}"/>
    <cellStyle name="Normal 4 3 3 2 2 6 3" xfId="11047" xr:uid="{624B31DC-A62A-40C4-B7DC-107DC50F6E62}"/>
    <cellStyle name="Normal 4 3 3 2 2 7" xfId="4750" xr:uid="{00000000-0005-0000-0000-000072140000}"/>
    <cellStyle name="Normal 4 3 3 2 2 7 2" xfId="13200" xr:uid="{67EE4055-D5A7-4FFD-95C6-851D254F7F20}"/>
    <cellStyle name="Normal 4 3 3 2 2 8" xfId="8982" xr:uid="{15AA3F21-CC17-4D59-BE73-787766E3DC6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BCDEE8CA-6EC3-4A46-9678-BEBB0D539E22}"/>
    <cellStyle name="Normal 4 3 3 2 3 2 3" xfId="11539" xr:uid="{2BD14926-7DED-4895-9DBE-1B2F9DE823B9}"/>
    <cellStyle name="Normal 4 3 3 2 3 3" xfId="5162" xr:uid="{00000000-0005-0000-0000-000076140000}"/>
    <cellStyle name="Normal 4 3 3 2 3 3 2" xfId="13612" xr:uid="{D37030CD-352D-44C9-823A-860CD8C97D38}"/>
    <cellStyle name="Normal 4 3 3 2 3 4" xfId="9394" xr:uid="{A27075A3-DFF3-48D0-8E64-6F12B711639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A1335588-A879-445A-B97F-65AC0890AFDE}"/>
    <cellStyle name="Normal 4 3 3 2 4 2 3" xfId="11952" xr:uid="{082FCB56-36C0-465D-80D6-CC81982921D4}"/>
    <cellStyle name="Normal 4 3 3 2 4 3" xfId="5575" xr:uid="{00000000-0005-0000-0000-00007A140000}"/>
    <cellStyle name="Normal 4 3 3 2 4 3 2" xfId="14025" xr:uid="{A9BF1ACF-EE8D-40A1-A533-187C38F9C33F}"/>
    <cellStyle name="Normal 4 3 3 2 4 4" xfId="9807" xr:uid="{C2B8F602-0644-4A32-A2A9-0E3067533D8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28F4DF9E-C030-4941-BAFC-002286469CB9}"/>
    <cellStyle name="Normal 4 3 3 2 5 2 3" xfId="12365" xr:uid="{300B32AD-A653-454B-8E7C-9FF05EE8F1C9}"/>
    <cellStyle name="Normal 4 3 3 2 5 3" xfId="5988" xr:uid="{00000000-0005-0000-0000-00007E140000}"/>
    <cellStyle name="Normal 4 3 3 2 5 3 2" xfId="14438" xr:uid="{2E2DDBC3-E7E8-4FF9-9B80-42503AFE79B3}"/>
    <cellStyle name="Normal 4 3 3 2 5 4" xfId="10220" xr:uid="{D08187E8-8D9A-4CCF-ADFC-28F91EBB514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09EF4580-2EF1-4E6C-97E2-4229F83F52F9}"/>
    <cellStyle name="Normal 4 3 3 2 6 2 3" xfId="12778" xr:uid="{F9A76A51-ECD5-4F8C-B543-D8DED20FE1F8}"/>
    <cellStyle name="Normal 4 3 3 2 6 3" xfId="6401" xr:uid="{00000000-0005-0000-0000-000082140000}"/>
    <cellStyle name="Normal 4 3 3 2 6 3 2" xfId="14851" xr:uid="{640E4578-D043-41EE-B752-5EE669775D8D}"/>
    <cellStyle name="Normal 4 3 3 2 6 4" xfId="10633" xr:uid="{7A043A9C-1C7C-4CF8-92FA-6BDBA8BE1A71}"/>
    <cellStyle name="Normal 4 3 3 2 7" xfId="2531" xr:uid="{00000000-0005-0000-0000-000083140000}"/>
    <cellStyle name="Normal 4 3 3 2 7 2" xfId="6814" xr:uid="{00000000-0005-0000-0000-000084140000}"/>
    <cellStyle name="Normal 4 3 3 2 7 2 2" xfId="15264" xr:uid="{518898E2-F934-4CD7-B232-C9A9CF896541}"/>
    <cellStyle name="Normal 4 3 3 2 7 3" xfId="11046" xr:uid="{90093FC6-7B56-4F02-81EB-40473DA9022B}"/>
    <cellStyle name="Normal 4 3 3 2 8" xfId="4749" xr:uid="{00000000-0005-0000-0000-000085140000}"/>
    <cellStyle name="Normal 4 3 3 2 8 2" xfId="13199" xr:uid="{DA99D786-0A16-41E5-8A14-44634EBE7B0F}"/>
    <cellStyle name="Normal 4 3 3 2 9" xfId="8981" xr:uid="{8EA77E17-6BF0-44B2-99AC-074BFC199342}"/>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DECBA8B0-F28D-41EF-90B4-553C85755BCE}"/>
    <cellStyle name="Normal 4 3 3 3 2 2 3" xfId="11541" xr:uid="{6A6168FB-8DDF-4393-969F-D7364EBD2E4D}"/>
    <cellStyle name="Normal 4 3 3 3 2 3" xfId="5164" xr:uid="{00000000-0005-0000-0000-00008A140000}"/>
    <cellStyle name="Normal 4 3 3 3 2 3 2" xfId="13614" xr:uid="{6C96AA7E-9C1B-4CFC-AD05-180CDE7161C0}"/>
    <cellStyle name="Normal 4 3 3 3 2 4" xfId="9396" xr:uid="{58DF8493-17AD-4B16-8C59-33EBFE2E8EED}"/>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345AD1B7-4734-4B28-9143-AC24E25F0E43}"/>
    <cellStyle name="Normal 4 3 3 3 3 2 3" xfId="11954" xr:uid="{66071DE7-87C4-46D2-BFD2-CB4A7A083553}"/>
    <cellStyle name="Normal 4 3 3 3 3 3" xfId="5577" xr:uid="{00000000-0005-0000-0000-00008E140000}"/>
    <cellStyle name="Normal 4 3 3 3 3 3 2" xfId="14027" xr:uid="{821C42C9-87BC-499E-93A3-1A469FEE44C2}"/>
    <cellStyle name="Normal 4 3 3 3 3 4" xfId="9809" xr:uid="{FA1BDF56-9BEC-4FC0-88EA-D369DB684474}"/>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9B823B25-430E-4376-BEF5-7940DD6B2215}"/>
    <cellStyle name="Normal 4 3 3 3 4 2 3" xfId="12367" xr:uid="{DD110C66-7CFB-4BBC-ADCE-3365E188C963}"/>
    <cellStyle name="Normal 4 3 3 3 4 3" xfId="5990" xr:uid="{00000000-0005-0000-0000-000092140000}"/>
    <cellStyle name="Normal 4 3 3 3 4 3 2" xfId="14440" xr:uid="{BFAFD545-25D2-42B0-9646-58E42C206A35}"/>
    <cellStyle name="Normal 4 3 3 3 4 4" xfId="10222" xr:uid="{A0268A13-42C7-4E20-8361-8DA65B898837}"/>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E6875232-9BD2-4DAF-9D96-C52411A096AA}"/>
    <cellStyle name="Normal 4 3 3 3 5 2 3" xfId="12780" xr:uid="{74F48760-D25F-4D32-95E9-DFBF883ECD1E}"/>
    <cellStyle name="Normal 4 3 3 3 5 3" xfId="6403" xr:uid="{00000000-0005-0000-0000-000096140000}"/>
    <cellStyle name="Normal 4 3 3 3 5 3 2" xfId="14853" xr:uid="{BF945E3E-4B1B-41BC-A022-1BED0FB353CE}"/>
    <cellStyle name="Normal 4 3 3 3 5 4" xfId="10635" xr:uid="{4D57F763-AD8C-4043-860F-34E3BFC77BB4}"/>
    <cellStyle name="Normal 4 3 3 3 6" xfId="2533" xr:uid="{00000000-0005-0000-0000-000097140000}"/>
    <cellStyle name="Normal 4 3 3 3 6 2" xfId="6816" xr:uid="{00000000-0005-0000-0000-000098140000}"/>
    <cellStyle name="Normal 4 3 3 3 6 2 2" xfId="15266" xr:uid="{E73738F9-6286-4FCF-9018-9AEA5960EA4A}"/>
    <cellStyle name="Normal 4 3 3 3 6 3" xfId="11048" xr:uid="{35A94AD8-078A-462D-83DF-458D7DDFB96F}"/>
    <cellStyle name="Normal 4 3 3 3 7" xfId="4751" xr:uid="{00000000-0005-0000-0000-000099140000}"/>
    <cellStyle name="Normal 4 3 3 3 7 2" xfId="13201" xr:uid="{C23742F5-97D6-4045-9080-7C88B2253E68}"/>
    <cellStyle name="Normal 4 3 3 3 8" xfId="8983" xr:uid="{0AD55B2F-EBA3-48F8-B3B0-30C3CD3DF307}"/>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9A2BD6F1-3835-4589-90C6-6DC3C1798E26}"/>
    <cellStyle name="Normal 4 3 3 4 2 3" xfId="11538" xr:uid="{FA3FF483-DE55-4BEB-8E63-1CC4975D893E}"/>
    <cellStyle name="Normal 4 3 3 4 3" xfId="5161" xr:uid="{00000000-0005-0000-0000-00009D140000}"/>
    <cellStyle name="Normal 4 3 3 4 3 2" xfId="13611" xr:uid="{E3E446BB-48D9-4710-9F08-75CF66571943}"/>
    <cellStyle name="Normal 4 3 3 4 4" xfId="9393" xr:uid="{3A2194AD-AC93-4D75-B799-D5BEFC0990E4}"/>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2078D976-8A2C-4895-9F92-47F6A73BCC5B}"/>
    <cellStyle name="Normal 4 3 3 5 2 3" xfId="11951" xr:uid="{09D6DF1E-C010-4C7E-918F-9B4F10D851CE}"/>
    <cellStyle name="Normal 4 3 3 5 3" xfId="5574" xr:uid="{00000000-0005-0000-0000-0000A1140000}"/>
    <cellStyle name="Normal 4 3 3 5 3 2" xfId="14024" xr:uid="{30F2C932-27D0-42BA-BEC8-1710F35ABE84}"/>
    <cellStyle name="Normal 4 3 3 5 4" xfId="9806" xr:uid="{024E5660-64A9-461A-BA2F-8ECF95502B09}"/>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194794EC-37C3-4F89-9219-85BA1B2B3300}"/>
    <cellStyle name="Normal 4 3 3 6 2 3" xfId="12364" xr:uid="{A6906800-B1A0-4D37-9A8A-5BA8D7A08728}"/>
    <cellStyle name="Normal 4 3 3 6 3" xfId="5987" xr:uid="{00000000-0005-0000-0000-0000A5140000}"/>
    <cellStyle name="Normal 4 3 3 6 3 2" xfId="14437" xr:uid="{64AEDA06-805F-4AD0-BA94-F3B91E298D71}"/>
    <cellStyle name="Normal 4 3 3 6 4" xfId="10219" xr:uid="{D477E563-32EA-444B-B8DE-D4838D62E7D8}"/>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528A9DD4-5C5A-4C74-B962-7810D0F3F789}"/>
    <cellStyle name="Normal 4 3 3 7 2 3" xfId="12777" xr:uid="{E13CA0C4-0AE4-4444-B67C-A698D56EF545}"/>
    <cellStyle name="Normal 4 3 3 7 3" xfId="6400" xr:uid="{00000000-0005-0000-0000-0000A9140000}"/>
    <cellStyle name="Normal 4 3 3 7 3 2" xfId="14850" xr:uid="{3DCDAC2D-67EC-4E06-87A3-62F7C9AEE213}"/>
    <cellStyle name="Normal 4 3 3 7 4" xfId="10632" xr:uid="{27524998-CC47-4830-BA81-4B45029D14C2}"/>
    <cellStyle name="Normal 4 3 3 8" xfId="2530" xr:uid="{00000000-0005-0000-0000-0000AA140000}"/>
    <cellStyle name="Normal 4 3 3 8 2" xfId="6813" xr:uid="{00000000-0005-0000-0000-0000AB140000}"/>
    <cellStyle name="Normal 4 3 3 8 2 2" xfId="15263" xr:uid="{629EA186-0145-48E6-9815-3B8D898AED43}"/>
    <cellStyle name="Normal 4 3 3 8 3" xfId="11045" xr:uid="{2A86A619-6470-4344-A443-7CAD0B720F89}"/>
    <cellStyle name="Normal 4 3 3 9" xfId="4748" xr:uid="{00000000-0005-0000-0000-0000AC140000}"/>
    <cellStyle name="Normal 4 3 3 9 2" xfId="13198" xr:uid="{BFDAC593-D71F-4545-8C7F-2E091AD31D2E}"/>
    <cellStyle name="Normal 4 3 4" xfId="842" xr:uid="{00000000-0005-0000-0000-0000AD140000}"/>
    <cellStyle name="Normal 4 3 4 2" xfId="3079" xr:uid="{00000000-0005-0000-0000-0000AE140000}"/>
    <cellStyle name="Normal 4 3 4 2 2" xfId="7301" xr:uid="{00000000-0005-0000-0000-0000AF140000}"/>
    <cellStyle name="Normal 4 3 4 2 2 2" xfId="15751" xr:uid="{F20FB498-1319-4CB7-8A2F-0764DD98CF30}"/>
    <cellStyle name="Normal 4 3 4 2 3" xfId="11533" xr:uid="{96C68877-90CE-418E-ABD8-BC80FF9B43F4}"/>
    <cellStyle name="Normal 4 3 4 3" xfId="5156" xr:uid="{00000000-0005-0000-0000-0000B0140000}"/>
    <cellStyle name="Normal 4 3 4 3 2" xfId="13606" xr:uid="{202E53EE-8C87-4DEA-A4A5-658010DF836F}"/>
    <cellStyle name="Normal 4 3 4 4" xfId="9388" xr:uid="{FD9319CC-B96E-41F6-B904-2D143F776D89}"/>
    <cellStyle name="Normal 4 3 5" xfId="1262" xr:uid="{00000000-0005-0000-0000-0000B1140000}"/>
    <cellStyle name="Normal 4 3 5 2" xfId="3492" xr:uid="{00000000-0005-0000-0000-0000B2140000}"/>
    <cellStyle name="Normal 4 3 5 2 2" xfId="7714" xr:uid="{00000000-0005-0000-0000-0000B3140000}"/>
    <cellStyle name="Normal 4 3 5 2 2 2" xfId="16164" xr:uid="{2A05FBFF-375D-4E27-B9C8-0C14589EB5D3}"/>
    <cellStyle name="Normal 4 3 5 2 3" xfId="11946" xr:uid="{88DCE6FD-562B-408A-94A3-1A289E540126}"/>
    <cellStyle name="Normal 4 3 5 3" xfId="5569" xr:uid="{00000000-0005-0000-0000-0000B4140000}"/>
    <cellStyle name="Normal 4 3 5 3 2" xfId="14019" xr:uid="{1412F62D-CC09-4C3F-9969-D5E0284C3DE6}"/>
    <cellStyle name="Normal 4 3 5 4" xfId="9801" xr:uid="{507B5640-AE61-445B-99B3-F747C7BCD1E3}"/>
    <cellStyle name="Normal 4 3 6" xfId="1675" xr:uid="{00000000-0005-0000-0000-0000B5140000}"/>
    <cellStyle name="Normal 4 3 6 2" xfId="3905" xr:uid="{00000000-0005-0000-0000-0000B6140000}"/>
    <cellStyle name="Normal 4 3 6 2 2" xfId="8127" xr:uid="{00000000-0005-0000-0000-0000B7140000}"/>
    <cellStyle name="Normal 4 3 6 2 2 2" xfId="16577" xr:uid="{5DEECAF3-22DF-44DE-82BE-381443A6F7E9}"/>
    <cellStyle name="Normal 4 3 6 2 3" xfId="12359" xr:uid="{DE92A4BF-E73A-441B-B0C3-BA6F678F53EE}"/>
    <cellStyle name="Normal 4 3 6 3" xfId="5982" xr:uid="{00000000-0005-0000-0000-0000B8140000}"/>
    <cellStyle name="Normal 4 3 6 3 2" xfId="14432" xr:uid="{3DF58E00-890F-4CC1-98C5-829B3B435271}"/>
    <cellStyle name="Normal 4 3 6 4" xfId="10214" xr:uid="{02898D66-84C0-4877-AF93-AEA29AFAF562}"/>
    <cellStyle name="Normal 4 3 7" xfId="2089" xr:uid="{00000000-0005-0000-0000-0000B9140000}"/>
    <cellStyle name="Normal 4 3 7 2" xfId="4318" xr:uid="{00000000-0005-0000-0000-0000BA140000}"/>
    <cellStyle name="Normal 4 3 7 2 2" xfId="8540" xr:uid="{00000000-0005-0000-0000-0000BB140000}"/>
    <cellStyle name="Normal 4 3 7 2 2 2" xfId="16990" xr:uid="{FACADBF9-5DFD-43C5-AF7A-EB81E25DE4C3}"/>
    <cellStyle name="Normal 4 3 7 2 3" xfId="12772" xr:uid="{C3676DF5-C5B3-4A6C-9424-93B939235E34}"/>
    <cellStyle name="Normal 4 3 7 3" xfId="6395" xr:uid="{00000000-0005-0000-0000-0000BC140000}"/>
    <cellStyle name="Normal 4 3 7 3 2" xfId="14845" xr:uid="{5009899B-B665-4E31-90B2-5F41546B28BB}"/>
    <cellStyle name="Normal 4 3 7 4" xfId="10627" xr:uid="{3D8D36CE-798B-43A2-94B2-19260AE2E252}"/>
    <cellStyle name="Normal 4 3 8" xfId="2525" xr:uid="{00000000-0005-0000-0000-0000BD140000}"/>
    <cellStyle name="Normal 4 3 8 2" xfId="6808" xr:uid="{00000000-0005-0000-0000-0000BE140000}"/>
    <cellStyle name="Normal 4 3 8 2 2" xfId="15258" xr:uid="{ACA08F4E-1DE9-449C-B101-5716F48F752E}"/>
    <cellStyle name="Normal 4 3 8 3" xfId="11040" xr:uid="{03ABF843-0FEE-4F18-A66F-7FA31F175985}"/>
    <cellStyle name="Normal 4 3 9" xfId="4743" xr:uid="{00000000-0005-0000-0000-0000BF140000}"/>
    <cellStyle name="Normal 4 3 9 2" xfId="13193" xr:uid="{1A534587-5782-4DCB-A3D4-7F739D7A7D8F}"/>
    <cellStyle name="Normal 4 4" xfId="378" xr:uid="{00000000-0005-0000-0000-0000C0140000}"/>
    <cellStyle name="Normal 4 4 10" xfId="2534" xr:uid="{00000000-0005-0000-0000-0000C1140000}"/>
    <cellStyle name="Normal 4 4 10 2" xfId="6817" xr:uid="{00000000-0005-0000-0000-0000C2140000}"/>
    <cellStyle name="Normal 4 4 10 2 2" xfId="15267" xr:uid="{96FF7193-BD56-426F-93FD-C5F50ACD893C}"/>
    <cellStyle name="Normal 4 4 10 3" xfId="11049" xr:uid="{D9E0C0D8-574D-4A68-BC3C-E68CD86A635C}"/>
    <cellStyle name="Normal 4 4 11" xfId="4752" xr:uid="{00000000-0005-0000-0000-0000C3140000}"/>
    <cellStyle name="Normal 4 4 11 2" xfId="13202" xr:uid="{9088A968-E7F0-404B-AEB6-015A7677DCCD}"/>
    <cellStyle name="Normal 4 4 12" xfId="8984" xr:uid="{0F58A232-EB5A-4405-A400-35A1A137A58E}"/>
    <cellStyle name="Normal 4 4 2" xfId="379" xr:uid="{00000000-0005-0000-0000-0000C4140000}"/>
    <cellStyle name="Normal 4 4 2 10" xfId="4753" xr:uid="{00000000-0005-0000-0000-0000C5140000}"/>
    <cellStyle name="Normal 4 4 2 10 2" xfId="13203" xr:uid="{13921C45-2CE3-44E3-8933-03C6AB800FC5}"/>
    <cellStyle name="Normal 4 4 2 11" xfId="8985" xr:uid="{7D1465F4-DFCB-4D7A-A403-035ED7E61224}"/>
    <cellStyle name="Normal 4 4 2 2" xfId="380" xr:uid="{00000000-0005-0000-0000-0000C6140000}"/>
    <cellStyle name="Normal 4 4 2 2 10" xfId="8986" xr:uid="{FFF6D931-1F16-4C63-AC82-851D4AB44A5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33454AD8-F8CD-4B67-85F0-3F289A9AA6A8}"/>
    <cellStyle name="Normal 4 4 2 2 2 2 2 2 3" xfId="11546" xr:uid="{AB908855-1AE8-4FC5-AD21-8E89D2603FE9}"/>
    <cellStyle name="Normal 4 4 2 2 2 2 2 3" xfId="5169" xr:uid="{00000000-0005-0000-0000-0000CC140000}"/>
    <cellStyle name="Normal 4 4 2 2 2 2 2 3 2" xfId="13619" xr:uid="{DC826065-8F1B-4D9B-BC94-F1B45591FE7D}"/>
    <cellStyle name="Normal 4 4 2 2 2 2 2 4" xfId="9401" xr:uid="{C28E262F-05E8-47E8-9C69-C01CD3F3BAB7}"/>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6F1A6EDF-5E21-41A3-9683-BEE4A497479A}"/>
    <cellStyle name="Normal 4 4 2 2 2 2 3 2 3" xfId="11959" xr:uid="{E9896A50-1B80-41ED-AE79-E18E1B0B6949}"/>
    <cellStyle name="Normal 4 4 2 2 2 2 3 3" xfId="5582" xr:uid="{00000000-0005-0000-0000-0000D0140000}"/>
    <cellStyle name="Normal 4 4 2 2 2 2 3 3 2" xfId="14032" xr:uid="{30F36553-591A-42CD-8B9E-C66C473E8B19}"/>
    <cellStyle name="Normal 4 4 2 2 2 2 3 4" xfId="9814" xr:uid="{850357AB-6426-4BF5-B268-4BB32C5B046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6204E5E2-5DA1-4593-BB7B-E42922AADA50}"/>
    <cellStyle name="Normal 4 4 2 2 2 2 4 2 3" xfId="12372" xr:uid="{52815361-9967-498B-AA6E-C3F14D48A93E}"/>
    <cellStyle name="Normal 4 4 2 2 2 2 4 3" xfId="5995" xr:uid="{00000000-0005-0000-0000-0000D4140000}"/>
    <cellStyle name="Normal 4 4 2 2 2 2 4 3 2" xfId="14445" xr:uid="{74C8F4B2-2644-469B-B741-D6857F15FFCD}"/>
    <cellStyle name="Normal 4 4 2 2 2 2 4 4" xfId="10227" xr:uid="{B03C646A-A890-4836-BF93-1648B0607DA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17F83027-7063-48BF-8975-DD76FB81C016}"/>
    <cellStyle name="Normal 4 4 2 2 2 2 5 2 3" xfId="12785" xr:uid="{95CF67FA-2B28-4C24-B062-B6227FCB1856}"/>
    <cellStyle name="Normal 4 4 2 2 2 2 5 3" xfId="6408" xr:uid="{00000000-0005-0000-0000-0000D8140000}"/>
    <cellStyle name="Normal 4 4 2 2 2 2 5 3 2" xfId="14858" xr:uid="{1BB99D47-93A5-4CC6-AED5-AE59AB137C0D}"/>
    <cellStyle name="Normal 4 4 2 2 2 2 5 4" xfId="10640" xr:uid="{CA67C2CE-63D5-4206-A9A3-AAE28B54282B}"/>
    <cellStyle name="Normal 4 4 2 2 2 2 6" xfId="2538" xr:uid="{00000000-0005-0000-0000-0000D9140000}"/>
    <cellStyle name="Normal 4 4 2 2 2 2 6 2" xfId="6821" xr:uid="{00000000-0005-0000-0000-0000DA140000}"/>
    <cellStyle name="Normal 4 4 2 2 2 2 6 2 2" xfId="15271" xr:uid="{BCE0A483-F9FF-43AC-88AA-AE1422DCCE87}"/>
    <cellStyle name="Normal 4 4 2 2 2 2 6 3" xfId="11053" xr:uid="{C313DA90-49AC-4039-80F0-9EDD009023A9}"/>
    <cellStyle name="Normal 4 4 2 2 2 2 7" xfId="4756" xr:uid="{00000000-0005-0000-0000-0000DB140000}"/>
    <cellStyle name="Normal 4 4 2 2 2 2 7 2" xfId="13206" xr:uid="{B4E3042A-2ABA-4C72-84C6-46AFB86B9F32}"/>
    <cellStyle name="Normal 4 4 2 2 2 2 8" xfId="8988" xr:uid="{E8337109-9274-459C-942E-032C029AE0D9}"/>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15F83BBF-A605-498D-B853-6C2CC0DE0830}"/>
    <cellStyle name="Normal 4 4 2 2 2 3 2 3" xfId="11545" xr:uid="{0A17568E-B5FD-4593-9FC5-C978B27231CF}"/>
    <cellStyle name="Normal 4 4 2 2 2 3 3" xfId="5168" xr:uid="{00000000-0005-0000-0000-0000DF140000}"/>
    <cellStyle name="Normal 4 4 2 2 2 3 3 2" xfId="13618" xr:uid="{229F3A8B-666D-43A2-87A8-70FA2918CA6C}"/>
    <cellStyle name="Normal 4 4 2 2 2 3 4" xfId="9400" xr:uid="{D30883D8-1109-4122-8C7A-9C5669D74EA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AF739AFA-E87B-4F5C-97F7-142FCC605E04}"/>
    <cellStyle name="Normal 4 4 2 2 2 4 2 3" xfId="11958" xr:uid="{6289D0C5-79B4-4F52-8DBD-E786E96B0B26}"/>
    <cellStyle name="Normal 4 4 2 2 2 4 3" xfId="5581" xr:uid="{00000000-0005-0000-0000-0000E3140000}"/>
    <cellStyle name="Normal 4 4 2 2 2 4 3 2" xfId="14031" xr:uid="{9714FEB6-489F-45CF-B79D-1752BE4F9C2F}"/>
    <cellStyle name="Normal 4 4 2 2 2 4 4" xfId="9813" xr:uid="{BB45F5FE-F14F-463A-B610-0F0DF9775D3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759D465D-CA9D-4A86-AD19-B57B7FEDDB9E}"/>
    <cellStyle name="Normal 4 4 2 2 2 5 2 3" xfId="12371" xr:uid="{B33E7209-C716-456C-AE6D-6C677FAF737D}"/>
    <cellStyle name="Normal 4 4 2 2 2 5 3" xfId="5994" xr:uid="{00000000-0005-0000-0000-0000E7140000}"/>
    <cellStyle name="Normal 4 4 2 2 2 5 3 2" xfId="14444" xr:uid="{FD8F84ED-76BC-4BB9-BB71-5D2FA1F75F80}"/>
    <cellStyle name="Normal 4 4 2 2 2 5 4" xfId="10226" xr:uid="{22DD4837-B52E-4F9B-8C3F-272C7568FCDE}"/>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DCE27037-6E2F-4AB1-8976-B4D43DEA7904}"/>
    <cellStyle name="Normal 4 4 2 2 2 6 2 3" xfId="12784" xr:uid="{F8146798-D6D1-4F74-9F5B-D90CC0BBE172}"/>
    <cellStyle name="Normal 4 4 2 2 2 6 3" xfId="6407" xr:uid="{00000000-0005-0000-0000-0000EB140000}"/>
    <cellStyle name="Normal 4 4 2 2 2 6 3 2" xfId="14857" xr:uid="{1427D81C-DCD0-4552-AAAB-CBB30E0F3401}"/>
    <cellStyle name="Normal 4 4 2 2 2 6 4" xfId="10639" xr:uid="{244BCE01-741D-4A7B-B97E-5CC9584E289A}"/>
    <cellStyle name="Normal 4 4 2 2 2 7" xfId="2537" xr:uid="{00000000-0005-0000-0000-0000EC140000}"/>
    <cellStyle name="Normal 4 4 2 2 2 7 2" xfId="6820" xr:uid="{00000000-0005-0000-0000-0000ED140000}"/>
    <cellStyle name="Normal 4 4 2 2 2 7 2 2" xfId="15270" xr:uid="{31803DA0-707D-4C2F-9D7A-4A947AFC3E20}"/>
    <cellStyle name="Normal 4 4 2 2 2 7 3" xfId="11052" xr:uid="{691FCD94-B5DB-4450-8A0A-F48DBB17E82F}"/>
    <cellStyle name="Normal 4 4 2 2 2 8" xfId="4755" xr:uid="{00000000-0005-0000-0000-0000EE140000}"/>
    <cellStyle name="Normal 4 4 2 2 2 8 2" xfId="13205" xr:uid="{BB89A80B-5C2C-4CD8-A482-C610F08D1189}"/>
    <cellStyle name="Normal 4 4 2 2 2 9" xfId="8987" xr:uid="{99710DE7-A165-45BD-9E43-9F7AB93C8AC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59EC16DA-B840-4FA0-8208-747D5820E3C7}"/>
    <cellStyle name="Normal 4 4 2 2 3 2 2 3" xfId="11547" xr:uid="{086E3604-0B73-4D74-BF6E-399CBE2AD073}"/>
    <cellStyle name="Normal 4 4 2 2 3 2 3" xfId="5170" xr:uid="{00000000-0005-0000-0000-0000F3140000}"/>
    <cellStyle name="Normal 4 4 2 2 3 2 3 2" xfId="13620" xr:uid="{1B34AC62-4A01-46D4-9CF2-2C216404DF4A}"/>
    <cellStyle name="Normal 4 4 2 2 3 2 4" xfId="9402" xr:uid="{E636F9F6-1D13-4589-83BC-A6AB664113F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6CB9BE80-448B-40AE-85C4-BA8566CA76D4}"/>
    <cellStyle name="Normal 4 4 2 2 3 3 2 3" xfId="11960" xr:uid="{1B733069-1546-44CA-879D-1FBF9DF5B0EF}"/>
    <cellStyle name="Normal 4 4 2 2 3 3 3" xfId="5583" xr:uid="{00000000-0005-0000-0000-0000F7140000}"/>
    <cellStyle name="Normal 4 4 2 2 3 3 3 2" xfId="14033" xr:uid="{95C08D4B-4EFC-4641-950B-C3E031E078B4}"/>
    <cellStyle name="Normal 4 4 2 2 3 3 4" xfId="9815" xr:uid="{C2362134-E897-4111-880B-ED322D3DAF58}"/>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2E92D487-8F96-4EF9-AE83-6F9E3E33DBBD}"/>
    <cellStyle name="Normal 4 4 2 2 3 4 2 3" xfId="12373" xr:uid="{7C225D14-2173-4B21-AE60-1888471B2767}"/>
    <cellStyle name="Normal 4 4 2 2 3 4 3" xfId="5996" xr:uid="{00000000-0005-0000-0000-0000FB140000}"/>
    <cellStyle name="Normal 4 4 2 2 3 4 3 2" xfId="14446" xr:uid="{ECCF10AE-D16F-4062-A807-A8BD2B543C0A}"/>
    <cellStyle name="Normal 4 4 2 2 3 4 4" xfId="10228" xr:uid="{DBDA46C7-C9C9-4B71-9BD3-D8F633F61B9D}"/>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3EB058C7-9F99-4941-8FC1-8E5713DE24DC}"/>
    <cellStyle name="Normal 4 4 2 2 3 5 2 3" xfId="12786" xr:uid="{16D08EA4-B512-436C-A3FA-7E67B970C130}"/>
    <cellStyle name="Normal 4 4 2 2 3 5 3" xfId="6409" xr:uid="{00000000-0005-0000-0000-0000FF140000}"/>
    <cellStyle name="Normal 4 4 2 2 3 5 3 2" xfId="14859" xr:uid="{8BC5F6F4-96ED-4E66-ACCC-E9049C61F177}"/>
    <cellStyle name="Normal 4 4 2 2 3 5 4" xfId="10641" xr:uid="{2CDF4166-7FD7-44B4-9237-6EA9C73C837F}"/>
    <cellStyle name="Normal 4 4 2 2 3 6" xfId="2539" xr:uid="{00000000-0005-0000-0000-000000150000}"/>
    <cellStyle name="Normal 4 4 2 2 3 6 2" xfId="6822" xr:uid="{00000000-0005-0000-0000-000001150000}"/>
    <cellStyle name="Normal 4 4 2 2 3 6 2 2" xfId="15272" xr:uid="{92543864-15BA-4ECB-85B5-2EB308EB7759}"/>
    <cellStyle name="Normal 4 4 2 2 3 6 3" xfId="11054" xr:uid="{20E797E4-53EA-45FE-A091-6DA9DFE4836A}"/>
    <cellStyle name="Normal 4 4 2 2 3 7" xfId="4757" xr:uid="{00000000-0005-0000-0000-000002150000}"/>
    <cellStyle name="Normal 4 4 2 2 3 7 2" xfId="13207" xr:uid="{205F14A6-1E7A-4169-ADF8-D1AF4B653CD1}"/>
    <cellStyle name="Normal 4 4 2 2 3 8" xfId="8989" xr:uid="{08370267-92D6-4314-8152-257FC143DBF0}"/>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368BF1C0-EF95-4A8A-949F-399808D2EB03}"/>
    <cellStyle name="Normal 4 4 2 2 4 2 3" xfId="11544" xr:uid="{074D1BDB-5510-46E4-9DBB-EB9FE3DF15AC}"/>
    <cellStyle name="Normal 4 4 2 2 4 3" xfId="5167" xr:uid="{00000000-0005-0000-0000-000006150000}"/>
    <cellStyle name="Normal 4 4 2 2 4 3 2" xfId="13617" xr:uid="{2FF8BBBA-C81A-497C-BC3A-3207558CB96D}"/>
    <cellStyle name="Normal 4 4 2 2 4 4" xfId="9399" xr:uid="{B61524AA-CD49-454C-B63C-D5004256BD4E}"/>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CAA36810-2056-4708-9EF0-8501FB6B7886}"/>
    <cellStyle name="Normal 4 4 2 2 5 2 3" xfId="11957" xr:uid="{D1B1C486-4E47-4EC7-9AEB-D7E72461F68E}"/>
    <cellStyle name="Normal 4 4 2 2 5 3" xfId="5580" xr:uid="{00000000-0005-0000-0000-00000A150000}"/>
    <cellStyle name="Normal 4 4 2 2 5 3 2" xfId="14030" xr:uid="{E2BF36A3-2867-45F0-B43A-1EC463353E0B}"/>
    <cellStyle name="Normal 4 4 2 2 5 4" xfId="9812" xr:uid="{D79AFBD7-CB21-4494-8C5C-39B55BE8DD04}"/>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5C0BF802-FCDC-49B6-AF8A-8989C2DEE158}"/>
    <cellStyle name="Normal 4 4 2 2 6 2 3" xfId="12370" xr:uid="{16D4C0DF-C20B-4617-A022-A639A3276587}"/>
    <cellStyle name="Normal 4 4 2 2 6 3" xfId="5993" xr:uid="{00000000-0005-0000-0000-00000E150000}"/>
    <cellStyle name="Normal 4 4 2 2 6 3 2" xfId="14443" xr:uid="{C5C53E49-2EA3-4BF6-8445-4E54778660E6}"/>
    <cellStyle name="Normal 4 4 2 2 6 4" xfId="10225" xr:uid="{33D38D27-1F61-4764-B113-BF769434CD0B}"/>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4DC13CAB-6F46-407B-8B58-6ED14380ACA6}"/>
    <cellStyle name="Normal 4 4 2 2 7 2 3" xfId="12783" xr:uid="{E44CBB69-F10D-4E5E-8A71-355769AA2943}"/>
    <cellStyle name="Normal 4 4 2 2 7 3" xfId="6406" xr:uid="{00000000-0005-0000-0000-000012150000}"/>
    <cellStyle name="Normal 4 4 2 2 7 3 2" xfId="14856" xr:uid="{E3B27EB1-A404-4E55-8B5B-34BC494F93FF}"/>
    <cellStyle name="Normal 4 4 2 2 7 4" xfId="10638" xr:uid="{A4B6458E-CEB9-48D5-A297-B7CCB52DF464}"/>
    <cellStyle name="Normal 4 4 2 2 8" xfId="2536" xr:uid="{00000000-0005-0000-0000-000013150000}"/>
    <cellStyle name="Normal 4 4 2 2 8 2" xfId="6819" xr:uid="{00000000-0005-0000-0000-000014150000}"/>
    <cellStyle name="Normal 4 4 2 2 8 2 2" xfId="15269" xr:uid="{AEA7E928-4F87-45C5-870E-8ED213A76008}"/>
    <cellStyle name="Normal 4 4 2 2 8 3" xfId="11051" xr:uid="{32C8E84B-51CB-4F9C-900D-EAD620801278}"/>
    <cellStyle name="Normal 4 4 2 2 9" xfId="4754" xr:uid="{00000000-0005-0000-0000-000015150000}"/>
    <cellStyle name="Normal 4 4 2 2 9 2" xfId="13204" xr:uid="{AED51011-B21F-47CB-8589-29188DC2636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E55C5461-78DA-4D63-8552-A90A489B1955}"/>
    <cellStyle name="Normal 4 4 2 3 2 2 2 3" xfId="11549" xr:uid="{B7CBAEE9-C1AD-4FCB-96E8-C909998E6083}"/>
    <cellStyle name="Normal 4 4 2 3 2 2 3" xfId="5172" xr:uid="{00000000-0005-0000-0000-00001B150000}"/>
    <cellStyle name="Normal 4 4 2 3 2 2 3 2" xfId="13622" xr:uid="{FB0D2E8E-1D59-46DE-8462-C79C5BF12F65}"/>
    <cellStyle name="Normal 4 4 2 3 2 2 4" xfId="9404" xr:uid="{C32BBDF2-F7FB-4CB8-AAC5-A34A1902668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F39ADBD8-4B32-49FA-AEAF-92F1BDAB8C45}"/>
    <cellStyle name="Normal 4 4 2 3 2 3 2 3" xfId="11962" xr:uid="{7DB833C2-D7BE-4BD1-9211-EA649DE14BB2}"/>
    <cellStyle name="Normal 4 4 2 3 2 3 3" xfId="5585" xr:uid="{00000000-0005-0000-0000-00001F150000}"/>
    <cellStyle name="Normal 4 4 2 3 2 3 3 2" xfId="14035" xr:uid="{1772EFEF-FEBE-4EBD-83FC-68D47ED34871}"/>
    <cellStyle name="Normal 4 4 2 3 2 3 4" xfId="9817" xr:uid="{5DF84C23-EE7E-4BE7-A463-5475F6B30C44}"/>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E5FB4F42-6DD0-44B6-A9E0-4B23F9600217}"/>
    <cellStyle name="Normal 4 4 2 3 2 4 2 3" xfId="12375" xr:uid="{7E274211-E5A9-4D3F-B2F2-00CB8B09F8B4}"/>
    <cellStyle name="Normal 4 4 2 3 2 4 3" xfId="5998" xr:uid="{00000000-0005-0000-0000-000023150000}"/>
    <cellStyle name="Normal 4 4 2 3 2 4 3 2" xfId="14448" xr:uid="{97F42514-F5F1-4C41-8F5E-F78963EBA15E}"/>
    <cellStyle name="Normal 4 4 2 3 2 4 4" xfId="10230" xr:uid="{72C4531C-CD1B-44C3-9D2B-30E05585A95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8F697E3A-3B34-4707-9CF6-B1C7A4844DEF}"/>
    <cellStyle name="Normal 4 4 2 3 2 5 2 3" xfId="12788" xr:uid="{07A50607-AC47-43A0-AEF5-4329018C543B}"/>
    <cellStyle name="Normal 4 4 2 3 2 5 3" xfId="6411" xr:uid="{00000000-0005-0000-0000-000027150000}"/>
    <cellStyle name="Normal 4 4 2 3 2 5 3 2" xfId="14861" xr:uid="{C404E01A-3BBA-4EAB-9E7C-E1AC8EB8A405}"/>
    <cellStyle name="Normal 4 4 2 3 2 5 4" xfId="10643" xr:uid="{57F9B8DA-B153-4FB8-9E35-A3BBC6CB8160}"/>
    <cellStyle name="Normal 4 4 2 3 2 6" xfId="2541" xr:uid="{00000000-0005-0000-0000-000028150000}"/>
    <cellStyle name="Normal 4 4 2 3 2 6 2" xfId="6824" xr:uid="{00000000-0005-0000-0000-000029150000}"/>
    <cellStyle name="Normal 4 4 2 3 2 6 2 2" xfId="15274" xr:uid="{AECF4344-452E-4DA9-9915-CA2EB2E45EF7}"/>
    <cellStyle name="Normal 4 4 2 3 2 6 3" xfId="11056" xr:uid="{CA2E3DDD-97BA-4C6B-BD07-ADF44F6301B3}"/>
    <cellStyle name="Normal 4 4 2 3 2 7" xfId="4759" xr:uid="{00000000-0005-0000-0000-00002A150000}"/>
    <cellStyle name="Normal 4 4 2 3 2 7 2" xfId="13209" xr:uid="{45EDB1B7-191C-43B3-ABE6-4C86A5497F38}"/>
    <cellStyle name="Normal 4 4 2 3 2 8" xfId="8991" xr:uid="{A274AF82-4203-454A-A22F-9461329F70A7}"/>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E8018CA8-DC8B-4CED-B3CB-FDD6CCF6FF84}"/>
    <cellStyle name="Normal 4 4 2 3 3 2 3" xfId="11548" xr:uid="{036B69AC-D52C-4F61-B1A7-40A9CE5AFDDE}"/>
    <cellStyle name="Normal 4 4 2 3 3 3" xfId="5171" xr:uid="{00000000-0005-0000-0000-00002E150000}"/>
    <cellStyle name="Normal 4 4 2 3 3 3 2" xfId="13621" xr:uid="{EDE93677-7CC1-4A39-9C52-31FD9020C852}"/>
    <cellStyle name="Normal 4 4 2 3 3 4" xfId="9403" xr:uid="{93472B95-043D-45A3-8806-8C7695FA2FE8}"/>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E8BDB127-5A2A-4802-9891-C3EB07D1C4C3}"/>
    <cellStyle name="Normal 4 4 2 3 4 2 3" xfId="11961" xr:uid="{5E361AA6-4872-4124-9D5F-7B758C6EB879}"/>
    <cellStyle name="Normal 4 4 2 3 4 3" xfId="5584" xr:uid="{00000000-0005-0000-0000-000032150000}"/>
    <cellStyle name="Normal 4 4 2 3 4 3 2" xfId="14034" xr:uid="{B16A9DA6-3876-4D97-9C65-86EFF42034E2}"/>
    <cellStyle name="Normal 4 4 2 3 4 4" xfId="9816" xr:uid="{5BB9F96D-50EA-400F-B57E-D530B53BF43E}"/>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8DECE967-69E4-4CFD-B022-4E3494093C64}"/>
    <cellStyle name="Normal 4 4 2 3 5 2 3" xfId="12374" xr:uid="{D23D7545-DDD2-483B-99AD-3756537E7EEB}"/>
    <cellStyle name="Normal 4 4 2 3 5 3" xfId="5997" xr:uid="{00000000-0005-0000-0000-000036150000}"/>
    <cellStyle name="Normal 4 4 2 3 5 3 2" xfId="14447" xr:uid="{3AF7793E-182E-44D3-8C93-2B1B3EBFFA7E}"/>
    <cellStyle name="Normal 4 4 2 3 5 4" xfId="10229" xr:uid="{B1EB8488-5254-42F4-A4DD-5E90097A26E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1B2E029B-F46C-46CB-8BDE-7A849D235CCF}"/>
    <cellStyle name="Normal 4 4 2 3 6 2 3" xfId="12787" xr:uid="{82278A18-960C-4CF9-964A-556B32DF9FE7}"/>
    <cellStyle name="Normal 4 4 2 3 6 3" xfId="6410" xr:uid="{00000000-0005-0000-0000-00003A150000}"/>
    <cellStyle name="Normal 4 4 2 3 6 3 2" xfId="14860" xr:uid="{5148278D-90DE-46B4-981A-540CD6A19274}"/>
    <cellStyle name="Normal 4 4 2 3 6 4" xfId="10642" xr:uid="{F63CBDC1-4BB4-439C-AB3B-B6C4F46BD7EA}"/>
    <cellStyle name="Normal 4 4 2 3 7" xfId="2540" xr:uid="{00000000-0005-0000-0000-00003B150000}"/>
    <cellStyle name="Normal 4 4 2 3 7 2" xfId="6823" xr:uid="{00000000-0005-0000-0000-00003C150000}"/>
    <cellStyle name="Normal 4 4 2 3 7 2 2" xfId="15273" xr:uid="{9DE45F35-7BB5-4101-BE06-2D647B018AE9}"/>
    <cellStyle name="Normal 4 4 2 3 7 3" xfId="11055" xr:uid="{5268BD1A-2381-4FFF-A676-EF8ED1476BB2}"/>
    <cellStyle name="Normal 4 4 2 3 8" xfId="4758" xr:uid="{00000000-0005-0000-0000-00003D150000}"/>
    <cellStyle name="Normal 4 4 2 3 8 2" xfId="13208" xr:uid="{748919F4-CC94-4556-94BA-F88D71154440}"/>
    <cellStyle name="Normal 4 4 2 3 9" xfId="8990" xr:uid="{24C299C2-96D6-476B-A780-FC20B53CEC18}"/>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35B7FB84-0A0D-4062-A768-CD242DCC2359}"/>
    <cellStyle name="Normal 4 4 2 4 2 2 3" xfId="11550" xr:uid="{7C1F11E9-D110-44B1-94D6-44D74C6A8A50}"/>
    <cellStyle name="Normal 4 4 2 4 2 3" xfId="5173" xr:uid="{00000000-0005-0000-0000-000042150000}"/>
    <cellStyle name="Normal 4 4 2 4 2 3 2" xfId="13623" xr:uid="{597B4231-078D-43F4-B274-BD45FD415329}"/>
    <cellStyle name="Normal 4 4 2 4 2 4" xfId="9405" xr:uid="{14A9A8A4-2B25-4A22-B9E5-18B32B0C100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4F02B1D1-AC18-4812-8EB3-71D7FA4AAA62}"/>
    <cellStyle name="Normal 4 4 2 4 3 2 3" xfId="11963" xr:uid="{18DD0592-D5AA-4E6C-A3B9-7D43D741949A}"/>
    <cellStyle name="Normal 4 4 2 4 3 3" xfId="5586" xr:uid="{00000000-0005-0000-0000-000046150000}"/>
    <cellStyle name="Normal 4 4 2 4 3 3 2" xfId="14036" xr:uid="{8A2C700C-7CBD-4050-939B-8337B324999E}"/>
    <cellStyle name="Normal 4 4 2 4 3 4" xfId="9818" xr:uid="{91BFD815-3ABE-40DC-AB2E-ABAD4C2B7F2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E5249B61-790A-4643-BAB5-F0006C3268DC}"/>
    <cellStyle name="Normal 4 4 2 4 4 2 3" xfId="12376" xr:uid="{B1063537-431A-447D-BFEE-8EDE0AF76148}"/>
    <cellStyle name="Normal 4 4 2 4 4 3" xfId="5999" xr:uid="{00000000-0005-0000-0000-00004A150000}"/>
    <cellStyle name="Normal 4 4 2 4 4 3 2" xfId="14449" xr:uid="{5A2ABC47-04CC-4B57-B1F3-A2091BA72B94}"/>
    <cellStyle name="Normal 4 4 2 4 4 4" xfId="10231" xr:uid="{8658A579-BD73-434A-B72C-30CD010A7B26}"/>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05316FAA-D84F-4EE7-91A6-4DD59A3C3B52}"/>
    <cellStyle name="Normal 4 4 2 4 5 2 3" xfId="12789" xr:uid="{BCE35456-3B3F-4304-B6B4-D289A0EB6275}"/>
    <cellStyle name="Normal 4 4 2 4 5 3" xfId="6412" xr:uid="{00000000-0005-0000-0000-00004E150000}"/>
    <cellStyle name="Normal 4 4 2 4 5 3 2" xfId="14862" xr:uid="{F6B9CCAB-5A34-45A6-95C2-BFD33877EB00}"/>
    <cellStyle name="Normal 4 4 2 4 5 4" xfId="10644" xr:uid="{D120B087-1F90-4BED-B1AD-876C86A63088}"/>
    <cellStyle name="Normal 4 4 2 4 6" xfId="2542" xr:uid="{00000000-0005-0000-0000-00004F150000}"/>
    <cellStyle name="Normal 4 4 2 4 6 2" xfId="6825" xr:uid="{00000000-0005-0000-0000-000050150000}"/>
    <cellStyle name="Normal 4 4 2 4 6 2 2" xfId="15275" xr:uid="{F095F88B-17F4-4EDB-81D9-DB93BE63C16B}"/>
    <cellStyle name="Normal 4 4 2 4 6 3" xfId="11057" xr:uid="{F5B39C49-AB8E-47E6-9A6C-35F9CD5A5CAE}"/>
    <cellStyle name="Normal 4 4 2 4 7" xfId="4760" xr:uid="{00000000-0005-0000-0000-000051150000}"/>
    <cellStyle name="Normal 4 4 2 4 7 2" xfId="13210" xr:uid="{F6AEB42B-82D2-40C6-BE8C-7AAC8C54F457}"/>
    <cellStyle name="Normal 4 4 2 4 8" xfId="8992" xr:uid="{38B6FE01-A4E4-49D6-88AB-D53E64F8BA33}"/>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4504CBAC-966A-4AAC-B707-DDF539776A37}"/>
    <cellStyle name="Normal 4 4 2 5 2 3" xfId="11543" xr:uid="{084CF3F2-057A-4728-AF8B-257F0408542C}"/>
    <cellStyle name="Normal 4 4 2 5 3" xfId="5166" xr:uid="{00000000-0005-0000-0000-000055150000}"/>
    <cellStyle name="Normal 4 4 2 5 3 2" xfId="13616" xr:uid="{F9085426-AF01-42BD-AB34-C0E4D15BF4C4}"/>
    <cellStyle name="Normal 4 4 2 5 4" xfId="9398" xr:uid="{9BBD8478-B2C4-4B2C-A8C8-B80943557C7E}"/>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9CA70D06-F2E7-4F06-A252-0CA79E0EB795}"/>
    <cellStyle name="Normal 4 4 2 6 2 3" xfId="11956" xr:uid="{3CC91FB0-4848-42EA-8D9D-7767925238CA}"/>
    <cellStyle name="Normal 4 4 2 6 3" xfId="5579" xr:uid="{00000000-0005-0000-0000-000059150000}"/>
    <cellStyle name="Normal 4 4 2 6 3 2" xfId="14029" xr:uid="{A45AE6DE-975D-4580-AA02-CC569E28BE43}"/>
    <cellStyle name="Normal 4 4 2 6 4" xfId="9811" xr:uid="{615E7EE5-771D-4C14-A559-FD6FA754F08F}"/>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7876095B-9C6A-4428-8B5B-02911A3E7D13}"/>
    <cellStyle name="Normal 4 4 2 7 2 3" xfId="12369" xr:uid="{B6D25A3C-B40C-4749-8FAE-48A1E076EFA9}"/>
    <cellStyle name="Normal 4 4 2 7 3" xfId="5992" xr:uid="{00000000-0005-0000-0000-00005D150000}"/>
    <cellStyle name="Normal 4 4 2 7 3 2" xfId="14442" xr:uid="{7DE79F9C-A20A-46D2-918E-E053860380CD}"/>
    <cellStyle name="Normal 4 4 2 7 4" xfId="10224" xr:uid="{013FE249-47DD-4DDC-B693-7ACE814D32D4}"/>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E26D748D-0DA4-434E-8F49-5EFB170A8730}"/>
    <cellStyle name="Normal 4 4 2 8 2 3" xfId="12782" xr:uid="{4438ECFD-D934-4B7A-BAD7-D882E8E149F2}"/>
    <cellStyle name="Normal 4 4 2 8 3" xfId="6405" xr:uid="{00000000-0005-0000-0000-000061150000}"/>
    <cellStyle name="Normal 4 4 2 8 3 2" xfId="14855" xr:uid="{83D75243-A3B8-4AFA-8805-EDDF612DEB8F}"/>
    <cellStyle name="Normal 4 4 2 8 4" xfId="10637" xr:uid="{EED3E86E-6C43-43E6-B75B-039F81D1987D}"/>
    <cellStyle name="Normal 4 4 2 9" xfId="2535" xr:uid="{00000000-0005-0000-0000-000062150000}"/>
    <cellStyle name="Normal 4 4 2 9 2" xfId="6818" xr:uid="{00000000-0005-0000-0000-000063150000}"/>
    <cellStyle name="Normal 4 4 2 9 2 2" xfId="15268" xr:uid="{4B7DF07D-40D8-46E4-9B92-3A26E5B87698}"/>
    <cellStyle name="Normal 4 4 2 9 3" xfId="11050" xr:uid="{4B1C8516-0104-457D-BA69-56A1646A925A}"/>
    <cellStyle name="Normal 4 4 3" xfId="387" xr:uid="{00000000-0005-0000-0000-000064150000}"/>
    <cellStyle name="Normal 4 4 3 10" xfId="8993" xr:uid="{DB8FEF92-33EC-4D36-94E0-D4F34CF695C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1BC75C2E-2B93-4B1B-B79D-1EFD7E309464}"/>
    <cellStyle name="Normal 4 4 3 2 2 2 2 3" xfId="11553" xr:uid="{E2D48629-8D4C-4546-A478-AEDC2E6A4628}"/>
    <cellStyle name="Normal 4 4 3 2 2 2 3" xfId="5176" xr:uid="{00000000-0005-0000-0000-00006A150000}"/>
    <cellStyle name="Normal 4 4 3 2 2 2 3 2" xfId="13626" xr:uid="{F5404DFE-A307-4774-8F6E-C9594E0505F4}"/>
    <cellStyle name="Normal 4 4 3 2 2 2 4" xfId="9408" xr:uid="{CF08A566-CEB8-42E5-B749-992FF04D624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166235A7-94A7-430D-9C88-7EA5AFE59653}"/>
    <cellStyle name="Normal 4 4 3 2 2 3 2 3" xfId="11966" xr:uid="{7BA0E7DB-DD86-447D-8395-75569C381D1B}"/>
    <cellStyle name="Normal 4 4 3 2 2 3 3" xfId="5589" xr:uid="{00000000-0005-0000-0000-00006E150000}"/>
    <cellStyle name="Normal 4 4 3 2 2 3 3 2" xfId="14039" xr:uid="{5880E247-45F7-4429-B46D-75E3B692E180}"/>
    <cellStyle name="Normal 4 4 3 2 2 3 4" xfId="9821" xr:uid="{3F9EEDFE-D5B7-4FCE-A9F1-75CDC4D9BF7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9E2F6CFF-6A21-4CC1-A04A-47018FD4C869}"/>
    <cellStyle name="Normal 4 4 3 2 2 4 2 3" xfId="12379" xr:uid="{64618AE8-C621-487F-AB8B-96FD783DE03A}"/>
    <cellStyle name="Normal 4 4 3 2 2 4 3" xfId="6002" xr:uid="{00000000-0005-0000-0000-000072150000}"/>
    <cellStyle name="Normal 4 4 3 2 2 4 3 2" xfId="14452" xr:uid="{F5A7BA03-7001-415D-B911-D17617F91E01}"/>
    <cellStyle name="Normal 4 4 3 2 2 4 4" xfId="10234" xr:uid="{CA732190-23F6-4A42-BBF7-8F7839B95F8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1E788EFB-7B61-428C-B85E-D0EE34B55809}"/>
    <cellStyle name="Normal 4 4 3 2 2 5 2 3" xfId="12792" xr:uid="{37E93DF6-2902-4C0C-AA27-E4435327ED57}"/>
    <cellStyle name="Normal 4 4 3 2 2 5 3" xfId="6415" xr:uid="{00000000-0005-0000-0000-000076150000}"/>
    <cellStyle name="Normal 4 4 3 2 2 5 3 2" xfId="14865" xr:uid="{F9F6670B-9D77-4B45-9CAB-5068B1BCD823}"/>
    <cellStyle name="Normal 4 4 3 2 2 5 4" xfId="10647" xr:uid="{2BC6BC6C-CE97-4396-87F9-9CAE6AFF202F}"/>
    <cellStyle name="Normal 4 4 3 2 2 6" xfId="2545" xr:uid="{00000000-0005-0000-0000-000077150000}"/>
    <cellStyle name="Normal 4 4 3 2 2 6 2" xfId="6828" xr:uid="{00000000-0005-0000-0000-000078150000}"/>
    <cellStyle name="Normal 4 4 3 2 2 6 2 2" xfId="15278" xr:uid="{374FD278-91EB-4ED6-A734-CD99D5A66CDC}"/>
    <cellStyle name="Normal 4 4 3 2 2 6 3" xfId="11060" xr:uid="{AD819DA8-2FA1-4112-A798-F100649191EB}"/>
    <cellStyle name="Normal 4 4 3 2 2 7" xfId="4763" xr:uid="{00000000-0005-0000-0000-000079150000}"/>
    <cellStyle name="Normal 4 4 3 2 2 7 2" xfId="13213" xr:uid="{DD806C67-81A2-4119-B6F1-C00BD5D12DAF}"/>
    <cellStyle name="Normal 4 4 3 2 2 8" xfId="8995" xr:uid="{CC1DDDDE-1BFD-412B-B3D0-333EA0997DC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02B6D434-4F64-48C1-A041-F3A236B04186}"/>
    <cellStyle name="Normal 4 4 3 2 3 2 3" xfId="11552" xr:uid="{A6A5629E-8922-45F1-A936-77B55DF39163}"/>
    <cellStyle name="Normal 4 4 3 2 3 3" xfId="5175" xr:uid="{00000000-0005-0000-0000-00007D150000}"/>
    <cellStyle name="Normal 4 4 3 2 3 3 2" xfId="13625" xr:uid="{9890AF5A-F13A-4ABA-AFE5-F395B1963E3D}"/>
    <cellStyle name="Normal 4 4 3 2 3 4" xfId="9407" xr:uid="{3AE5D4E2-E795-4412-AD45-B590768B5C3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2112335C-5FF0-4B44-9C0A-0D718173D334}"/>
    <cellStyle name="Normal 4 4 3 2 4 2 3" xfId="11965" xr:uid="{032E6688-4D0E-41F0-8D53-986BADEB2A53}"/>
    <cellStyle name="Normal 4 4 3 2 4 3" xfId="5588" xr:uid="{00000000-0005-0000-0000-000081150000}"/>
    <cellStyle name="Normal 4 4 3 2 4 3 2" xfId="14038" xr:uid="{4B595792-03D9-4685-B16B-BA064805F26D}"/>
    <cellStyle name="Normal 4 4 3 2 4 4" xfId="9820" xr:uid="{AE7BF8E0-7F6A-496F-82DA-5176DC42346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A0C56B9C-A98D-47CA-BC1F-30188BBA4DB0}"/>
    <cellStyle name="Normal 4 4 3 2 5 2 3" xfId="12378" xr:uid="{612091E7-3FFC-4248-9CA3-7EDCF799001F}"/>
    <cellStyle name="Normal 4 4 3 2 5 3" xfId="6001" xr:uid="{00000000-0005-0000-0000-000085150000}"/>
    <cellStyle name="Normal 4 4 3 2 5 3 2" xfId="14451" xr:uid="{41B84B5E-9D32-46C8-A97E-95681EBD5ADA}"/>
    <cellStyle name="Normal 4 4 3 2 5 4" xfId="10233" xr:uid="{6FC97B7E-4D66-4DE6-B27E-805F255ED9AB}"/>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31412372-EE36-4156-8916-332060803CFC}"/>
    <cellStyle name="Normal 4 4 3 2 6 2 3" xfId="12791" xr:uid="{D9748678-715F-444C-A7CC-0F669FDBB6FC}"/>
    <cellStyle name="Normal 4 4 3 2 6 3" xfId="6414" xr:uid="{00000000-0005-0000-0000-000089150000}"/>
    <cellStyle name="Normal 4 4 3 2 6 3 2" xfId="14864" xr:uid="{D3721DC9-56C1-425C-BBD0-E47F673102DF}"/>
    <cellStyle name="Normal 4 4 3 2 6 4" xfId="10646" xr:uid="{BB3740E1-AB3B-4AC0-8B26-39BAB15C13A0}"/>
    <cellStyle name="Normal 4 4 3 2 7" xfId="2544" xr:uid="{00000000-0005-0000-0000-00008A150000}"/>
    <cellStyle name="Normal 4 4 3 2 7 2" xfId="6827" xr:uid="{00000000-0005-0000-0000-00008B150000}"/>
    <cellStyle name="Normal 4 4 3 2 7 2 2" xfId="15277" xr:uid="{71AAD22D-F8AE-4734-9C1C-700A2C352387}"/>
    <cellStyle name="Normal 4 4 3 2 7 3" xfId="11059" xr:uid="{E9590284-4753-49A9-B8B5-3B0964DCDD4A}"/>
    <cellStyle name="Normal 4 4 3 2 8" xfId="4762" xr:uid="{00000000-0005-0000-0000-00008C150000}"/>
    <cellStyle name="Normal 4 4 3 2 8 2" xfId="13212" xr:uid="{D38DCE80-D797-4342-8CEA-639E0631DABC}"/>
    <cellStyle name="Normal 4 4 3 2 9" xfId="8994" xr:uid="{1EB1EF80-3243-490D-80BE-E63F325D50D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AAC33151-22A4-4529-A3D8-6AFD93372964}"/>
    <cellStyle name="Normal 4 4 3 3 2 2 3" xfId="11554" xr:uid="{FD368130-0B6B-424C-AFAE-9FBFFE322992}"/>
    <cellStyle name="Normal 4 4 3 3 2 3" xfId="5177" xr:uid="{00000000-0005-0000-0000-000091150000}"/>
    <cellStyle name="Normal 4 4 3 3 2 3 2" xfId="13627" xr:uid="{6173216B-B7E4-48F8-A407-7105589AE4E3}"/>
    <cellStyle name="Normal 4 4 3 3 2 4" xfId="9409" xr:uid="{76B71926-0CA8-4003-9F73-1580F30D1CA5}"/>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FC017FA9-A501-4C27-B2E6-922A349B00BC}"/>
    <cellStyle name="Normal 4 4 3 3 3 2 3" xfId="11967" xr:uid="{6E3FD755-8A24-4911-9562-8FDC77E3CB12}"/>
    <cellStyle name="Normal 4 4 3 3 3 3" xfId="5590" xr:uid="{00000000-0005-0000-0000-000095150000}"/>
    <cellStyle name="Normal 4 4 3 3 3 3 2" xfId="14040" xr:uid="{37A109DB-22A3-44EC-A57E-237CDE00F2E4}"/>
    <cellStyle name="Normal 4 4 3 3 3 4" xfId="9822" xr:uid="{3CC52479-B547-4884-B9EE-16C018C18930}"/>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62430DA1-09AB-4C0D-A12E-3581456E2B16}"/>
    <cellStyle name="Normal 4 4 3 3 4 2 3" xfId="12380" xr:uid="{737A5C92-67E2-46EF-B982-AC867D9910E7}"/>
    <cellStyle name="Normal 4 4 3 3 4 3" xfId="6003" xr:uid="{00000000-0005-0000-0000-000099150000}"/>
    <cellStyle name="Normal 4 4 3 3 4 3 2" xfId="14453" xr:uid="{20185867-035D-4F8B-AE3C-BA7345B7A957}"/>
    <cellStyle name="Normal 4 4 3 3 4 4" xfId="10235" xr:uid="{28E05407-2A46-4C24-9901-07DF7F2F6E0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A0F6BA91-A8EA-4C94-B2BB-6443E1304B9D}"/>
    <cellStyle name="Normal 4 4 3 3 5 2 3" xfId="12793" xr:uid="{05E52EE7-FF4D-42FD-B8BB-81850D9F7204}"/>
    <cellStyle name="Normal 4 4 3 3 5 3" xfId="6416" xr:uid="{00000000-0005-0000-0000-00009D150000}"/>
    <cellStyle name="Normal 4 4 3 3 5 3 2" xfId="14866" xr:uid="{4C795025-6923-4362-A2BA-181D5BEC42E7}"/>
    <cellStyle name="Normal 4 4 3 3 5 4" xfId="10648" xr:uid="{92C06FB3-D468-4FEB-8EF8-A6BBDDAEE635}"/>
    <cellStyle name="Normal 4 4 3 3 6" xfId="2546" xr:uid="{00000000-0005-0000-0000-00009E150000}"/>
    <cellStyle name="Normal 4 4 3 3 6 2" xfId="6829" xr:uid="{00000000-0005-0000-0000-00009F150000}"/>
    <cellStyle name="Normal 4 4 3 3 6 2 2" xfId="15279" xr:uid="{D22DABA8-397A-4A55-838E-B1A2D8700B8A}"/>
    <cellStyle name="Normal 4 4 3 3 6 3" xfId="11061" xr:uid="{8859133B-61A1-41E4-9AA3-CB9178A6CBD7}"/>
    <cellStyle name="Normal 4 4 3 3 7" xfId="4764" xr:uid="{00000000-0005-0000-0000-0000A0150000}"/>
    <cellStyle name="Normal 4 4 3 3 7 2" xfId="13214" xr:uid="{15CBA5F8-8186-48C6-B2E6-5880ADBBCF7E}"/>
    <cellStyle name="Normal 4 4 3 3 8" xfId="8996" xr:uid="{0803F67A-D163-489C-BBBC-BBEBDD2C2FBD}"/>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9E2BBEC4-8698-4410-9FFF-D3A78775E590}"/>
    <cellStyle name="Normal 4 4 3 4 2 3" xfId="11551" xr:uid="{63B098DC-25BE-4697-A9EB-56EABCBD2718}"/>
    <cellStyle name="Normal 4 4 3 4 3" xfId="5174" xr:uid="{00000000-0005-0000-0000-0000A4150000}"/>
    <cellStyle name="Normal 4 4 3 4 3 2" xfId="13624" xr:uid="{660C1093-FB29-4B69-B8F0-65A687B23598}"/>
    <cellStyle name="Normal 4 4 3 4 4" xfId="9406" xr:uid="{786F0FD8-B73B-4277-822C-8A809248B123}"/>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FB239059-25A6-45CA-BAC5-CB82A00911DE}"/>
    <cellStyle name="Normal 4 4 3 5 2 3" xfId="11964" xr:uid="{0EFF4E3E-2052-4676-995B-2FCA1C56653E}"/>
    <cellStyle name="Normal 4 4 3 5 3" xfId="5587" xr:uid="{00000000-0005-0000-0000-0000A8150000}"/>
    <cellStyle name="Normal 4 4 3 5 3 2" xfId="14037" xr:uid="{B3B05DD3-618C-46E6-9FDA-35D9DA5B7D1D}"/>
    <cellStyle name="Normal 4 4 3 5 4" xfId="9819" xr:uid="{B36E7961-B658-452F-95CA-7A50364D8153}"/>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8A8FA60B-20EF-4EB1-94E0-19E62A9F5661}"/>
    <cellStyle name="Normal 4 4 3 6 2 3" xfId="12377" xr:uid="{95073170-A0FB-41E0-BFAD-A2E38EF2B352}"/>
    <cellStyle name="Normal 4 4 3 6 3" xfId="6000" xr:uid="{00000000-0005-0000-0000-0000AC150000}"/>
    <cellStyle name="Normal 4 4 3 6 3 2" xfId="14450" xr:uid="{9C20037A-412C-420A-B8A4-BBBC61C7C400}"/>
    <cellStyle name="Normal 4 4 3 6 4" xfId="10232" xr:uid="{DEBAFFC2-A207-49AE-BE90-FE234C26E443}"/>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16FCE868-19A5-4F12-9E56-018EB8DE2019}"/>
    <cellStyle name="Normal 4 4 3 7 2 3" xfId="12790" xr:uid="{0EE73C17-CC99-4B45-95C4-CB3AA70C5E22}"/>
    <cellStyle name="Normal 4 4 3 7 3" xfId="6413" xr:uid="{00000000-0005-0000-0000-0000B0150000}"/>
    <cellStyle name="Normal 4 4 3 7 3 2" xfId="14863" xr:uid="{B8AAC68A-BA0C-4791-9BD1-6C9897606FAD}"/>
    <cellStyle name="Normal 4 4 3 7 4" xfId="10645" xr:uid="{3B85E154-6EE3-4CD1-9424-E88FF6B612B2}"/>
    <cellStyle name="Normal 4 4 3 8" xfId="2543" xr:uid="{00000000-0005-0000-0000-0000B1150000}"/>
    <cellStyle name="Normal 4 4 3 8 2" xfId="6826" xr:uid="{00000000-0005-0000-0000-0000B2150000}"/>
    <cellStyle name="Normal 4 4 3 8 2 2" xfId="15276" xr:uid="{3D04AB65-E91C-4D21-A033-06592A793216}"/>
    <cellStyle name="Normal 4 4 3 8 3" xfId="11058" xr:uid="{F8968C6A-1688-4F31-9546-053D0B97DE68}"/>
    <cellStyle name="Normal 4 4 3 9" xfId="4761" xr:uid="{00000000-0005-0000-0000-0000B3150000}"/>
    <cellStyle name="Normal 4 4 3 9 2" xfId="13211" xr:uid="{F42E3E9F-FF61-461D-8917-101605EAB51F}"/>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DEE6290F-DDEC-4501-B321-64221E219005}"/>
    <cellStyle name="Normal 4 4 4 2 2 2 3" xfId="11556" xr:uid="{B01928F4-222E-4332-8406-616B77E29F4A}"/>
    <cellStyle name="Normal 4 4 4 2 2 3" xfId="5179" xr:uid="{00000000-0005-0000-0000-0000B9150000}"/>
    <cellStyle name="Normal 4 4 4 2 2 3 2" xfId="13629" xr:uid="{5BD93E22-5DDD-4E34-8651-CDC56B46CDFE}"/>
    <cellStyle name="Normal 4 4 4 2 2 4" xfId="9411" xr:uid="{BB01FA75-9B54-4D5B-A4A1-01335C2E230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C6183BD2-BE8C-49C8-A994-0642F067708A}"/>
    <cellStyle name="Normal 4 4 4 2 3 2 3" xfId="11969" xr:uid="{26D6329F-B512-46E3-BB0B-A12F3360C103}"/>
    <cellStyle name="Normal 4 4 4 2 3 3" xfId="5592" xr:uid="{00000000-0005-0000-0000-0000BD150000}"/>
    <cellStyle name="Normal 4 4 4 2 3 3 2" xfId="14042" xr:uid="{96F894BB-7130-42E3-9036-F970D9C5962B}"/>
    <cellStyle name="Normal 4 4 4 2 3 4" xfId="9824" xr:uid="{A6824681-547F-4A21-A73B-FF8E56A3FEC2}"/>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E64705EF-D84A-466E-BB61-B5C6AC9F9D41}"/>
    <cellStyle name="Normal 4 4 4 2 4 2 3" xfId="12382" xr:uid="{6479F7A1-7EA4-405A-A880-DD9156010209}"/>
    <cellStyle name="Normal 4 4 4 2 4 3" xfId="6005" xr:uid="{00000000-0005-0000-0000-0000C1150000}"/>
    <cellStyle name="Normal 4 4 4 2 4 3 2" xfId="14455" xr:uid="{2B4DAF42-729F-4E2F-8DB1-53FF3DF03713}"/>
    <cellStyle name="Normal 4 4 4 2 4 4" xfId="10237" xr:uid="{E2FB30F6-00B1-4451-AF94-228D545DE93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443D469F-424E-4DD4-822A-DD188CADF43B}"/>
    <cellStyle name="Normal 4 4 4 2 5 2 3" xfId="12795" xr:uid="{71C55BE3-113A-4B81-B83B-FDCCFB4F1E95}"/>
    <cellStyle name="Normal 4 4 4 2 5 3" xfId="6418" xr:uid="{00000000-0005-0000-0000-0000C5150000}"/>
    <cellStyle name="Normal 4 4 4 2 5 3 2" xfId="14868" xr:uid="{C74E24C9-EBDE-4544-A0E1-15FF84068F49}"/>
    <cellStyle name="Normal 4 4 4 2 5 4" xfId="10650" xr:uid="{9F0311AC-AC6E-4894-A496-160188AD6466}"/>
    <cellStyle name="Normal 4 4 4 2 6" xfId="2548" xr:uid="{00000000-0005-0000-0000-0000C6150000}"/>
    <cellStyle name="Normal 4 4 4 2 6 2" xfId="6831" xr:uid="{00000000-0005-0000-0000-0000C7150000}"/>
    <cellStyle name="Normal 4 4 4 2 6 2 2" xfId="15281" xr:uid="{B11B9E04-EFB5-4B1E-A847-B5C15E288AFB}"/>
    <cellStyle name="Normal 4 4 4 2 6 3" xfId="11063" xr:uid="{2F04C686-30C5-431F-B1B1-1DCAAEF077CD}"/>
    <cellStyle name="Normal 4 4 4 2 7" xfId="4766" xr:uid="{00000000-0005-0000-0000-0000C8150000}"/>
    <cellStyle name="Normal 4 4 4 2 7 2" xfId="13216" xr:uid="{A43A5693-99E5-49FC-BCD1-CFD20F1A7F51}"/>
    <cellStyle name="Normal 4 4 4 2 8" xfId="8998" xr:uid="{8E996E12-A852-4B4C-B320-B5D8ED95BFC8}"/>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6B6C968C-5BFB-4F31-BB7D-111B35CE5C08}"/>
    <cellStyle name="Normal 4 4 4 3 2 3" xfId="11555" xr:uid="{B6BB2E5C-BD0A-4276-B737-0FE7C3FFF887}"/>
    <cellStyle name="Normal 4 4 4 3 3" xfId="5178" xr:uid="{00000000-0005-0000-0000-0000CC150000}"/>
    <cellStyle name="Normal 4 4 4 3 3 2" xfId="13628" xr:uid="{91CF7233-48CF-4426-86B4-70FE97FC802A}"/>
    <cellStyle name="Normal 4 4 4 3 4" xfId="9410" xr:uid="{F73148AE-0CD2-4B3E-B60C-714FCF813778}"/>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4C284FA7-8B6D-49E5-B147-B3523CCDC307}"/>
    <cellStyle name="Normal 4 4 4 4 2 3" xfId="11968" xr:uid="{33F25157-E554-4A5A-B82D-F78DB571E6E7}"/>
    <cellStyle name="Normal 4 4 4 4 3" xfId="5591" xr:uid="{00000000-0005-0000-0000-0000D0150000}"/>
    <cellStyle name="Normal 4 4 4 4 3 2" xfId="14041" xr:uid="{0A83C2B8-417A-438A-B963-8E463531C710}"/>
    <cellStyle name="Normal 4 4 4 4 4" xfId="9823" xr:uid="{BE1B1406-DD5D-4FC8-8046-A71D2705A666}"/>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69765F48-083F-4097-8203-91BDA75F1BB1}"/>
    <cellStyle name="Normal 4 4 4 5 2 3" xfId="12381" xr:uid="{A605389F-6712-4F2A-85D1-4B9BB8D01474}"/>
    <cellStyle name="Normal 4 4 4 5 3" xfId="6004" xr:uid="{00000000-0005-0000-0000-0000D4150000}"/>
    <cellStyle name="Normal 4 4 4 5 3 2" xfId="14454" xr:uid="{9649225B-2D76-45D9-BE06-4884ABE201B1}"/>
    <cellStyle name="Normal 4 4 4 5 4" xfId="10236" xr:uid="{5405CF6C-60F2-488F-AFEF-7AC953D459B3}"/>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0E4099A3-E627-407A-BA6F-8D9DC0637913}"/>
    <cellStyle name="Normal 4 4 4 6 2 3" xfId="12794" xr:uid="{9BCD4349-3F69-42D6-AA55-5CFB3C281D5C}"/>
    <cellStyle name="Normal 4 4 4 6 3" xfId="6417" xr:uid="{00000000-0005-0000-0000-0000D8150000}"/>
    <cellStyle name="Normal 4 4 4 6 3 2" xfId="14867" xr:uid="{EFCDC238-FC84-4BD5-8884-2491FCE656EB}"/>
    <cellStyle name="Normal 4 4 4 6 4" xfId="10649" xr:uid="{0C41EAE1-E34A-481F-938C-A95130C7C9DD}"/>
    <cellStyle name="Normal 4 4 4 7" xfId="2547" xr:uid="{00000000-0005-0000-0000-0000D9150000}"/>
    <cellStyle name="Normal 4 4 4 7 2" xfId="6830" xr:uid="{00000000-0005-0000-0000-0000DA150000}"/>
    <cellStyle name="Normal 4 4 4 7 2 2" xfId="15280" xr:uid="{27FF2347-9BBC-4D50-BF54-C8E1F1F164FB}"/>
    <cellStyle name="Normal 4 4 4 7 3" xfId="11062" xr:uid="{4DF92534-16C2-4D2A-866B-29072BBD971E}"/>
    <cellStyle name="Normal 4 4 4 8" xfId="4765" xr:uid="{00000000-0005-0000-0000-0000DB150000}"/>
    <cellStyle name="Normal 4 4 4 8 2" xfId="13215" xr:uid="{3A5D7329-DFA3-4319-9AC9-2AE1E54D07C2}"/>
    <cellStyle name="Normal 4 4 4 9" xfId="8997" xr:uid="{D8F6077C-EF74-4018-B036-841977248857}"/>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126AC6BE-60B5-4CA6-8E29-C983C6375395}"/>
    <cellStyle name="Normal 4 4 5 2 2 3" xfId="11557" xr:uid="{19C2DF6E-278C-4A80-B31B-65EF083DD4E8}"/>
    <cellStyle name="Normal 4 4 5 2 3" xfId="5180" xr:uid="{00000000-0005-0000-0000-0000E0150000}"/>
    <cellStyle name="Normal 4 4 5 2 3 2" xfId="13630" xr:uid="{3B6613B8-17EF-45C2-9C55-43AA6DF4A5C4}"/>
    <cellStyle name="Normal 4 4 5 2 4" xfId="9412" xr:uid="{59C6652B-4F63-4FFB-B02C-6390DF972E27}"/>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5DF7868E-E464-4F8F-86E9-D953BBE47948}"/>
    <cellStyle name="Normal 4 4 5 3 2 3" xfId="11970" xr:uid="{1073C05A-C72A-454F-AD15-B732B2A2572E}"/>
    <cellStyle name="Normal 4 4 5 3 3" xfId="5593" xr:uid="{00000000-0005-0000-0000-0000E4150000}"/>
    <cellStyle name="Normal 4 4 5 3 3 2" xfId="14043" xr:uid="{91A83B4F-8FAD-416A-8C5A-56398E26BA87}"/>
    <cellStyle name="Normal 4 4 5 3 4" xfId="9825" xr:uid="{3427F6A8-5B4B-4B60-8DB6-33493B2100D9}"/>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3EC335F5-ADC7-46DD-AAB7-121B959EFE66}"/>
    <cellStyle name="Normal 4 4 5 4 2 3" xfId="12383" xr:uid="{6FC9916C-00A6-4C48-AD6D-112C442D5D73}"/>
    <cellStyle name="Normal 4 4 5 4 3" xfId="6006" xr:uid="{00000000-0005-0000-0000-0000E8150000}"/>
    <cellStyle name="Normal 4 4 5 4 3 2" xfId="14456" xr:uid="{108FB16A-BC91-4483-ADD9-B2182D8F9065}"/>
    <cellStyle name="Normal 4 4 5 4 4" xfId="10238" xr:uid="{F5FA96BB-DFA7-44D1-85BB-C09AE5F33E05}"/>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5625D295-20E5-4DAD-BDFE-86A37931D6A7}"/>
    <cellStyle name="Normal 4 4 5 5 2 3" xfId="12796" xr:uid="{7BEED287-F9AC-4C3D-9407-55566E405ED8}"/>
    <cellStyle name="Normal 4 4 5 5 3" xfId="6419" xr:uid="{00000000-0005-0000-0000-0000EC150000}"/>
    <cellStyle name="Normal 4 4 5 5 3 2" xfId="14869" xr:uid="{534321A6-18FB-4DA2-8797-4AD08860276F}"/>
    <cellStyle name="Normal 4 4 5 5 4" xfId="10651" xr:uid="{CDD4800A-CB88-419B-A1A8-BC89713180EC}"/>
    <cellStyle name="Normal 4 4 5 6" xfId="2549" xr:uid="{00000000-0005-0000-0000-0000ED150000}"/>
    <cellStyle name="Normal 4 4 5 6 2" xfId="6832" xr:uid="{00000000-0005-0000-0000-0000EE150000}"/>
    <cellStyle name="Normal 4 4 5 6 2 2" xfId="15282" xr:uid="{767813F9-474A-4FB1-A79C-DCC4C539EC78}"/>
    <cellStyle name="Normal 4 4 5 6 3" xfId="11064" xr:uid="{94102EE9-F389-4E94-A6F4-ADBA3FF4786F}"/>
    <cellStyle name="Normal 4 4 5 7" xfId="4767" xr:uid="{00000000-0005-0000-0000-0000EF150000}"/>
    <cellStyle name="Normal 4 4 5 7 2" xfId="13217" xr:uid="{9679AD95-9A39-4EEE-AFF1-4231D1855F93}"/>
    <cellStyle name="Normal 4 4 5 8" xfId="8999" xr:uid="{1E743D47-D1DC-405E-BCE1-0AAAA071B80F}"/>
    <cellStyle name="Normal 4 4 6" xfId="853" xr:uid="{00000000-0005-0000-0000-0000F0150000}"/>
    <cellStyle name="Normal 4 4 6 2" xfId="3088" xr:uid="{00000000-0005-0000-0000-0000F1150000}"/>
    <cellStyle name="Normal 4 4 6 2 2" xfId="7310" xr:uid="{00000000-0005-0000-0000-0000F2150000}"/>
    <cellStyle name="Normal 4 4 6 2 2 2" xfId="15760" xr:uid="{616E850C-7E12-4B24-A594-0A6810451034}"/>
    <cellStyle name="Normal 4 4 6 2 3" xfId="11542" xr:uid="{AC94EE08-3B07-4D33-BD0A-164C46F5A7ED}"/>
    <cellStyle name="Normal 4 4 6 3" xfId="5165" xr:uid="{00000000-0005-0000-0000-0000F3150000}"/>
    <cellStyle name="Normal 4 4 6 3 2" xfId="13615" xr:uid="{B8B90666-A9A2-469A-8F67-06CD76ED7B39}"/>
    <cellStyle name="Normal 4 4 6 4" xfId="9397" xr:uid="{8C52C260-6FCE-4CE8-B83A-EC84C5FE99E1}"/>
    <cellStyle name="Normal 4 4 7" xfId="1271" xr:uid="{00000000-0005-0000-0000-0000F4150000}"/>
    <cellStyle name="Normal 4 4 7 2" xfId="3501" xr:uid="{00000000-0005-0000-0000-0000F5150000}"/>
    <cellStyle name="Normal 4 4 7 2 2" xfId="7723" xr:uid="{00000000-0005-0000-0000-0000F6150000}"/>
    <cellStyle name="Normal 4 4 7 2 2 2" xfId="16173" xr:uid="{E722402F-FB24-4EAA-8FB3-2950E3E0AA92}"/>
    <cellStyle name="Normal 4 4 7 2 3" xfId="11955" xr:uid="{0B4E07F4-95B6-4FEF-9EB2-E33ADEA0753B}"/>
    <cellStyle name="Normal 4 4 7 3" xfId="5578" xr:uid="{00000000-0005-0000-0000-0000F7150000}"/>
    <cellStyle name="Normal 4 4 7 3 2" xfId="14028" xr:uid="{1BC9FFFE-E5CB-47DE-983C-E80D2ED204EB}"/>
    <cellStyle name="Normal 4 4 7 4" xfId="9810" xr:uid="{31F41E18-6640-4018-B175-AE3CE180EFC6}"/>
    <cellStyle name="Normal 4 4 8" xfId="1684" xr:uid="{00000000-0005-0000-0000-0000F8150000}"/>
    <cellStyle name="Normal 4 4 8 2" xfId="3914" xr:uid="{00000000-0005-0000-0000-0000F9150000}"/>
    <cellStyle name="Normal 4 4 8 2 2" xfId="8136" xr:uid="{00000000-0005-0000-0000-0000FA150000}"/>
    <cellStyle name="Normal 4 4 8 2 2 2" xfId="16586" xr:uid="{AC059D54-3FCF-4F42-A730-9FA0487FD054}"/>
    <cellStyle name="Normal 4 4 8 2 3" xfId="12368" xr:uid="{2974B06F-76EE-45AE-B0C8-47BF75BC74B4}"/>
    <cellStyle name="Normal 4 4 8 3" xfId="5991" xr:uid="{00000000-0005-0000-0000-0000FB150000}"/>
    <cellStyle name="Normal 4 4 8 3 2" xfId="14441" xr:uid="{47131C76-2404-4F6D-A05A-2B5FC2B68750}"/>
    <cellStyle name="Normal 4 4 8 4" xfId="10223" xr:uid="{9470A17F-A583-493A-8536-CCF76587BE23}"/>
    <cellStyle name="Normal 4 4 9" xfId="2098" xr:uid="{00000000-0005-0000-0000-0000FC150000}"/>
    <cellStyle name="Normal 4 4 9 2" xfId="4327" xr:uid="{00000000-0005-0000-0000-0000FD150000}"/>
    <cellStyle name="Normal 4 4 9 2 2" xfId="8549" xr:uid="{00000000-0005-0000-0000-0000FE150000}"/>
    <cellStyle name="Normal 4 4 9 2 2 2" xfId="16999" xr:uid="{51EEF1A6-236C-4EEF-B93F-C5223C192F00}"/>
    <cellStyle name="Normal 4 4 9 2 3" xfId="12781" xr:uid="{85F6024A-0AC7-4775-9436-6E7AE2E6F917}"/>
    <cellStyle name="Normal 4 4 9 3" xfId="6404" xr:uid="{00000000-0005-0000-0000-0000FF150000}"/>
    <cellStyle name="Normal 4 4 9 3 2" xfId="14854" xr:uid="{68C870AF-249F-4834-BEA8-AEE8C4553A40}"/>
    <cellStyle name="Normal 4 4 9 4" xfId="10636" xr:uid="{E8F204F8-AA5E-402B-88A8-3117F8C00A68}"/>
    <cellStyle name="Normal 4 5" xfId="394" xr:uid="{00000000-0005-0000-0000-000000160000}"/>
    <cellStyle name="Normal 4 6" xfId="395" xr:uid="{00000000-0005-0000-0000-000001160000}"/>
    <cellStyle name="Normal 4 6 10" xfId="4768" xr:uid="{00000000-0005-0000-0000-000002160000}"/>
    <cellStyle name="Normal 4 6 10 2" xfId="13218" xr:uid="{12463DA1-A956-4EC3-BC98-1BD3FD2066D7}"/>
    <cellStyle name="Normal 4 6 11" xfId="9000" xr:uid="{3CED00C9-02BC-4AC7-A71F-090913E1B4F6}"/>
    <cellStyle name="Normal 4 6 2" xfId="396" xr:uid="{00000000-0005-0000-0000-000003160000}"/>
    <cellStyle name="Normal 4 6 2 10" xfId="9001" xr:uid="{AD03BFE6-E5BF-40D4-8BE7-1420052A4787}"/>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4AF48507-48C3-478D-AD69-FAB99C92888F}"/>
    <cellStyle name="Normal 4 6 2 2 2 2 2 3" xfId="11561" xr:uid="{3C7B0424-7F47-4D59-968B-0A20A5B543D2}"/>
    <cellStyle name="Normal 4 6 2 2 2 2 3" xfId="5184" xr:uid="{00000000-0005-0000-0000-000009160000}"/>
    <cellStyle name="Normal 4 6 2 2 2 2 3 2" xfId="13634" xr:uid="{9A86561C-72A7-4C62-A006-E160A1EAA23E}"/>
    <cellStyle name="Normal 4 6 2 2 2 2 4" xfId="9416" xr:uid="{7F0BF61B-5565-4395-8DDC-05B6C5F5B11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F08D8FE1-A83B-4DDB-A403-0F0B4AF90079}"/>
    <cellStyle name="Normal 4 6 2 2 2 3 2 3" xfId="11974" xr:uid="{E0F30057-8E5F-4419-A625-99DF1096B526}"/>
    <cellStyle name="Normal 4 6 2 2 2 3 3" xfId="5597" xr:uid="{00000000-0005-0000-0000-00000D160000}"/>
    <cellStyle name="Normal 4 6 2 2 2 3 3 2" xfId="14047" xr:uid="{F07C22E8-CDEA-42E2-B1BC-7690EAB06C86}"/>
    <cellStyle name="Normal 4 6 2 2 2 3 4" xfId="9829" xr:uid="{2766592B-687F-494E-9E46-FF6ED63ECC3E}"/>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12FA5118-D077-4CA2-85FA-8E296FAA41A7}"/>
    <cellStyle name="Normal 4 6 2 2 2 4 2 3" xfId="12387" xr:uid="{87122AE0-F9D8-4D75-BF7A-5B1883C377FC}"/>
    <cellStyle name="Normal 4 6 2 2 2 4 3" xfId="6010" xr:uid="{00000000-0005-0000-0000-000011160000}"/>
    <cellStyle name="Normal 4 6 2 2 2 4 3 2" xfId="14460" xr:uid="{4BCAAC25-91E0-406B-9BB7-EB11AB616FA8}"/>
    <cellStyle name="Normal 4 6 2 2 2 4 4" xfId="10242" xr:uid="{A20540F1-CCBF-405B-A003-9F97D298E5ED}"/>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ADB25E37-181F-4C02-8D42-3B98250EF57F}"/>
    <cellStyle name="Normal 4 6 2 2 2 5 2 3" xfId="12800" xr:uid="{40B502DA-6872-4743-8538-78D889F052D9}"/>
    <cellStyle name="Normal 4 6 2 2 2 5 3" xfId="6423" xr:uid="{00000000-0005-0000-0000-000015160000}"/>
    <cellStyle name="Normal 4 6 2 2 2 5 3 2" xfId="14873" xr:uid="{EF474F8C-44C3-423D-87BD-14221BB1F449}"/>
    <cellStyle name="Normal 4 6 2 2 2 5 4" xfId="10655" xr:uid="{928DD8FB-003A-45D0-866A-4BD95E051A35}"/>
    <cellStyle name="Normal 4 6 2 2 2 6" xfId="2553" xr:uid="{00000000-0005-0000-0000-000016160000}"/>
    <cellStyle name="Normal 4 6 2 2 2 6 2" xfId="6836" xr:uid="{00000000-0005-0000-0000-000017160000}"/>
    <cellStyle name="Normal 4 6 2 2 2 6 2 2" xfId="15286" xr:uid="{CD3F3A5B-B40A-49EB-9916-76EAA7CFD329}"/>
    <cellStyle name="Normal 4 6 2 2 2 6 3" xfId="11068" xr:uid="{C8C4B056-8547-41EC-AF71-45C86CC9C124}"/>
    <cellStyle name="Normal 4 6 2 2 2 7" xfId="4771" xr:uid="{00000000-0005-0000-0000-000018160000}"/>
    <cellStyle name="Normal 4 6 2 2 2 7 2" xfId="13221" xr:uid="{88E9A938-D3FE-4815-97AD-0262BFC9B52B}"/>
    <cellStyle name="Normal 4 6 2 2 2 8" xfId="9003" xr:uid="{5E12BC36-81E6-42EE-9328-EECE0CDD3C71}"/>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185E9018-DFC3-49CB-AA7F-6F96D66E0E0F}"/>
    <cellStyle name="Normal 4 6 2 2 3 2 3" xfId="11560" xr:uid="{2977DA37-6576-4746-83A6-8FEC818C302C}"/>
    <cellStyle name="Normal 4 6 2 2 3 3" xfId="5183" xr:uid="{00000000-0005-0000-0000-00001C160000}"/>
    <cellStyle name="Normal 4 6 2 2 3 3 2" xfId="13633" xr:uid="{A7ED76D9-382E-4F9C-A31D-C8EC80F695C4}"/>
    <cellStyle name="Normal 4 6 2 2 3 4" xfId="9415" xr:uid="{B69D303A-7430-4242-995A-BE09FEC0450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42140127-7BB8-4E51-A6C8-9B342E4CBB8E}"/>
    <cellStyle name="Normal 4 6 2 2 4 2 3" xfId="11973" xr:uid="{B516D9FE-7E51-4A08-914A-576E0F4E5130}"/>
    <cellStyle name="Normal 4 6 2 2 4 3" xfId="5596" xr:uid="{00000000-0005-0000-0000-000020160000}"/>
    <cellStyle name="Normal 4 6 2 2 4 3 2" xfId="14046" xr:uid="{1CF96F0D-995A-4656-97E0-4FD9DE461E25}"/>
    <cellStyle name="Normal 4 6 2 2 4 4" xfId="9828" xr:uid="{0C5E0990-3617-497D-9265-3F1A510D56E2}"/>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90F5979A-4A41-42C9-9188-EABC171C67D0}"/>
    <cellStyle name="Normal 4 6 2 2 5 2 3" xfId="12386" xr:uid="{D63C61FA-E7B2-4D03-A86B-AD158CE4222B}"/>
    <cellStyle name="Normal 4 6 2 2 5 3" xfId="6009" xr:uid="{00000000-0005-0000-0000-000024160000}"/>
    <cellStyle name="Normal 4 6 2 2 5 3 2" xfId="14459" xr:uid="{C33D47FF-D7FC-4FC8-B10B-20067BF94799}"/>
    <cellStyle name="Normal 4 6 2 2 5 4" xfId="10241" xr:uid="{EED3CE15-692F-4DFB-9211-0FBC692B6E0B}"/>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9E146097-8DC1-4C5D-AAC3-35506021914A}"/>
    <cellStyle name="Normal 4 6 2 2 6 2 3" xfId="12799" xr:uid="{82B54DA7-5BE3-4367-827B-30E4F3EA9257}"/>
    <cellStyle name="Normal 4 6 2 2 6 3" xfId="6422" xr:uid="{00000000-0005-0000-0000-000028160000}"/>
    <cellStyle name="Normal 4 6 2 2 6 3 2" xfId="14872" xr:uid="{2C9C0790-B2D0-436E-AF4D-AF41A48D0141}"/>
    <cellStyle name="Normal 4 6 2 2 6 4" xfId="10654" xr:uid="{881ECE23-39F5-4F94-BD95-4920C35751E9}"/>
    <cellStyle name="Normal 4 6 2 2 7" xfId="2552" xr:uid="{00000000-0005-0000-0000-000029160000}"/>
    <cellStyle name="Normal 4 6 2 2 7 2" xfId="6835" xr:uid="{00000000-0005-0000-0000-00002A160000}"/>
    <cellStyle name="Normal 4 6 2 2 7 2 2" xfId="15285" xr:uid="{823AC184-AC0E-47E7-A2C9-5BFE11B28506}"/>
    <cellStyle name="Normal 4 6 2 2 7 3" xfId="11067" xr:uid="{BDBD0659-305B-45FB-9C31-526D8B09B0EE}"/>
    <cellStyle name="Normal 4 6 2 2 8" xfId="4770" xr:uid="{00000000-0005-0000-0000-00002B160000}"/>
    <cellStyle name="Normal 4 6 2 2 8 2" xfId="13220" xr:uid="{760B96F6-6F1C-4EF4-B122-2314F0909AC4}"/>
    <cellStyle name="Normal 4 6 2 2 9" xfId="9002" xr:uid="{9AA80A06-B7ED-4BB0-BE97-207C6D57CE97}"/>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57E21B5E-3212-4948-B754-8CF95465D42E}"/>
    <cellStyle name="Normal 4 6 2 3 2 2 3" xfId="11562" xr:uid="{1CA1F313-CFBF-4106-9E3C-56E13D3BC186}"/>
    <cellStyle name="Normal 4 6 2 3 2 3" xfId="5185" xr:uid="{00000000-0005-0000-0000-000030160000}"/>
    <cellStyle name="Normal 4 6 2 3 2 3 2" xfId="13635" xr:uid="{7321A1BC-617C-404E-A665-3CB8C5A3BFCE}"/>
    <cellStyle name="Normal 4 6 2 3 2 4" xfId="9417" xr:uid="{F5300923-9AC9-4A4D-ACFC-F64FC5ABF105}"/>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330B00B9-F79E-4B72-A138-9F9B20B8DB62}"/>
    <cellStyle name="Normal 4 6 2 3 3 2 3" xfId="11975" xr:uid="{3D8FDFE5-A626-49A1-9BD2-0DF173A6B028}"/>
    <cellStyle name="Normal 4 6 2 3 3 3" xfId="5598" xr:uid="{00000000-0005-0000-0000-000034160000}"/>
    <cellStyle name="Normal 4 6 2 3 3 3 2" xfId="14048" xr:uid="{691B34B0-2A81-4D04-955F-3B57941E5C55}"/>
    <cellStyle name="Normal 4 6 2 3 3 4" xfId="9830" xr:uid="{32751F72-F4C6-4909-8C97-DA7832791CD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820F3C7B-DB50-411C-99AC-970A90143C42}"/>
    <cellStyle name="Normal 4 6 2 3 4 2 3" xfId="12388" xr:uid="{7CE28AF4-B5FD-44FF-B975-B9785AF5034E}"/>
    <cellStyle name="Normal 4 6 2 3 4 3" xfId="6011" xr:uid="{00000000-0005-0000-0000-000038160000}"/>
    <cellStyle name="Normal 4 6 2 3 4 3 2" xfId="14461" xr:uid="{80E7111D-7786-44CD-89CA-0927FDACFFB7}"/>
    <cellStyle name="Normal 4 6 2 3 4 4" xfId="10243" xr:uid="{E13BD6FE-7EEB-4313-872C-FCFB38CE1172}"/>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B4B097CA-DDC9-4EE1-BD23-5223798F56CF}"/>
    <cellStyle name="Normal 4 6 2 3 5 2 3" xfId="12801" xr:uid="{E12E2249-636F-4183-B244-92EA0D6FCE16}"/>
    <cellStyle name="Normal 4 6 2 3 5 3" xfId="6424" xr:uid="{00000000-0005-0000-0000-00003C160000}"/>
    <cellStyle name="Normal 4 6 2 3 5 3 2" xfId="14874" xr:uid="{284A25DB-BF42-4089-AE89-48DE0B8C8A6B}"/>
    <cellStyle name="Normal 4 6 2 3 5 4" xfId="10656" xr:uid="{B2C0CB3D-7D9E-4B11-BA77-FCDDFD21292D}"/>
    <cellStyle name="Normal 4 6 2 3 6" xfId="2554" xr:uid="{00000000-0005-0000-0000-00003D160000}"/>
    <cellStyle name="Normal 4 6 2 3 6 2" xfId="6837" xr:uid="{00000000-0005-0000-0000-00003E160000}"/>
    <cellStyle name="Normal 4 6 2 3 6 2 2" xfId="15287" xr:uid="{EE7195A6-8EE5-43C7-ABEF-2AB3F2060CC0}"/>
    <cellStyle name="Normal 4 6 2 3 6 3" xfId="11069" xr:uid="{4AE3BAA4-88B5-4572-AFF8-07812B74FD40}"/>
    <cellStyle name="Normal 4 6 2 3 7" xfId="4772" xr:uid="{00000000-0005-0000-0000-00003F160000}"/>
    <cellStyle name="Normal 4 6 2 3 7 2" xfId="13222" xr:uid="{F59D5A11-3975-49C5-8F69-C5EFA112B506}"/>
    <cellStyle name="Normal 4 6 2 3 8" xfId="9004" xr:uid="{F821BE1D-7A19-437C-92F8-12105D65FE21}"/>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0A36D997-17A9-42B3-935C-28B6F8118836}"/>
    <cellStyle name="Normal 4 6 2 4 2 3" xfId="11559" xr:uid="{C390FF50-5891-45CC-9B7B-5B8CEE612F7D}"/>
    <cellStyle name="Normal 4 6 2 4 3" xfId="5182" xr:uid="{00000000-0005-0000-0000-000043160000}"/>
    <cellStyle name="Normal 4 6 2 4 3 2" xfId="13632" xr:uid="{D50208FE-54E5-4E6A-9DF8-D7292DCE92FF}"/>
    <cellStyle name="Normal 4 6 2 4 4" xfId="9414" xr:uid="{E03140A8-AF3B-42D6-89D9-26DDB21352B9}"/>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35DECDAD-D9BB-4882-9463-B633988FC01A}"/>
    <cellStyle name="Normal 4 6 2 5 2 3" xfId="11972" xr:uid="{77E455CC-E58E-4C5E-B676-B6E20EFD2080}"/>
    <cellStyle name="Normal 4 6 2 5 3" xfId="5595" xr:uid="{00000000-0005-0000-0000-000047160000}"/>
    <cellStyle name="Normal 4 6 2 5 3 2" xfId="14045" xr:uid="{6EA160BA-C872-4CA6-9430-3B73899ED9BE}"/>
    <cellStyle name="Normal 4 6 2 5 4" xfId="9827" xr:uid="{963CBD59-FA5D-4497-8C8E-1AFC231EAA4D}"/>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38E3EBD3-E5B9-4D41-858D-99B71D08E3E2}"/>
    <cellStyle name="Normal 4 6 2 6 2 3" xfId="12385" xr:uid="{E61D271F-9D01-4CBC-8AC3-C0F361C10F37}"/>
    <cellStyle name="Normal 4 6 2 6 3" xfId="6008" xr:uid="{00000000-0005-0000-0000-00004B160000}"/>
    <cellStyle name="Normal 4 6 2 6 3 2" xfId="14458" xr:uid="{92958383-5671-4506-8412-728882A9C935}"/>
    <cellStyle name="Normal 4 6 2 6 4" xfId="10240" xr:uid="{57C0EBB8-D2BB-4596-81D4-7605DAFC7621}"/>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7C1735CE-66AA-4AC8-8950-BE17305F2879}"/>
    <cellStyle name="Normal 4 6 2 7 2 3" xfId="12798" xr:uid="{4EE9ED91-CC3A-41CF-9550-E3A104ED86C5}"/>
    <cellStyle name="Normal 4 6 2 7 3" xfId="6421" xr:uid="{00000000-0005-0000-0000-00004F160000}"/>
    <cellStyle name="Normal 4 6 2 7 3 2" xfId="14871" xr:uid="{CBBB82A3-8D78-42A6-B299-29CCC47B1F9B}"/>
    <cellStyle name="Normal 4 6 2 7 4" xfId="10653" xr:uid="{70B679D4-81DB-4682-A49F-BCD644326D88}"/>
    <cellStyle name="Normal 4 6 2 8" xfId="2551" xr:uid="{00000000-0005-0000-0000-000050160000}"/>
    <cellStyle name="Normal 4 6 2 8 2" xfId="6834" xr:uid="{00000000-0005-0000-0000-000051160000}"/>
    <cellStyle name="Normal 4 6 2 8 2 2" xfId="15284" xr:uid="{5355E4A5-4CB7-4A13-B68C-6BD0FC3EEBD8}"/>
    <cellStyle name="Normal 4 6 2 8 3" xfId="11066" xr:uid="{1D8D23C3-377C-48DA-A3A3-AFE3317BF99A}"/>
    <cellStyle name="Normal 4 6 2 9" xfId="4769" xr:uid="{00000000-0005-0000-0000-000052160000}"/>
    <cellStyle name="Normal 4 6 2 9 2" xfId="13219" xr:uid="{E189F6FD-4E0A-42A6-BB24-9D9DBEDC391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79F3EF91-6041-4C6D-B865-C070D77D1436}"/>
    <cellStyle name="Normal 4 6 3 2 2 2 3" xfId="11564" xr:uid="{1A124BE6-F654-4BC0-84D7-ED1B3A5939CC}"/>
    <cellStyle name="Normal 4 6 3 2 2 3" xfId="5187" xr:uid="{00000000-0005-0000-0000-000058160000}"/>
    <cellStyle name="Normal 4 6 3 2 2 3 2" xfId="13637" xr:uid="{FA75FC44-BB3E-4821-B0F0-2F8084E36080}"/>
    <cellStyle name="Normal 4 6 3 2 2 4" xfId="9419" xr:uid="{0557DE10-1B79-472F-BC63-417F06924E02}"/>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3AE7725A-06B9-48CC-BE06-F3C30D90944D}"/>
    <cellStyle name="Normal 4 6 3 2 3 2 3" xfId="11977" xr:uid="{C2CB6F52-FC89-4E6F-9404-504922EE6563}"/>
    <cellStyle name="Normal 4 6 3 2 3 3" xfId="5600" xr:uid="{00000000-0005-0000-0000-00005C160000}"/>
    <cellStyle name="Normal 4 6 3 2 3 3 2" xfId="14050" xr:uid="{FBCB63B4-6B97-484C-BC18-567D2ADA2E38}"/>
    <cellStyle name="Normal 4 6 3 2 3 4" xfId="9832" xr:uid="{7A06F770-E34D-4A51-88AD-1E02AD4371E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EE9BA3C2-4B40-481F-B2F4-2A2DF43C32E6}"/>
    <cellStyle name="Normal 4 6 3 2 4 2 3" xfId="12390" xr:uid="{55C976E6-3D85-4072-8D65-55951D4B3AB9}"/>
    <cellStyle name="Normal 4 6 3 2 4 3" xfId="6013" xr:uid="{00000000-0005-0000-0000-000060160000}"/>
    <cellStyle name="Normal 4 6 3 2 4 3 2" xfId="14463" xr:uid="{2E8E762A-2AEC-47D0-B9E9-7606B1D7D6F0}"/>
    <cellStyle name="Normal 4 6 3 2 4 4" xfId="10245" xr:uid="{63C17DBE-6996-442B-A58D-058E060454DC}"/>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574B969D-AAE3-4B37-A44D-7EACD4B1BB92}"/>
    <cellStyle name="Normal 4 6 3 2 5 2 3" xfId="12803" xr:uid="{0951EF7B-B887-432B-94BC-78FAD287A9C6}"/>
    <cellStyle name="Normal 4 6 3 2 5 3" xfId="6426" xr:uid="{00000000-0005-0000-0000-000064160000}"/>
    <cellStyle name="Normal 4 6 3 2 5 3 2" xfId="14876" xr:uid="{B8AF5BAB-C477-47FA-BFE8-6336B1A2B123}"/>
    <cellStyle name="Normal 4 6 3 2 5 4" xfId="10658" xr:uid="{ECA7BC00-A65E-4176-83AC-59470C2AC9F1}"/>
    <cellStyle name="Normal 4 6 3 2 6" xfId="2556" xr:uid="{00000000-0005-0000-0000-000065160000}"/>
    <cellStyle name="Normal 4 6 3 2 6 2" xfId="6839" xr:uid="{00000000-0005-0000-0000-000066160000}"/>
    <cellStyle name="Normal 4 6 3 2 6 2 2" xfId="15289" xr:uid="{31F90AF0-30A9-4F46-B222-23430830D476}"/>
    <cellStyle name="Normal 4 6 3 2 6 3" xfId="11071" xr:uid="{E68BF31E-1CBB-4D25-96A5-42C919AC5CCE}"/>
    <cellStyle name="Normal 4 6 3 2 7" xfId="4774" xr:uid="{00000000-0005-0000-0000-000067160000}"/>
    <cellStyle name="Normal 4 6 3 2 7 2" xfId="13224" xr:uid="{804CAD86-A798-4DE8-B30E-C42A5262AA77}"/>
    <cellStyle name="Normal 4 6 3 2 8" xfId="9006" xr:uid="{A55712B7-0536-4EB2-A703-EBCD9E48A415}"/>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CA6B92DB-24C3-426E-BC22-126D1339FCE7}"/>
    <cellStyle name="Normal 4 6 3 3 2 3" xfId="11563" xr:uid="{55C0A07F-DB32-4E5A-BDD1-7614AAB1298E}"/>
    <cellStyle name="Normal 4 6 3 3 3" xfId="5186" xr:uid="{00000000-0005-0000-0000-00006B160000}"/>
    <cellStyle name="Normal 4 6 3 3 3 2" xfId="13636" xr:uid="{2FE3E73C-9440-4D3E-952E-E162970C9B04}"/>
    <cellStyle name="Normal 4 6 3 3 4" xfId="9418" xr:uid="{B8A7A3BD-45E4-4563-AB08-733C0B20404B}"/>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355A3E28-A2BD-4AF9-84EE-93FEEE25ACD6}"/>
    <cellStyle name="Normal 4 6 3 4 2 3" xfId="11976" xr:uid="{4B19F8CD-85EC-4796-A2E8-B4DCF7321CA6}"/>
    <cellStyle name="Normal 4 6 3 4 3" xfId="5599" xr:uid="{00000000-0005-0000-0000-00006F160000}"/>
    <cellStyle name="Normal 4 6 3 4 3 2" xfId="14049" xr:uid="{E796E73D-ECF1-4AF1-8274-5E9753E997F8}"/>
    <cellStyle name="Normal 4 6 3 4 4" xfId="9831" xr:uid="{81D6450A-CD36-49A3-A28D-682A1EA990B4}"/>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8E434462-F451-4E85-B764-12FBC224190B}"/>
    <cellStyle name="Normal 4 6 3 5 2 3" xfId="12389" xr:uid="{4DE71C5E-D6FD-40B7-9FD9-55163596E46D}"/>
    <cellStyle name="Normal 4 6 3 5 3" xfId="6012" xr:uid="{00000000-0005-0000-0000-000073160000}"/>
    <cellStyle name="Normal 4 6 3 5 3 2" xfId="14462" xr:uid="{10A42E4E-AD87-4208-9299-7997C8E43375}"/>
    <cellStyle name="Normal 4 6 3 5 4" xfId="10244" xr:uid="{4CD3F5FC-43B6-4740-817F-A709B79F6195}"/>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7FD97E6-D7FF-4BB5-8D6E-0CFC08D3BA25}"/>
    <cellStyle name="Normal 4 6 3 6 2 3" xfId="12802" xr:uid="{3950C203-B78D-4D15-890C-5ED591CCA637}"/>
    <cellStyle name="Normal 4 6 3 6 3" xfId="6425" xr:uid="{00000000-0005-0000-0000-000077160000}"/>
    <cellStyle name="Normal 4 6 3 6 3 2" xfId="14875" xr:uid="{B087189F-2E2C-4620-99F9-F7E84B85CC9E}"/>
    <cellStyle name="Normal 4 6 3 6 4" xfId="10657" xr:uid="{E1D98A3C-7DA6-4843-B176-51CA2DBC76FC}"/>
    <cellStyle name="Normal 4 6 3 7" xfId="2555" xr:uid="{00000000-0005-0000-0000-000078160000}"/>
    <cellStyle name="Normal 4 6 3 7 2" xfId="6838" xr:uid="{00000000-0005-0000-0000-000079160000}"/>
    <cellStyle name="Normal 4 6 3 7 2 2" xfId="15288" xr:uid="{C68A4C60-E8F6-455A-B004-052A0AC8D753}"/>
    <cellStyle name="Normal 4 6 3 7 3" xfId="11070" xr:uid="{F4ED7F46-B8C4-4AA0-A311-762368C10296}"/>
    <cellStyle name="Normal 4 6 3 8" xfId="4773" xr:uid="{00000000-0005-0000-0000-00007A160000}"/>
    <cellStyle name="Normal 4 6 3 8 2" xfId="13223" xr:uid="{BA3FBCDE-1E13-4E0B-9C44-275ABB2C63B0}"/>
    <cellStyle name="Normal 4 6 3 9" xfId="9005" xr:uid="{570E0FCE-5E33-4E90-A1D0-8B7684CD05DD}"/>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047D4541-BCE1-4244-8CAC-8289F29CAFA0}"/>
    <cellStyle name="Normal 4 6 4 2 2 3" xfId="11565" xr:uid="{308D8F4D-8463-4AB3-B181-C08C3741C624}"/>
    <cellStyle name="Normal 4 6 4 2 3" xfId="5188" xr:uid="{00000000-0005-0000-0000-00007F160000}"/>
    <cellStyle name="Normal 4 6 4 2 3 2" xfId="13638" xr:uid="{D0B2B9EC-27E4-482F-84A7-69006F184046}"/>
    <cellStyle name="Normal 4 6 4 2 4" xfId="9420" xr:uid="{9D7DF59D-F403-489B-8E96-E93D1BCCF667}"/>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3C56C5ED-6101-4AF9-A0AB-9D99AD2F21BE}"/>
    <cellStyle name="Normal 4 6 4 3 2 3" xfId="11978" xr:uid="{F819FD21-672F-4690-906A-973BFF9D8F97}"/>
    <cellStyle name="Normal 4 6 4 3 3" xfId="5601" xr:uid="{00000000-0005-0000-0000-000083160000}"/>
    <cellStyle name="Normal 4 6 4 3 3 2" xfId="14051" xr:uid="{5F99A2C8-2495-4AF3-ACE5-09A38956C185}"/>
    <cellStyle name="Normal 4 6 4 3 4" xfId="9833" xr:uid="{A792FB2D-27FB-4C21-9373-6FABD8F52E3E}"/>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2160DDF9-431B-4E10-A01D-AE13DEA94562}"/>
    <cellStyle name="Normal 4 6 4 4 2 3" xfId="12391" xr:uid="{B021BA81-1225-49D8-A738-B7DEB77E6AEC}"/>
    <cellStyle name="Normal 4 6 4 4 3" xfId="6014" xr:uid="{00000000-0005-0000-0000-000087160000}"/>
    <cellStyle name="Normal 4 6 4 4 3 2" xfId="14464" xr:uid="{DD484C68-2479-4641-BC13-750122FF218B}"/>
    <cellStyle name="Normal 4 6 4 4 4" xfId="10246" xr:uid="{395CBF51-C546-4BCD-A46B-7E471CEB532B}"/>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C605B147-0279-40CE-AA28-0DF1C5A98CB6}"/>
    <cellStyle name="Normal 4 6 4 5 2 3" xfId="12804" xr:uid="{6E2980DA-1566-4A97-9FEB-C47434054A45}"/>
    <cellStyle name="Normal 4 6 4 5 3" xfId="6427" xr:uid="{00000000-0005-0000-0000-00008B160000}"/>
    <cellStyle name="Normal 4 6 4 5 3 2" xfId="14877" xr:uid="{97E68E95-1E97-4CB2-99D9-638EAB44AEFB}"/>
    <cellStyle name="Normal 4 6 4 5 4" xfId="10659" xr:uid="{5D0A7AFF-1CE2-470C-AEB4-8902A6336F19}"/>
    <cellStyle name="Normal 4 6 4 6" xfId="2557" xr:uid="{00000000-0005-0000-0000-00008C160000}"/>
    <cellStyle name="Normal 4 6 4 6 2" xfId="6840" xr:uid="{00000000-0005-0000-0000-00008D160000}"/>
    <cellStyle name="Normal 4 6 4 6 2 2" xfId="15290" xr:uid="{91185586-64CB-4C07-9256-2EA3D88D0F0F}"/>
    <cellStyle name="Normal 4 6 4 6 3" xfId="11072" xr:uid="{ED1F0F86-558C-42C2-81AE-07B34A457A0C}"/>
    <cellStyle name="Normal 4 6 4 7" xfId="4775" xr:uid="{00000000-0005-0000-0000-00008E160000}"/>
    <cellStyle name="Normal 4 6 4 7 2" xfId="13225" xr:uid="{DEE4BBBC-66FB-4634-945A-05366B791510}"/>
    <cellStyle name="Normal 4 6 4 8" xfId="9007" xr:uid="{FC7C7DFF-23FD-4B0A-89C0-79902F9FBFAF}"/>
    <cellStyle name="Normal 4 6 5" xfId="869" xr:uid="{00000000-0005-0000-0000-00008F160000}"/>
    <cellStyle name="Normal 4 6 5 2" xfId="3104" xr:uid="{00000000-0005-0000-0000-000090160000}"/>
    <cellStyle name="Normal 4 6 5 2 2" xfId="7326" xr:uid="{00000000-0005-0000-0000-000091160000}"/>
    <cellStyle name="Normal 4 6 5 2 2 2" xfId="15776" xr:uid="{DD7C3F14-F1A5-42E9-93EF-7B06B00DCDD3}"/>
    <cellStyle name="Normal 4 6 5 2 3" xfId="11558" xr:uid="{82E6D01D-A96F-4DBD-B4D0-B98E9E0A1D3E}"/>
    <cellStyle name="Normal 4 6 5 3" xfId="5181" xr:uid="{00000000-0005-0000-0000-000092160000}"/>
    <cellStyle name="Normal 4 6 5 3 2" xfId="13631" xr:uid="{0A13BAC8-61F7-4646-B8FD-88B70C525100}"/>
    <cellStyle name="Normal 4 6 5 4" xfId="9413" xr:uid="{AA71ACF6-47DD-4F0B-A563-B9AEDD017443}"/>
    <cellStyle name="Normal 4 6 6" xfId="1287" xr:uid="{00000000-0005-0000-0000-000093160000}"/>
    <cellStyle name="Normal 4 6 6 2" xfId="3517" xr:uid="{00000000-0005-0000-0000-000094160000}"/>
    <cellStyle name="Normal 4 6 6 2 2" xfId="7739" xr:uid="{00000000-0005-0000-0000-000095160000}"/>
    <cellStyle name="Normal 4 6 6 2 2 2" xfId="16189" xr:uid="{3A5615E0-6074-42A7-BFCB-F4BF45D73049}"/>
    <cellStyle name="Normal 4 6 6 2 3" xfId="11971" xr:uid="{44B5A96E-07F4-4F2F-B193-3A72D17EF7D0}"/>
    <cellStyle name="Normal 4 6 6 3" xfId="5594" xr:uid="{00000000-0005-0000-0000-000096160000}"/>
    <cellStyle name="Normal 4 6 6 3 2" xfId="14044" xr:uid="{D5AC8C22-D6C2-4EBA-84B8-FA73681AAE40}"/>
    <cellStyle name="Normal 4 6 6 4" xfId="9826" xr:uid="{69D8ADDB-F48A-4629-870A-4C92365CB640}"/>
    <cellStyle name="Normal 4 6 7" xfId="1700" xr:uid="{00000000-0005-0000-0000-000097160000}"/>
    <cellStyle name="Normal 4 6 7 2" xfId="3930" xr:uid="{00000000-0005-0000-0000-000098160000}"/>
    <cellStyle name="Normal 4 6 7 2 2" xfId="8152" xr:uid="{00000000-0005-0000-0000-000099160000}"/>
    <cellStyle name="Normal 4 6 7 2 2 2" xfId="16602" xr:uid="{9EF01025-82E2-4B24-9722-30120A1C253D}"/>
    <cellStyle name="Normal 4 6 7 2 3" xfId="12384" xr:uid="{109AD137-D893-4A9E-8B3B-236F3808F9B9}"/>
    <cellStyle name="Normal 4 6 7 3" xfId="6007" xr:uid="{00000000-0005-0000-0000-00009A160000}"/>
    <cellStyle name="Normal 4 6 7 3 2" xfId="14457" xr:uid="{4B848299-D47B-496E-B081-AFB65DA9209C}"/>
    <cellStyle name="Normal 4 6 7 4" xfId="10239" xr:uid="{F538F4EE-0FCD-4A53-9877-6CEEEA103005}"/>
    <cellStyle name="Normal 4 6 8" xfId="2114" xr:uid="{00000000-0005-0000-0000-00009B160000}"/>
    <cellStyle name="Normal 4 6 8 2" xfId="4343" xr:uid="{00000000-0005-0000-0000-00009C160000}"/>
    <cellStyle name="Normal 4 6 8 2 2" xfId="8565" xr:uid="{00000000-0005-0000-0000-00009D160000}"/>
    <cellStyle name="Normal 4 6 8 2 2 2" xfId="17015" xr:uid="{8E4B0CE9-0D2D-4F40-894E-4375D84C1E63}"/>
    <cellStyle name="Normal 4 6 8 2 3" xfId="12797" xr:uid="{328EEDB2-A9E1-43B8-B3E0-71E39C805CF7}"/>
    <cellStyle name="Normal 4 6 8 3" xfId="6420" xr:uid="{00000000-0005-0000-0000-00009E160000}"/>
    <cellStyle name="Normal 4 6 8 3 2" xfId="14870" xr:uid="{EC55BB48-4B5F-48BC-8E3B-945CD7739EB4}"/>
    <cellStyle name="Normal 4 6 8 4" xfId="10652" xr:uid="{C38D280A-22C8-474D-AA3C-FEB86C853BF1}"/>
    <cellStyle name="Normal 4 6 9" xfId="2550" xr:uid="{00000000-0005-0000-0000-00009F160000}"/>
    <cellStyle name="Normal 4 6 9 2" xfId="6833" xr:uid="{00000000-0005-0000-0000-0000A0160000}"/>
    <cellStyle name="Normal 4 6 9 2 2" xfId="15283" xr:uid="{7A5C715A-A073-40A9-8AB9-496D2C153B58}"/>
    <cellStyle name="Normal 4 6 9 3" xfId="11065" xr:uid="{B98E4060-02CB-4749-9BFF-CCA0BF7BA6C2}"/>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BEA9D1BB-FE13-44D8-9F22-EA17A25077FF}"/>
    <cellStyle name="Normal 4 7 2 2 2 3" xfId="11567" xr:uid="{0A7B8644-185F-4100-9AC9-D06856C50756}"/>
    <cellStyle name="Normal 4 7 2 2 3" xfId="5190" xr:uid="{00000000-0005-0000-0000-0000A6160000}"/>
    <cellStyle name="Normal 4 7 2 2 3 2" xfId="13640" xr:uid="{2A239E40-EBD5-493F-B8AA-716CDAA30B31}"/>
    <cellStyle name="Normal 4 7 2 2 4" xfId="9422" xr:uid="{060452A2-3287-4647-8600-8291F8EB8517}"/>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11B647C1-16CC-4469-A8AD-C84019B9A846}"/>
    <cellStyle name="Normal 4 7 2 3 2 3" xfId="11980" xr:uid="{DFE15F8F-C981-4723-8CF3-AC2EA3500E6D}"/>
    <cellStyle name="Normal 4 7 2 3 3" xfId="5603" xr:uid="{00000000-0005-0000-0000-0000AA160000}"/>
    <cellStyle name="Normal 4 7 2 3 3 2" xfId="14053" xr:uid="{40CF8994-AE96-404F-ACAF-317408618125}"/>
    <cellStyle name="Normal 4 7 2 3 4" xfId="9835" xr:uid="{6FFBD528-C326-44F5-AA8F-BA648F360EFE}"/>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A057A5BA-5273-4032-8558-825243C485FA}"/>
    <cellStyle name="Normal 4 7 2 4 2 3" xfId="12393" xr:uid="{DF82D4C3-B966-4234-B64C-84987FC41D74}"/>
    <cellStyle name="Normal 4 7 2 4 3" xfId="6016" xr:uid="{00000000-0005-0000-0000-0000AE160000}"/>
    <cellStyle name="Normal 4 7 2 4 3 2" xfId="14466" xr:uid="{559074A9-A91C-48C5-9A45-F5BD4F71E3B4}"/>
    <cellStyle name="Normal 4 7 2 4 4" xfId="10248" xr:uid="{B05706D3-D497-4CAB-B45B-C83D4947D539}"/>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03056277-E627-4CCB-BE14-2114DE7DD22A}"/>
    <cellStyle name="Normal 4 7 2 5 2 3" xfId="12806" xr:uid="{4D061A65-D948-4313-8C40-ADF3809EE492}"/>
    <cellStyle name="Normal 4 7 2 5 3" xfId="6429" xr:uid="{00000000-0005-0000-0000-0000B2160000}"/>
    <cellStyle name="Normal 4 7 2 5 3 2" xfId="14879" xr:uid="{5BC7183E-31C5-49D2-9399-F21572DD17CC}"/>
    <cellStyle name="Normal 4 7 2 5 4" xfId="10661" xr:uid="{7D993C80-22EC-4645-ACA6-F27B170B9352}"/>
    <cellStyle name="Normal 4 7 2 6" xfId="2559" xr:uid="{00000000-0005-0000-0000-0000B3160000}"/>
    <cellStyle name="Normal 4 7 2 6 2" xfId="6842" xr:uid="{00000000-0005-0000-0000-0000B4160000}"/>
    <cellStyle name="Normal 4 7 2 6 2 2" xfId="15292" xr:uid="{9BE51F19-26D6-424F-835C-82F8B82B14E9}"/>
    <cellStyle name="Normal 4 7 2 6 3" xfId="11074" xr:uid="{7CAB48F4-1EA8-4E2D-BBF1-FF40A4FC7627}"/>
    <cellStyle name="Normal 4 7 2 7" xfId="4777" xr:uid="{00000000-0005-0000-0000-0000B5160000}"/>
    <cellStyle name="Normal 4 7 2 7 2" xfId="13227" xr:uid="{4A73245E-3D50-4F0C-BB08-8C8BD94B9BA6}"/>
    <cellStyle name="Normal 4 7 2 8" xfId="9009" xr:uid="{FE352FBA-CE6C-4BD1-BF44-32677BC934DF}"/>
    <cellStyle name="Normal 4 7 3" xfId="877" xr:uid="{00000000-0005-0000-0000-0000B6160000}"/>
    <cellStyle name="Normal 4 7 3 2" xfId="3112" xr:uid="{00000000-0005-0000-0000-0000B7160000}"/>
    <cellStyle name="Normal 4 7 3 2 2" xfId="7334" xr:uid="{00000000-0005-0000-0000-0000B8160000}"/>
    <cellStyle name="Normal 4 7 3 2 2 2" xfId="15784" xr:uid="{CBE72A36-B761-46EB-9DB9-1C1AB990D8DC}"/>
    <cellStyle name="Normal 4 7 3 2 3" xfId="11566" xr:uid="{E98176C1-148A-45B6-88BE-B9927D427B3D}"/>
    <cellStyle name="Normal 4 7 3 3" xfId="5189" xr:uid="{00000000-0005-0000-0000-0000B9160000}"/>
    <cellStyle name="Normal 4 7 3 3 2" xfId="13639" xr:uid="{7E1DD1F2-48C2-4FEA-BA93-44829C3E6394}"/>
    <cellStyle name="Normal 4 7 3 4" xfId="9421" xr:uid="{C3F02C99-B891-4725-BDBD-3BE47994434B}"/>
    <cellStyle name="Normal 4 7 4" xfId="1295" xr:uid="{00000000-0005-0000-0000-0000BA160000}"/>
    <cellStyle name="Normal 4 7 4 2" xfId="3525" xr:uid="{00000000-0005-0000-0000-0000BB160000}"/>
    <cellStyle name="Normal 4 7 4 2 2" xfId="7747" xr:uid="{00000000-0005-0000-0000-0000BC160000}"/>
    <cellStyle name="Normal 4 7 4 2 2 2" xfId="16197" xr:uid="{23846989-E018-4BE6-BAB6-5E7D75214AA6}"/>
    <cellStyle name="Normal 4 7 4 2 3" xfId="11979" xr:uid="{55BF5046-9DAC-4882-B1C8-585DC588DB14}"/>
    <cellStyle name="Normal 4 7 4 3" xfId="5602" xr:uid="{00000000-0005-0000-0000-0000BD160000}"/>
    <cellStyle name="Normal 4 7 4 3 2" xfId="14052" xr:uid="{035D54BF-11AD-4128-957B-19D47F688406}"/>
    <cellStyle name="Normal 4 7 4 4" xfId="9834" xr:uid="{F49462DA-575C-42B0-836D-3FC9DE6D50D0}"/>
    <cellStyle name="Normal 4 7 5" xfId="1708" xr:uid="{00000000-0005-0000-0000-0000BE160000}"/>
    <cellStyle name="Normal 4 7 5 2" xfId="3938" xr:uid="{00000000-0005-0000-0000-0000BF160000}"/>
    <cellStyle name="Normal 4 7 5 2 2" xfId="8160" xr:uid="{00000000-0005-0000-0000-0000C0160000}"/>
    <cellStyle name="Normal 4 7 5 2 2 2" xfId="16610" xr:uid="{4A0235B7-4F88-49F2-BF93-E42E25DF1353}"/>
    <cellStyle name="Normal 4 7 5 2 3" xfId="12392" xr:uid="{3F236458-22B4-4959-84DF-F54F0E3840A2}"/>
    <cellStyle name="Normal 4 7 5 3" xfId="6015" xr:uid="{00000000-0005-0000-0000-0000C1160000}"/>
    <cellStyle name="Normal 4 7 5 3 2" xfId="14465" xr:uid="{6E319442-C41C-49D7-B744-287A293366B1}"/>
    <cellStyle name="Normal 4 7 5 4" xfId="10247" xr:uid="{FDABBBE1-B60A-42FE-97C8-3B6D319C5D3A}"/>
    <cellStyle name="Normal 4 7 6" xfId="2122" xr:uid="{00000000-0005-0000-0000-0000C2160000}"/>
    <cellStyle name="Normal 4 7 6 2" xfId="4351" xr:uid="{00000000-0005-0000-0000-0000C3160000}"/>
    <cellStyle name="Normal 4 7 6 2 2" xfId="8573" xr:uid="{00000000-0005-0000-0000-0000C4160000}"/>
    <cellStyle name="Normal 4 7 6 2 2 2" xfId="17023" xr:uid="{786B2BB6-0744-4369-8908-29B3EB3A61C8}"/>
    <cellStyle name="Normal 4 7 6 2 3" xfId="12805" xr:uid="{9038AE84-D140-411A-A27F-2296595B74C2}"/>
    <cellStyle name="Normal 4 7 6 3" xfId="6428" xr:uid="{00000000-0005-0000-0000-0000C5160000}"/>
    <cellStyle name="Normal 4 7 6 3 2" xfId="14878" xr:uid="{A51FC0D8-7FE1-4B2E-84E8-67EC791E81C9}"/>
    <cellStyle name="Normal 4 7 6 4" xfId="10660" xr:uid="{BD635AB3-ADED-4050-9DC4-38071A590748}"/>
    <cellStyle name="Normal 4 7 7" xfId="2558" xr:uid="{00000000-0005-0000-0000-0000C6160000}"/>
    <cellStyle name="Normal 4 7 7 2" xfId="6841" xr:uid="{00000000-0005-0000-0000-0000C7160000}"/>
    <cellStyle name="Normal 4 7 7 2 2" xfId="15291" xr:uid="{23781F34-FCA8-49CC-ABD6-2BFFCA75A0FE}"/>
    <cellStyle name="Normal 4 7 7 3" xfId="11073" xr:uid="{0AA1DBFC-FC97-4781-8316-3CBBBC1602AB}"/>
    <cellStyle name="Normal 4 7 8" xfId="4776" xr:uid="{00000000-0005-0000-0000-0000C8160000}"/>
    <cellStyle name="Normal 4 7 8 2" xfId="13226" xr:uid="{51715D6E-9B57-4D17-94A7-3834E8DE4C77}"/>
    <cellStyle name="Normal 4 7 9" xfId="9008" xr:uid="{60B99F56-C757-4BBF-9EF3-20ED1A805898}"/>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8F236BF6-5F1E-4F05-8186-1DE1CD002CA7}"/>
    <cellStyle name="Normal 4 8 2 2 3" xfId="11568" xr:uid="{91D03552-C22C-42F7-8EF1-3CEA6B5079EA}"/>
    <cellStyle name="Normal 4 8 2 3" xfId="5191" xr:uid="{00000000-0005-0000-0000-0000CD160000}"/>
    <cellStyle name="Normal 4 8 2 3 2" xfId="13641" xr:uid="{4770888C-17F8-4AE4-83CB-3E1D4239CBBE}"/>
    <cellStyle name="Normal 4 8 2 4" xfId="9423" xr:uid="{22433545-A61C-437D-93D5-154134AFB935}"/>
    <cellStyle name="Normal 4 8 3" xfId="1297" xr:uid="{00000000-0005-0000-0000-0000CE160000}"/>
    <cellStyle name="Normal 4 8 3 2" xfId="3527" xr:uid="{00000000-0005-0000-0000-0000CF160000}"/>
    <cellStyle name="Normal 4 8 3 2 2" xfId="7749" xr:uid="{00000000-0005-0000-0000-0000D0160000}"/>
    <cellStyle name="Normal 4 8 3 2 2 2" xfId="16199" xr:uid="{32C9081E-E0CF-4B7B-BCFC-67CB9DE2C4EA}"/>
    <cellStyle name="Normal 4 8 3 2 3" xfId="11981" xr:uid="{FFF27EEC-6532-4AC6-A8F2-0A34D275688B}"/>
    <cellStyle name="Normal 4 8 3 3" xfId="5604" xr:uid="{00000000-0005-0000-0000-0000D1160000}"/>
    <cellStyle name="Normal 4 8 3 3 2" xfId="14054" xr:uid="{A70A23B4-0758-4207-B076-C9019905F876}"/>
    <cellStyle name="Normal 4 8 3 4" xfId="9836" xr:uid="{1AA4113C-A4B5-44D2-8ADF-4B57BC8AB7EA}"/>
    <cellStyle name="Normal 4 8 4" xfId="1710" xr:uid="{00000000-0005-0000-0000-0000D2160000}"/>
    <cellStyle name="Normal 4 8 4 2" xfId="3940" xr:uid="{00000000-0005-0000-0000-0000D3160000}"/>
    <cellStyle name="Normal 4 8 4 2 2" xfId="8162" xr:uid="{00000000-0005-0000-0000-0000D4160000}"/>
    <cellStyle name="Normal 4 8 4 2 2 2" xfId="16612" xr:uid="{DD637B12-1C19-4623-A3F3-CB65135B7A15}"/>
    <cellStyle name="Normal 4 8 4 2 3" xfId="12394" xr:uid="{CE937DCA-7817-4622-A1C4-AD7EFCD3E86E}"/>
    <cellStyle name="Normal 4 8 4 3" xfId="6017" xr:uid="{00000000-0005-0000-0000-0000D5160000}"/>
    <cellStyle name="Normal 4 8 4 3 2" xfId="14467" xr:uid="{37961FA9-9154-42F6-BEAA-EC497E18522F}"/>
    <cellStyle name="Normal 4 8 4 4" xfId="10249" xr:uid="{FA9AFFF2-DA97-4499-8646-9BB5A551198E}"/>
    <cellStyle name="Normal 4 8 5" xfId="2124" xr:uid="{00000000-0005-0000-0000-0000D6160000}"/>
    <cellStyle name="Normal 4 8 5 2" xfId="4353" xr:uid="{00000000-0005-0000-0000-0000D7160000}"/>
    <cellStyle name="Normal 4 8 5 2 2" xfId="8575" xr:uid="{00000000-0005-0000-0000-0000D8160000}"/>
    <cellStyle name="Normal 4 8 5 2 2 2" xfId="17025" xr:uid="{2B0ADBF7-E097-4297-BDED-202B40619D0A}"/>
    <cellStyle name="Normal 4 8 5 2 3" xfId="12807" xr:uid="{252E6EC0-5C90-4EE8-8DFC-C7708952CA66}"/>
    <cellStyle name="Normal 4 8 5 3" xfId="6430" xr:uid="{00000000-0005-0000-0000-0000D9160000}"/>
    <cellStyle name="Normal 4 8 5 3 2" xfId="14880" xr:uid="{8CD1D440-4828-44E0-A14B-8AA50B08BA9B}"/>
    <cellStyle name="Normal 4 8 5 4" xfId="10662" xr:uid="{9278B1E2-962B-4BF6-BDFB-C5060368B95E}"/>
    <cellStyle name="Normal 4 8 6" xfId="2560" xr:uid="{00000000-0005-0000-0000-0000DA160000}"/>
    <cellStyle name="Normal 4 8 6 2" xfId="6843" xr:uid="{00000000-0005-0000-0000-0000DB160000}"/>
    <cellStyle name="Normal 4 8 6 2 2" xfId="15293" xr:uid="{462D1546-73E3-49B8-9965-0386F45E776F}"/>
    <cellStyle name="Normal 4 8 6 3" xfId="11075" xr:uid="{3178F7B7-D285-4C7C-BD97-A5ADF5669C66}"/>
    <cellStyle name="Normal 4 8 7" xfId="4778" xr:uid="{00000000-0005-0000-0000-0000DC160000}"/>
    <cellStyle name="Normal 4 8 7 2" xfId="13228" xr:uid="{7FD93B76-C538-44D1-9366-9765D5FD94B3}"/>
    <cellStyle name="Normal 4 8 8" xfId="9010" xr:uid="{A82FBBF6-1A05-4CB1-8C81-49B432AD4C64}"/>
    <cellStyle name="Normal 4 9" xfId="4715" xr:uid="{00000000-0005-0000-0000-0000DD160000}"/>
    <cellStyle name="Normal 4 9 2" xfId="13165" xr:uid="{79915255-7472-48F0-A903-1B3ED2371706}"/>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92A178DC-77BB-4408-80EA-F8D1CDD76EF0}"/>
    <cellStyle name="Normal 5 10 2 3" xfId="12395" xr:uid="{D94C35F0-5D24-42DB-A517-2A369550DD9E}"/>
    <cellStyle name="Normal 5 10 3" xfId="6018" xr:uid="{00000000-0005-0000-0000-0000E2160000}"/>
    <cellStyle name="Normal 5 10 3 2" xfId="14468" xr:uid="{842089BA-53C7-4D55-ADBB-996A84576606}"/>
    <cellStyle name="Normal 5 10 4" xfId="10250" xr:uid="{B037134A-F25D-45BB-8CC2-222841641246}"/>
    <cellStyle name="Normal 5 11" xfId="2125" xr:uid="{00000000-0005-0000-0000-0000E3160000}"/>
    <cellStyle name="Normal 5 11 2" xfId="4354" xr:uid="{00000000-0005-0000-0000-0000E4160000}"/>
    <cellStyle name="Normal 5 11 2 2" xfId="8576" xr:uid="{00000000-0005-0000-0000-0000E5160000}"/>
    <cellStyle name="Normal 5 11 2 2 2" xfId="17026" xr:uid="{C988DB75-2C4E-4B80-BB7D-9E3E1EBA306E}"/>
    <cellStyle name="Normal 5 11 2 3" xfId="12808" xr:uid="{976DF68A-2D8A-4EE9-97EC-E348DFC93064}"/>
    <cellStyle name="Normal 5 11 3" xfId="6431" xr:uid="{00000000-0005-0000-0000-0000E6160000}"/>
    <cellStyle name="Normal 5 11 3 2" xfId="14881" xr:uid="{6963327C-74E2-42D4-9979-B3CBB3E62854}"/>
    <cellStyle name="Normal 5 11 4" xfId="10663" xr:uid="{A6AC77E0-5F07-4D30-A066-F8647735FBCA}"/>
    <cellStyle name="Normal 5 12" xfId="2561" xr:uid="{00000000-0005-0000-0000-0000E7160000}"/>
    <cellStyle name="Normal 5 12 2" xfId="6844" xr:uid="{00000000-0005-0000-0000-0000E8160000}"/>
    <cellStyle name="Normal 5 12 2 2" xfId="15294" xr:uid="{89B7A90E-7C77-4E02-923F-36B8F70F94D0}"/>
    <cellStyle name="Normal 5 12 3" xfId="11076" xr:uid="{E76EE6F9-3A82-4955-AA2E-FF13809E5878}"/>
    <cellStyle name="Normal 5 13" xfId="4779" xr:uid="{00000000-0005-0000-0000-0000E9160000}"/>
    <cellStyle name="Normal 5 13 2" xfId="13229" xr:uid="{91DB09E6-A6F9-458F-9001-F7AAC7F17EAD}"/>
    <cellStyle name="Normal 5 14" xfId="9011" xr:uid="{3827878B-784B-47D2-B620-D4FE0A8A0DFD}"/>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7ACB7840-7A41-4A41-B46D-65D7B7836CFA}"/>
    <cellStyle name="Normal 5 2 10 2 3" xfId="12809" xr:uid="{3595DC9B-96DB-421E-924C-D9AE4B254217}"/>
    <cellStyle name="Normal 5 2 10 3" xfId="6432" xr:uid="{00000000-0005-0000-0000-0000EE160000}"/>
    <cellStyle name="Normal 5 2 10 3 2" xfId="14882" xr:uid="{13C92B7C-3FDB-4921-BB47-75D3316EC263}"/>
    <cellStyle name="Normal 5 2 10 4" xfId="10664" xr:uid="{8ED35CB0-8E12-42F0-B634-5AE247D25FFC}"/>
    <cellStyle name="Normal 5 2 11" xfId="2562" xr:uid="{00000000-0005-0000-0000-0000EF160000}"/>
    <cellStyle name="Normal 5 2 11 2" xfId="6845" xr:uid="{00000000-0005-0000-0000-0000F0160000}"/>
    <cellStyle name="Normal 5 2 11 2 2" xfId="15295" xr:uid="{ACC2755D-5081-4411-9E95-063B2014A1B1}"/>
    <cellStyle name="Normal 5 2 11 3" xfId="11077" xr:uid="{4981A3AA-1C43-4CDC-82D2-45946ACB156A}"/>
    <cellStyle name="Normal 5 2 12" xfId="4780" xr:uid="{00000000-0005-0000-0000-0000F1160000}"/>
    <cellStyle name="Normal 5 2 12 2" xfId="13230" xr:uid="{B59A7169-64B2-4445-87E9-02081DDDDDB3}"/>
    <cellStyle name="Normal 5 2 13" xfId="9012" xr:uid="{06514695-5E46-46B1-9EEB-7EA8FEB8D119}"/>
    <cellStyle name="Normal 5 2 2" xfId="408" xr:uid="{00000000-0005-0000-0000-0000F2160000}"/>
    <cellStyle name="Normal 5 2 2 10" xfId="2563" xr:uid="{00000000-0005-0000-0000-0000F3160000}"/>
    <cellStyle name="Normal 5 2 2 10 2" xfId="6846" xr:uid="{00000000-0005-0000-0000-0000F4160000}"/>
    <cellStyle name="Normal 5 2 2 10 2 2" xfId="15296" xr:uid="{2703C6EB-57A3-489D-A73B-B257F8AC320C}"/>
    <cellStyle name="Normal 5 2 2 10 3" xfId="11078" xr:uid="{FF1B7F15-70B4-4D71-AE4B-87F91F6B7947}"/>
    <cellStyle name="Normal 5 2 2 11" xfId="4781" xr:uid="{00000000-0005-0000-0000-0000F5160000}"/>
    <cellStyle name="Normal 5 2 2 11 2" xfId="13231" xr:uid="{8B6E46E3-5492-4456-B8D1-D1EA90779233}"/>
    <cellStyle name="Normal 5 2 2 12" xfId="9013" xr:uid="{7506067E-9F7D-4249-ABAC-EAD44925DF92}"/>
    <cellStyle name="Normal 5 2 2 2" xfId="409" xr:uid="{00000000-0005-0000-0000-0000F6160000}"/>
    <cellStyle name="Normal 5 2 2 2 10" xfId="4782" xr:uid="{00000000-0005-0000-0000-0000F7160000}"/>
    <cellStyle name="Normal 5 2 2 2 10 2" xfId="13232" xr:uid="{E2AE065A-8B99-4EA4-9190-92F061E906C3}"/>
    <cellStyle name="Normal 5 2 2 2 11" xfId="9014" xr:uid="{B2BD9A97-3EF3-435D-B035-960159647814}"/>
    <cellStyle name="Normal 5 2 2 2 2" xfId="410" xr:uid="{00000000-0005-0000-0000-0000F8160000}"/>
    <cellStyle name="Normal 5 2 2 2 2 10" xfId="9015" xr:uid="{ED844CA3-90D5-42CF-A829-31B288135ADC}"/>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C79A95B9-E389-4BA1-8438-D41431917853}"/>
    <cellStyle name="Normal 5 2 2 2 2 2 2 2 2 3" xfId="11575" xr:uid="{8609A735-4976-4B19-86B0-D5ABA6BE9FD6}"/>
    <cellStyle name="Normal 5 2 2 2 2 2 2 2 3" xfId="5198" xr:uid="{00000000-0005-0000-0000-0000FE160000}"/>
    <cellStyle name="Normal 5 2 2 2 2 2 2 2 3 2" xfId="13648" xr:uid="{B3623D13-C1CC-4D2D-B0E8-B99A541CA9A5}"/>
    <cellStyle name="Normal 5 2 2 2 2 2 2 2 4" xfId="9430" xr:uid="{CE507AC1-4681-4BAF-8BE4-7E307D9892B6}"/>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D89BD46D-57B8-4672-A5CF-0A63226D88AB}"/>
    <cellStyle name="Normal 5 2 2 2 2 2 2 3 2 3" xfId="11988" xr:uid="{184883B8-A790-4ED8-B5C7-BBB611F6FF80}"/>
    <cellStyle name="Normal 5 2 2 2 2 2 2 3 3" xfId="5611" xr:uid="{00000000-0005-0000-0000-000002170000}"/>
    <cellStyle name="Normal 5 2 2 2 2 2 2 3 3 2" xfId="14061" xr:uid="{6B539669-CF38-43AE-819D-08F547AF350F}"/>
    <cellStyle name="Normal 5 2 2 2 2 2 2 3 4" xfId="9843" xr:uid="{5305CFBD-686F-4015-A6BE-5D3DF9827DC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9F1AA70D-E943-412E-B62B-46D1C29115BA}"/>
    <cellStyle name="Normal 5 2 2 2 2 2 2 4 2 3" xfId="12401" xr:uid="{D99280F8-18CD-4197-BCEA-425933025C5B}"/>
    <cellStyle name="Normal 5 2 2 2 2 2 2 4 3" xfId="6024" xr:uid="{00000000-0005-0000-0000-000006170000}"/>
    <cellStyle name="Normal 5 2 2 2 2 2 2 4 3 2" xfId="14474" xr:uid="{A8B8A5C2-E455-4C35-8260-25AAEDFA7729}"/>
    <cellStyle name="Normal 5 2 2 2 2 2 2 4 4" xfId="10256" xr:uid="{06C27135-265D-43C2-B726-CFCA0561970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6FB9FD19-3300-4B78-B284-86AC84EA2B01}"/>
    <cellStyle name="Normal 5 2 2 2 2 2 2 5 2 3" xfId="12814" xr:uid="{5567A753-AB22-4AC9-8457-115DCD50B1EB}"/>
    <cellStyle name="Normal 5 2 2 2 2 2 2 5 3" xfId="6437" xr:uid="{00000000-0005-0000-0000-00000A170000}"/>
    <cellStyle name="Normal 5 2 2 2 2 2 2 5 3 2" xfId="14887" xr:uid="{29EA509A-56EB-46AF-87CE-7C9FC72716A4}"/>
    <cellStyle name="Normal 5 2 2 2 2 2 2 5 4" xfId="10669" xr:uid="{A5D89985-8B06-431B-B4BA-C5551EA5AED9}"/>
    <cellStyle name="Normal 5 2 2 2 2 2 2 6" xfId="2567" xr:uid="{00000000-0005-0000-0000-00000B170000}"/>
    <cellStyle name="Normal 5 2 2 2 2 2 2 6 2" xfId="6850" xr:uid="{00000000-0005-0000-0000-00000C170000}"/>
    <cellStyle name="Normal 5 2 2 2 2 2 2 6 2 2" xfId="15300" xr:uid="{D74BED0B-613E-4291-8A5D-D3A7F582211C}"/>
    <cellStyle name="Normal 5 2 2 2 2 2 2 6 3" xfId="11082" xr:uid="{D9375BF9-D848-4AC6-A156-3F24C142A7BC}"/>
    <cellStyle name="Normal 5 2 2 2 2 2 2 7" xfId="4785" xr:uid="{00000000-0005-0000-0000-00000D170000}"/>
    <cellStyle name="Normal 5 2 2 2 2 2 2 7 2" xfId="13235" xr:uid="{C6DDCAD7-C7CE-4379-BD4D-66BDFE7AC4EB}"/>
    <cellStyle name="Normal 5 2 2 2 2 2 2 8" xfId="9017" xr:uid="{2556FEF6-3735-474B-965F-1ED5F2920FAF}"/>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0030586F-5B40-43EB-AD09-F3840F1C016C}"/>
    <cellStyle name="Normal 5 2 2 2 2 2 3 2 3" xfId="11574" xr:uid="{2A0E1A1F-335F-42B2-AA17-A846B2BCA479}"/>
    <cellStyle name="Normal 5 2 2 2 2 2 3 3" xfId="5197" xr:uid="{00000000-0005-0000-0000-000011170000}"/>
    <cellStyle name="Normal 5 2 2 2 2 2 3 3 2" xfId="13647" xr:uid="{412419F5-BDCB-4976-AF09-6992FC0A82AD}"/>
    <cellStyle name="Normal 5 2 2 2 2 2 3 4" xfId="9429" xr:uid="{EAA499F5-4CBF-4590-BEEA-5CE611D023A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EDF9B97A-6684-441F-93E7-DFA9D835C4C6}"/>
    <cellStyle name="Normal 5 2 2 2 2 2 4 2 3" xfId="11987" xr:uid="{8429A5FB-3EDD-4A30-8FEB-A5ED25F944AF}"/>
    <cellStyle name="Normal 5 2 2 2 2 2 4 3" xfId="5610" xr:uid="{00000000-0005-0000-0000-000015170000}"/>
    <cellStyle name="Normal 5 2 2 2 2 2 4 3 2" xfId="14060" xr:uid="{BD949EF5-B2F7-4CFF-9A47-B27184C81367}"/>
    <cellStyle name="Normal 5 2 2 2 2 2 4 4" xfId="9842" xr:uid="{1D2B71DC-F85A-4173-9565-9C5D732CA43E}"/>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8393C3A8-0473-407A-9E1D-F0137B5D4B3A}"/>
    <cellStyle name="Normal 5 2 2 2 2 2 5 2 3" xfId="12400" xr:uid="{EE188975-D491-46AA-A8B2-215447B2BC38}"/>
    <cellStyle name="Normal 5 2 2 2 2 2 5 3" xfId="6023" xr:uid="{00000000-0005-0000-0000-000019170000}"/>
    <cellStyle name="Normal 5 2 2 2 2 2 5 3 2" xfId="14473" xr:uid="{E7333C98-BF51-4CED-96DE-9A9CFA723154}"/>
    <cellStyle name="Normal 5 2 2 2 2 2 5 4" xfId="10255" xr:uid="{09CEC952-8303-41B0-AD95-0BC347764FD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0FE501B1-441F-4FDC-BF74-7329DE59A3D8}"/>
    <cellStyle name="Normal 5 2 2 2 2 2 6 2 3" xfId="12813" xr:uid="{D8DED34E-E9A3-470A-9B6B-136CFEE11239}"/>
    <cellStyle name="Normal 5 2 2 2 2 2 6 3" xfId="6436" xr:uid="{00000000-0005-0000-0000-00001D170000}"/>
    <cellStyle name="Normal 5 2 2 2 2 2 6 3 2" xfId="14886" xr:uid="{56022AEF-BE05-49F2-AF6C-EF2EA9828971}"/>
    <cellStyle name="Normal 5 2 2 2 2 2 6 4" xfId="10668" xr:uid="{F44D691B-9EDF-49C3-81E0-4F147C87B95A}"/>
    <cellStyle name="Normal 5 2 2 2 2 2 7" xfId="2566" xr:uid="{00000000-0005-0000-0000-00001E170000}"/>
    <cellStyle name="Normal 5 2 2 2 2 2 7 2" xfId="6849" xr:uid="{00000000-0005-0000-0000-00001F170000}"/>
    <cellStyle name="Normal 5 2 2 2 2 2 7 2 2" xfId="15299" xr:uid="{7DE2E355-94AA-44E8-9CA3-67609ECEE7AD}"/>
    <cellStyle name="Normal 5 2 2 2 2 2 7 3" xfId="11081" xr:uid="{E7F9ADC9-5689-4F76-B36F-EEF78618D4AA}"/>
    <cellStyle name="Normal 5 2 2 2 2 2 8" xfId="4784" xr:uid="{00000000-0005-0000-0000-000020170000}"/>
    <cellStyle name="Normal 5 2 2 2 2 2 8 2" xfId="13234" xr:uid="{3D4F0F99-1672-4CCE-9DB0-0BF7DF4F844D}"/>
    <cellStyle name="Normal 5 2 2 2 2 2 9" xfId="9016" xr:uid="{7F614884-532A-48B7-A16B-AA9B9D95948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D2B46855-DF4E-4DAF-9DEB-01EB6463CF79}"/>
    <cellStyle name="Normal 5 2 2 2 2 3 2 2 3" xfId="11576" xr:uid="{C820CAB3-3FC1-46C1-BB0B-ECD73DCC0776}"/>
    <cellStyle name="Normal 5 2 2 2 2 3 2 3" xfId="5199" xr:uid="{00000000-0005-0000-0000-000025170000}"/>
    <cellStyle name="Normal 5 2 2 2 2 3 2 3 2" xfId="13649" xr:uid="{653A3137-19D0-4F30-B319-2A9A5A236924}"/>
    <cellStyle name="Normal 5 2 2 2 2 3 2 4" xfId="9431" xr:uid="{F473E21F-7F80-46BA-A2CE-FE7614F6F32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9B74B353-168C-4E8E-970A-9312193EC7B8}"/>
    <cellStyle name="Normal 5 2 2 2 2 3 3 2 3" xfId="11989" xr:uid="{42B60C33-FD74-49BB-8C78-FA5B5DCE0087}"/>
    <cellStyle name="Normal 5 2 2 2 2 3 3 3" xfId="5612" xr:uid="{00000000-0005-0000-0000-000029170000}"/>
    <cellStyle name="Normal 5 2 2 2 2 3 3 3 2" xfId="14062" xr:uid="{BC851398-C022-42D8-9E62-9817BD579D41}"/>
    <cellStyle name="Normal 5 2 2 2 2 3 3 4" xfId="9844" xr:uid="{C948EB0A-E32E-4951-BA29-7449DDBFE413}"/>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89D33F3C-25B5-4FDC-AD5A-F72A3829CD38}"/>
    <cellStyle name="Normal 5 2 2 2 2 3 4 2 3" xfId="12402" xr:uid="{E8A61FE9-C29E-47A9-AC2C-E8DFA1CC6645}"/>
    <cellStyle name="Normal 5 2 2 2 2 3 4 3" xfId="6025" xr:uid="{00000000-0005-0000-0000-00002D170000}"/>
    <cellStyle name="Normal 5 2 2 2 2 3 4 3 2" xfId="14475" xr:uid="{0F457907-CB4E-4D77-A5DD-9180AD5D8B81}"/>
    <cellStyle name="Normal 5 2 2 2 2 3 4 4" xfId="10257" xr:uid="{87D68808-35FE-4645-B500-F9ED35572162}"/>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D6A37F42-4032-4B5C-8EF5-2854039B5216}"/>
    <cellStyle name="Normal 5 2 2 2 2 3 5 2 3" xfId="12815" xr:uid="{FA2408A5-7533-42B3-9615-188ACA3A8041}"/>
    <cellStyle name="Normal 5 2 2 2 2 3 5 3" xfId="6438" xr:uid="{00000000-0005-0000-0000-000031170000}"/>
    <cellStyle name="Normal 5 2 2 2 2 3 5 3 2" xfId="14888" xr:uid="{2439A086-E7B5-4827-8DA1-7903C9ED015E}"/>
    <cellStyle name="Normal 5 2 2 2 2 3 5 4" xfId="10670" xr:uid="{B45E4641-ACFA-4BF2-9CCF-917806D17666}"/>
    <cellStyle name="Normal 5 2 2 2 2 3 6" xfId="2568" xr:uid="{00000000-0005-0000-0000-000032170000}"/>
    <cellStyle name="Normal 5 2 2 2 2 3 6 2" xfId="6851" xr:uid="{00000000-0005-0000-0000-000033170000}"/>
    <cellStyle name="Normal 5 2 2 2 2 3 6 2 2" xfId="15301" xr:uid="{0060BBDA-0E7E-4185-BCCC-3B393BB9E84C}"/>
    <cellStyle name="Normal 5 2 2 2 2 3 6 3" xfId="11083" xr:uid="{8C4F162E-D460-4BF2-89C5-436CFC3B5464}"/>
    <cellStyle name="Normal 5 2 2 2 2 3 7" xfId="4786" xr:uid="{00000000-0005-0000-0000-000034170000}"/>
    <cellStyle name="Normal 5 2 2 2 2 3 7 2" xfId="13236" xr:uid="{5E8D96A9-50F6-4A1C-88A9-73FB4891CC5D}"/>
    <cellStyle name="Normal 5 2 2 2 2 3 8" xfId="9018" xr:uid="{79A2BD9C-F031-4662-835F-31F52E6555D5}"/>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8AF8B6E0-5FB1-4D1A-B467-3D78DDE968A0}"/>
    <cellStyle name="Normal 5 2 2 2 2 4 2 3" xfId="11573" xr:uid="{A6BE1E85-2FF9-4019-91FC-0FFF2A8A7029}"/>
    <cellStyle name="Normal 5 2 2 2 2 4 3" xfId="5196" xr:uid="{00000000-0005-0000-0000-000038170000}"/>
    <cellStyle name="Normal 5 2 2 2 2 4 3 2" xfId="13646" xr:uid="{42A74B55-864F-479B-898D-3D4424604EEA}"/>
    <cellStyle name="Normal 5 2 2 2 2 4 4" xfId="9428" xr:uid="{27C26664-9823-4D7B-8CCE-24F71034EE5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91671354-F0CE-4D4E-A409-E6A4057570B3}"/>
    <cellStyle name="Normal 5 2 2 2 2 5 2 3" xfId="11986" xr:uid="{7C163003-5478-450C-880D-B5F816D81749}"/>
    <cellStyle name="Normal 5 2 2 2 2 5 3" xfId="5609" xr:uid="{00000000-0005-0000-0000-00003C170000}"/>
    <cellStyle name="Normal 5 2 2 2 2 5 3 2" xfId="14059" xr:uid="{107C9F81-831E-420B-A15B-D934032912DC}"/>
    <cellStyle name="Normal 5 2 2 2 2 5 4" xfId="9841" xr:uid="{9FDE7E5C-BCC0-4398-A3FC-50BC9FA5E4FD}"/>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A23E547C-2AD7-4AC6-B74F-E4DBFEBB47C9}"/>
    <cellStyle name="Normal 5 2 2 2 2 6 2 3" xfId="12399" xr:uid="{80D0A4D9-AD9C-4F65-9F60-490DB89ACC8C}"/>
    <cellStyle name="Normal 5 2 2 2 2 6 3" xfId="6022" xr:uid="{00000000-0005-0000-0000-000040170000}"/>
    <cellStyle name="Normal 5 2 2 2 2 6 3 2" xfId="14472" xr:uid="{313524B8-954F-4B93-84D6-C07DAAE7BECE}"/>
    <cellStyle name="Normal 5 2 2 2 2 6 4" xfId="10254" xr:uid="{513A55B5-8C0F-4F6E-A376-E1A8E897DBD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AE9C86A6-DB4E-485C-A25E-8920325B2C2B}"/>
    <cellStyle name="Normal 5 2 2 2 2 7 2 3" xfId="12812" xr:uid="{3E4CB573-D642-4B05-998B-F360081D0F74}"/>
    <cellStyle name="Normal 5 2 2 2 2 7 3" xfId="6435" xr:uid="{00000000-0005-0000-0000-000044170000}"/>
    <cellStyle name="Normal 5 2 2 2 2 7 3 2" xfId="14885" xr:uid="{AB768AF3-FEE7-4491-BBFE-E76EF110A72E}"/>
    <cellStyle name="Normal 5 2 2 2 2 7 4" xfId="10667" xr:uid="{9BBC7D7E-B1E8-4370-8297-4E552AFB28DF}"/>
    <cellStyle name="Normal 5 2 2 2 2 8" xfId="2565" xr:uid="{00000000-0005-0000-0000-000045170000}"/>
    <cellStyle name="Normal 5 2 2 2 2 8 2" xfId="6848" xr:uid="{00000000-0005-0000-0000-000046170000}"/>
    <cellStyle name="Normal 5 2 2 2 2 8 2 2" xfId="15298" xr:uid="{310AAE76-29A8-44CC-A6B4-50C43567411D}"/>
    <cellStyle name="Normal 5 2 2 2 2 8 3" xfId="11080" xr:uid="{B0992357-CA5F-4F1E-8E59-B3A0EC4BBFB0}"/>
    <cellStyle name="Normal 5 2 2 2 2 9" xfId="4783" xr:uid="{00000000-0005-0000-0000-000047170000}"/>
    <cellStyle name="Normal 5 2 2 2 2 9 2" xfId="13233" xr:uid="{D333B4A4-E8B3-4BD4-86DF-777FD4A3CB5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D1CECDA1-6CA0-49A5-AFF1-CF4FE3E850E8}"/>
    <cellStyle name="Normal 5 2 2 2 3 2 2 2 3" xfId="11578" xr:uid="{63261E56-DAEF-4602-8F84-B4295C533820}"/>
    <cellStyle name="Normal 5 2 2 2 3 2 2 3" xfId="5201" xr:uid="{00000000-0005-0000-0000-00004D170000}"/>
    <cellStyle name="Normal 5 2 2 2 3 2 2 3 2" xfId="13651" xr:uid="{27BAD6F7-55AF-4678-837E-F78EC67F91A6}"/>
    <cellStyle name="Normal 5 2 2 2 3 2 2 4" xfId="9433" xr:uid="{900AA562-B4EB-4F49-B379-C7193A261014}"/>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388CB7E4-A9A3-41FA-B815-8FB14A3343B7}"/>
    <cellStyle name="Normal 5 2 2 2 3 2 3 2 3" xfId="11991" xr:uid="{34CC464A-8E49-401D-9944-B8C0D5FFBEA3}"/>
    <cellStyle name="Normal 5 2 2 2 3 2 3 3" xfId="5614" xr:uid="{00000000-0005-0000-0000-000051170000}"/>
    <cellStyle name="Normal 5 2 2 2 3 2 3 3 2" xfId="14064" xr:uid="{E34E305D-614E-412B-BB97-005E9357C5F3}"/>
    <cellStyle name="Normal 5 2 2 2 3 2 3 4" xfId="9846" xr:uid="{B7E77266-CC1C-418D-AF6F-67DDEB5F2803}"/>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F7ACA2D9-2EF0-47E2-90F6-B8EBBBCB3063}"/>
    <cellStyle name="Normal 5 2 2 2 3 2 4 2 3" xfId="12404" xr:uid="{4C1F4491-506A-45C8-847D-5A6A4DD03A63}"/>
    <cellStyle name="Normal 5 2 2 2 3 2 4 3" xfId="6027" xr:uid="{00000000-0005-0000-0000-000055170000}"/>
    <cellStyle name="Normal 5 2 2 2 3 2 4 3 2" xfId="14477" xr:uid="{43975F07-7601-4D2B-BF42-F84BBAB39065}"/>
    <cellStyle name="Normal 5 2 2 2 3 2 4 4" xfId="10259" xr:uid="{4E499FFA-8065-4140-B622-C9D7A4FDA568}"/>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AD34CDB3-737F-4F2F-B4D3-BF71CF09E870}"/>
    <cellStyle name="Normal 5 2 2 2 3 2 5 2 3" xfId="12817" xr:uid="{A65CD939-BF5C-486F-BFBA-2FCABC943E90}"/>
    <cellStyle name="Normal 5 2 2 2 3 2 5 3" xfId="6440" xr:uid="{00000000-0005-0000-0000-000059170000}"/>
    <cellStyle name="Normal 5 2 2 2 3 2 5 3 2" xfId="14890" xr:uid="{397B038F-7DB1-4E9E-A62A-B325DB6EFD88}"/>
    <cellStyle name="Normal 5 2 2 2 3 2 5 4" xfId="10672" xr:uid="{44F0F353-7148-4033-B49B-6782D9B2273D}"/>
    <cellStyle name="Normal 5 2 2 2 3 2 6" xfId="2570" xr:uid="{00000000-0005-0000-0000-00005A170000}"/>
    <cellStyle name="Normal 5 2 2 2 3 2 6 2" xfId="6853" xr:uid="{00000000-0005-0000-0000-00005B170000}"/>
    <cellStyle name="Normal 5 2 2 2 3 2 6 2 2" xfId="15303" xr:uid="{9D86A309-EACA-450D-9DAA-9308C38D05A4}"/>
    <cellStyle name="Normal 5 2 2 2 3 2 6 3" xfId="11085" xr:uid="{89E09018-568E-4815-80B2-4D8DC74B4265}"/>
    <cellStyle name="Normal 5 2 2 2 3 2 7" xfId="4788" xr:uid="{00000000-0005-0000-0000-00005C170000}"/>
    <cellStyle name="Normal 5 2 2 2 3 2 7 2" xfId="13238" xr:uid="{14F86A71-F4CB-4B44-B5FE-0D300481B832}"/>
    <cellStyle name="Normal 5 2 2 2 3 2 8" xfId="9020" xr:uid="{67D6FC35-64C8-43A8-8FE1-869385988DB5}"/>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F91FE753-C151-4AD3-812C-40328B69368C}"/>
    <cellStyle name="Normal 5 2 2 2 3 3 2 3" xfId="11577" xr:uid="{E37DAC6E-8FCD-4F9E-A562-8039B5B5A289}"/>
    <cellStyle name="Normal 5 2 2 2 3 3 3" xfId="5200" xr:uid="{00000000-0005-0000-0000-000060170000}"/>
    <cellStyle name="Normal 5 2 2 2 3 3 3 2" xfId="13650" xr:uid="{D253263C-5028-46F2-9C63-CB4A8F709CEC}"/>
    <cellStyle name="Normal 5 2 2 2 3 3 4" xfId="9432" xr:uid="{5F0A16AF-6589-4F9F-9932-E0732E2D18E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E4FA7209-9509-476B-9B34-87E09E075767}"/>
    <cellStyle name="Normal 5 2 2 2 3 4 2 3" xfId="11990" xr:uid="{9B7AFC50-67B3-4D05-91BE-2606B484A2B3}"/>
    <cellStyle name="Normal 5 2 2 2 3 4 3" xfId="5613" xr:uid="{00000000-0005-0000-0000-000064170000}"/>
    <cellStyle name="Normal 5 2 2 2 3 4 3 2" xfId="14063" xr:uid="{485B5F7B-7C24-42B7-BD99-76A758097EB1}"/>
    <cellStyle name="Normal 5 2 2 2 3 4 4" xfId="9845" xr:uid="{DBAB8B70-DC48-44BC-A5A2-E2DB36AE5A2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2C391512-A3C9-4CAF-B243-F34C0000767C}"/>
    <cellStyle name="Normal 5 2 2 2 3 5 2 3" xfId="12403" xr:uid="{FEC5EB9A-199D-46DA-AFAA-BBF819FDB10B}"/>
    <cellStyle name="Normal 5 2 2 2 3 5 3" xfId="6026" xr:uid="{00000000-0005-0000-0000-000068170000}"/>
    <cellStyle name="Normal 5 2 2 2 3 5 3 2" xfId="14476" xr:uid="{FD646DA0-BB20-44DB-B557-03206E13AF10}"/>
    <cellStyle name="Normal 5 2 2 2 3 5 4" xfId="10258" xr:uid="{8D6D35FA-83FC-450F-AF21-C825A1FB439B}"/>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09377142-6719-4C59-ADA2-C25E1A4E1BF9}"/>
    <cellStyle name="Normal 5 2 2 2 3 6 2 3" xfId="12816" xr:uid="{E154E3F6-273B-4BE7-9FC0-FC5131CB51C6}"/>
    <cellStyle name="Normal 5 2 2 2 3 6 3" xfId="6439" xr:uid="{00000000-0005-0000-0000-00006C170000}"/>
    <cellStyle name="Normal 5 2 2 2 3 6 3 2" xfId="14889" xr:uid="{2CB80824-B1DD-412B-A016-46FB9C4CAF16}"/>
    <cellStyle name="Normal 5 2 2 2 3 6 4" xfId="10671" xr:uid="{C44256B7-0567-4647-9375-8B45F86A788A}"/>
    <cellStyle name="Normal 5 2 2 2 3 7" xfId="2569" xr:uid="{00000000-0005-0000-0000-00006D170000}"/>
    <cellStyle name="Normal 5 2 2 2 3 7 2" xfId="6852" xr:uid="{00000000-0005-0000-0000-00006E170000}"/>
    <cellStyle name="Normal 5 2 2 2 3 7 2 2" xfId="15302" xr:uid="{DFC0B1E0-1A41-41F3-AAAE-3A0C2F6AD3CC}"/>
    <cellStyle name="Normal 5 2 2 2 3 7 3" xfId="11084" xr:uid="{A21E9E30-0CA6-415A-AA7E-9685E3641801}"/>
    <cellStyle name="Normal 5 2 2 2 3 8" xfId="4787" xr:uid="{00000000-0005-0000-0000-00006F170000}"/>
    <cellStyle name="Normal 5 2 2 2 3 8 2" xfId="13237" xr:uid="{57E826A2-D849-4B2E-AE71-0C5A0D102F75}"/>
    <cellStyle name="Normal 5 2 2 2 3 9" xfId="9019" xr:uid="{17C49C8D-B94E-453C-B1AE-2434F418F7A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1469227F-7E6A-4A91-87E9-CF58BE6A3149}"/>
    <cellStyle name="Normal 5 2 2 2 4 2 2 3" xfId="11579" xr:uid="{98BC1A97-9D7D-45A2-BC7D-415E8176A13D}"/>
    <cellStyle name="Normal 5 2 2 2 4 2 3" xfId="5202" xr:uid="{00000000-0005-0000-0000-000074170000}"/>
    <cellStyle name="Normal 5 2 2 2 4 2 3 2" xfId="13652" xr:uid="{083ADD12-E551-43F8-A650-9E4793A93006}"/>
    <cellStyle name="Normal 5 2 2 2 4 2 4" xfId="9434" xr:uid="{3A2BAE2B-3052-403D-9ED9-0C2492C8802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99D8A382-002D-4423-A171-093E9AABD956}"/>
    <cellStyle name="Normal 5 2 2 2 4 3 2 3" xfId="11992" xr:uid="{937B5211-C246-42BB-BCF8-23A6F2BBFEA0}"/>
    <cellStyle name="Normal 5 2 2 2 4 3 3" xfId="5615" xr:uid="{00000000-0005-0000-0000-000078170000}"/>
    <cellStyle name="Normal 5 2 2 2 4 3 3 2" xfId="14065" xr:uid="{D31CB65F-2B86-4761-AE34-49CE176A95FE}"/>
    <cellStyle name="Normal 5 2 2 2 4 3 4" xfId="9847" xr:uid="{64CBE065-1DC4-47CB-B795-AA22498F9E17}"/>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A43EB5FC-A47B-4066-8B8A-2D612D8E7B1D}"/>
    <cellStyle name="Normal 5 2 2 2 4 4 2 3" xfId="12405" xr:uid="{488E3C11-EB5B-45C5-97EE-A4BEE0039B2F}"/>
    <cellStyle name="Normal 5 2 2 2 4 4 3" xfId="6028" xr:uid="{00000000-0005-0000-0000-00007C170000}"/>
    <cellStyle name="Normal 5 2 2 2 4 4 3 2" xfId="14478" xr:uid="{D42C28E0-4542-4A2C-9989-6513FD848D22}"/>
    <cellStyle name="Normal 5 2 2 2 4 4 4" xfId="10260" xr:uid="{72BF9D40-23C1-4E75-84F8-B46FAB6C5BFE}"/>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F80ED2BE-5ECD-47B6-AFDB-F8ECED6E818A}"/>
    <cellStyle name="Normal 5 2 2 2 4 5 2 3" xfId="12818" xr:uid="{A5F08D70-4262-489B-A8D4-B86FD6F094B5}"/>
    <cellStyle name="Normal 5 2 2 2 4 5 3" xfId="6441" xr:uid="{00000000-0005-0000-0000-000080170000}"/>
    <cellStyle name="Normal 5 2 2 2 4 5 3 2" xfId="14891" xr:uid="{3F38BAA4-1279-4C13-BC90-A0A668BEF5E9}"/>
    <cellStyle name="Normal 5 2 2 2 4 5 4" xfId="10673" xr:uid="{FCE54DB2-6D1E-4E26-81BA-EE77B46B1ED7}"/>
    <cellStyle name="Normal 5 2 2 2 4 6" xfId="2571" xr:uid="{00000000-0005-0000-0000-000081170000}"/>
    <cellStyle name="Normal 5 2 2 2 4 6 2" xfId="6854" xr:uid="{00000000-0005-0000-0000-000082170000}"/>
    <cellStyle name="Normal 5 2 2 2 4 6 2 2" xfId="15304" xr:uid="{D40AFF53-E79D-4DFB-A337-8C58AAAE742B}"/>
    <cellStyle name="Normal 5 2 2 2 4 6 3" xfId="11086" xr:uid="{68B0C8FB-3BCE-4A26-B897-43E177CE4F33}"/>
    <cellStyle name="Normal 5 2 2 2 4 7" xfId="4789" xr:uid="{00000000-0005-0000-0000-000083170000}"/>
    <cellStyle name="Normal 5 2 2 2 4 7 2" xfId="13239" xr:uid="{92D54A57-3F15-464A-9045-F86819DE881F}"/>
    <cellStyle name="Normal 5 2 2 2 4 8" xfId="9021" xr:uid="{C602C738-0CB1-4CF8-8CF9-172E7DE3590E}"/>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F9D2ADA9-062C-4ADB-A749-AE8BD6E9A2CE}"/>
    <cellStyle name="Normal 5 2 2 2 5 2 3" xfId="11572" xr:uid="{105177FB-CB9F-4CF6-80B1-A5262D06C48D}"/>
    <cellStyle name="Normal 5 2 2 2 5 3" xfId="5195" xr:uid="{00000000-0005-0000-0000-000087170000}"/>
    <cellStyle name="Normal 5 2 2 2 5 3 2" xfId="13645" xr:uid="{19FB9E79-1172-4025-A8D0-55D40863293C}"/>
    <cellStyle name="Normal 5 2 2 2 5 4" xfId="9427" xr:uid="{4A1002BB-BC44-441E-B87C-55EF0FBEBE3E}"/>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B0F8D47A-61D8-4935-9346-B7EF4D64EB51}"/>
    <cellStyle name="Normal 5 2 2 2 6 2 3" xfId="11985" xr:uid="{7A8A984F-F9C9-4383-A622-92A4832348D4}"/>
    <cellStyle name="Normal 5 2 2 2 6 3" xfId="5608" xr:uid="{00000000-0005-0000-0000-00008B170000}"/>
    <cellStyle name="Normal 5 2 2 2 6 3 2" xfId="14058" xr:uid="{C8B36883-075C-4B4E-9E71-0D5A95203F34}"/>
    <cellStyle name="Normal 5 2 2 2 6 4" xfId="9840" xr:uid="{09B23254-8A92-4308-8A24-043D49372FD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B655C3E1-1138-4830-BEE1-0E9465ED861B}"/>
    <cellStyle name="Normal 5 2 2 2 7 2 3" xfId="12398" xr:uid="{600DB748-8629-4F67-AB5D-E2A88DA436C0}"/>
    <cellStyle name="Normal 5 2 2 2 7 3" xfId="6021" xr:uid="{00000000-0005-0000-0000-00008F170000}"/>
    <cellStyle name="Normal 5 2 2 2 7 3 2" xfId="14471" xr:uid="{C41D4F73-1522-4C3C-9198-EEF041EBA9A4}"/>
    <cellStyle name="Normal 5 2 2 2 7 4" xfId="10253" xr:uid="{00AC53CD-39C9-43A3-8BD5-6EF02B853589}"/>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76585612-092A-4936-B8C5-B5EBA5AEBAFD}"/>
    <cellStyle name="Normal 5 2 2 2 8 2 3" xfId="12811" xr:uid="{1AA608EB-C51D-4554-B3F1-B76C1453CEA1}"/>
    <cellStyle name="Normal 5 2 2 2 8 3" xfId="6434" xr:uid="{00000000-0005-0000-0000-000093170000}"/>
    <cellStyle name="Normal 5 2 2 2 8 3 2" xfId="14884" xr:uid="{992531B2-1884-472C-8F49-7D03EF66D980}"/>
    <cellStyle name="Normal 5 2 2 2 8 4" xfId="10666" xr:uid="{0AFEA681-C59F-4144-AC47-16AA18605D41}"/>
    <cellStyle name="Normal 5 2 2 2 9" xfId="2564" xr:uid="{00000000-0005-0000-0000-000094170000}"/>
    <cellStyle name="Normal 5 2 2 2 9 2" xfId="6847" xr:uid="{00000000-0005-0000-0000-000095170000}"/>
    <cellStyle name="Normal 5 2 2 2 9 2 2" xfId="15297" xr:uid="{ACC20C57-823C-4629-8F26-BAB501E09C83}"/>
    <cellStyle name="Normal 5 2 2 2 9 3" xfId="11079" xr:uid="{DD92C777-A32A-4680-B712-07B96F1785B9}"/>
    <cellStyle name="Normal 5 2 2 3" xfId="417" xr:uid="{00000000-0005-0000-0000-000096170000}"/>
    <cellStyle name="Normal 5 2 2 3 10" xfId="9022" xr:uid="{B4CB8779-4247-4D25-A2CF-4E343D3DAE3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ECAED24D-1C71-4AA5-95B2-B360EDA434B7}"/>
    <cellStyle name="Normal 5 2 2 3 2 2 2 2 3" xfId="11582" xr:uid="{DEF641B0-A096-4992-89F7-129F0D47BC0C}"/>
    <cellStyle name="Normal 5 2 2 3 2 2 2 3" xfId="5205" xr:uid="{00000000-0005-0000-0000-00009C170000}"/>
    <cellStyle name="Normal 5 2 2 3 2 2 2 3 2" xfId="13655" xr:uid="{F98D14B3-BFE3-4751-9D29-C42ECEC0FC09}"/>
    <cellStyle name="Normal 5 2 2 3 2 2 2 4" xfId="9437" xr:uid="{A3535329-0C2D-47C8-A367-4F4C6021C9D1}"/>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FA3E602C-6FC1-4ABD-B0D6-2603E9BA1E59}"/>
    <cellStyle name="Normal 5 2 2 3 2 2 3 2 3" xfId="11995" xr:uid="{81E1B940-8619-40F1-B62B-0625D37BF9A1}"/>
    <cellStyle name="Normal 5 2 2 3 2 2 3 3" xfId="5618" xr:uid="{00000000-0005-0000-0000-0000A0170000}"/>
    <cellStyle name="Normal 5 2 2 3 2 2 3 3 2" xfId="14068" xr:uid="{6BF4F52B-7816-47DC-A693-947F221B6C79}"/>
    <cellStyle name="Normal 5 2 2 3 2 2 3 4" xfId="9850" xr:uid="{530DF245-3452-438B-84FC-2451F52AC64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C96EAA7F-3AF7-4392-9580-CC28062F6975}"/>
    <cellStyle name="Normal 5 2 2 3 2 2 4 2 3" xfId="12408" xr:uid="{129A90A3-AB48-488F-941D-02DE546A7D6D}"/>
    <cellStyle name="Normal 5 2 2 3 2 2 4 3" xfId="6031" xr:uid="{00000000-0005-0000-0000-0000A4170000}"/>
    <cellStyle name="Normal 5 2 2 3 2 2 4 3 2" xfId="14481" xr:uid="{5A8F3E80-A250-41E1-A492-42C5D992BF81}"/>
    <cellStyle name="Normal 5 2 2 3 2 2 4 4" xfId="10263" xr:uid="{A6006276-8935-4137-B84F-9E07D9FF8DB5}"/>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A6BAE4A5-5B58-4404-A6FC-584892D7EC1A}"/>
    <cellStyle name="Normal 5 2 2 3 2 2 5 2 3" xfId="12821" xr:uid="{74B6CBE4-5096-4074-BDB7-FE374F2DD8E8}"/>
    <cellStyle name="Normal 5 2 2 3 2 2 5 3" xfId="6444" xr:uid="{00000000-0005-0000-0000-0000A8170000}"/>
    <cellStyle name="Normal 5 2 2 3 2 2 5 3 2" xfId="14894" xr:uid="{11AAE913-DE8E-451D-B820-20950B25CA6C}"/>
    <cellStyle name="Normal 5 2 2 3 2 2 5 4" xfId="10676" xr:uid="{522D13AE-BACE-4E07-84CB-2AE5150DE688}"/>
    <cellStyle name="Normal 5 2 2 3 2 2 6" xfId="2574" xr:uid="{00000000-0005-0000-0000-0000A9170000}"/>
    <cellStyle name="Normal 5 2 2 3 2 2 6 2" xfId="6857" xr:uid="{00000000-0005-0000-0000-0000AA170000}"/>
    <cellStyle name="Normal 5 2 2 3 2 2 6 2 2" xfId="15307" xr:uid="{83195A73-15D3-42BF-8B2B-B6FA750BE01E}"/>
    <cellStyle name="Normal 5 2 2 3 2 2 6 3" xfId="11089" xr:uid="{4CD37A59-4568-4022-8CE8-93998C703D02}"/>
    <cellStyle name="Normal 5 2 2 3 2 2 7" xfId="4792" xr:uid="{00000000-0005-0000-0000-0000AB170000}"/>
    <cellStyle name="Normal 5 2 2 3 2 2 7 2" xfId="13242" xr:uid="{6172C038-620F-4505-8E94-595AD7ED48A3}"/>
    <cellStyle name="Normal 5 2 2 3 2 2 8" xfId="9024" xr:uid="{FDB903E7-4023-4C3E-8737-5D81D4B3A39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8835FE90-FD1D-4D50-B9DF-47C8F22A1947}"/>
    <cellStyle name="Normal 5 2 2 3 2 3 2 3" xfId="11581" xr:uid="{936053CC-01DF-4659-B130-CB067E76A4D8}"/>
    <cellStyle name="Normal 5 2 2 3 2 3 3" xfId="5204" xr:uid="{00000000-0005-0000-0000-0000AF170000}"/>
    <cellStyle name="Normal 5 2 2 3 2 3 3 2" xfId="13654" xr:uid="{2266825D-E6A8-46AB-AED1-800048A801E6}"/>
    <cellStyle name="Normal 5 2 2 3 2 3 4" xfId="9436" xr:uid="{7793BA3F-9CBF-40D5-AF29-00EE8F5A9505}"/>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843E48F4-8936-4E7A-A6B3-B9F0685ABEAD}"/>
    <cellStyle name="Normal 5 2 2 3 2 4 2 3" xfId="11994" xr:uid="{16753350-57CF-46DD-AB8E-F26AC5B645AF}"/>
    <cellStyle name="Normal 5 2 2 3 2 4 3" xfId="5617" xr:uid="{00000000-0005-0000-0000-0000B3170000}"/>
    <cellStyle name="Normal 5 2 2 3 2 4 3 2" xfId="14067" xr:uid="{CFCE9144-E8F5-49E6-98D6-A4BA2B61188F}"/>
    <cellStyle name="Normal 5 2 2 3 2 4 4" xfId="9849" xr:uid="{78438A70-8AC0-4AC7-B68B-8CAC8EE1DBE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409652EF-53C1-4527-9B54-D8946AF0955A}"/>
    <cellStyle name="Normal 5 2 2 3 2 5 2 3" xfId="12407" xr:uid="{D1A92161-D23A-42E2-87A8-4B2F0D976573}"/>
    <cellStyle name="Normal 5 2 2 3 2 5 3" xfId="6030" xr:uid="{00000000-0005-0000-0000-0000B7170000}"/>
    <cellStyle name="Normal 5 2 2 3 2 5 3 2" xfId="14480" xr:uid="{43DA1905-5F62-4C9F-B8B7-EFFED12ED40B}"/>
    <cellStyle name="Normal 5 2 2 3 2 5 4" xfId="10262" xr:uid="{FE0745EE-F044-4FD5-9DF5-2F5B9E44E0BD}"/>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71C0EED8-CA14-449E-AB59-C4D182920D2D}"/>
    <cellStyle name="Normal 5 2 2 3 2 6 2 3" xfId="12820" xr:uid="{4480F703-A6AC-4D30-AC91-D4B37900FB60}"/>
    <cellStyle name="Normal 5 2 2 3 2 6 3" xfId="6443" xr:uid="{00000000-0005-0000-0000-0000BB170000}"/>
    <cellStyle name="Normal 5 2 2 3 2 6 3 2" xfId="14893" xr:uid="{3E6266CB-9823-441D-9F45-38AAA45160CF}"/>
    <cellStyle name="Normal 5 2 2 3 2 6 4" xfId="10675" xr:uid="{E8907D45-9BDB-4984-AB8E-7D483252B6C9}"/>
    <cellStyle name="Normal 5 2 2 3 2 7" xfId="2573" xr:uid="{00000000-0005-0000-0000-0000BC170000}"/>
    <cellStyle name="Normal 5 2 2 3 2 7 2" xfId="6856" xr:uid="{00000000-0005-0000-0000-0000BD170000}"/>
    <cellStyle name="Normal 5 2 2 3 2 7 2 2" xfId="15306" xr:uid="{09861060-6FB9-47E0-9BE1-15AF63EFCC3E}"/>
    <cellStyle name="Normal 5 2 2 3 2 7 3" xfId="11088" xr:uid="{35A9BE3F-63FA-4E14-B25E-C79D643DFD66}"/>
    <cellStyle name="Normal 5 2 2 3 2 8" xfId="4791" xr:uid="{00000000-0005-0000-0000-0000BE170000}"/>
    <cellStyle name="Normal 5 2 2 3 2 8 2" xfId="13241" xr:uid="{44F9AFC5-682B-45D9-BFA2-BF57F89F52D6}"/>
    <cellStyle name="Normal 5 2 2 3 2 9" xfId="9023" xr:uid="{81EB559E-2840-47BD-B731-6E8513EED895}"/>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2B2D40B6-D2CF-4644-A0C1-7296737C42DA}"/>
    <cellStyle name="Normal 5 2 2 3 3 2 2 3" xfId="11583" xr:uid="{E4FF8A77-4FB7-4ADC-AC63-3F94BD4E2065}"/>
    <cellStyle name="Normal 5 2 2 3 3 2 3" xfId="5206" xr:uid="{00000000-0005-0000-0000-0000C3170000}"/>
    <cellStyle name="Normal 5 2 2 3 3 2 3 2" xfId="13656" xr:uid="{F666530D-8DF0-476B-8E5D-54F8268141A1}"/>
    <cellStyle name="Normal 5 2 2 3 3 2 4" xfId="9438" xr:uid="{18A9210A-3B0B-42B8-A760-3C634D79C44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31A4566B-57E6-4994-B3F7-C751C931B1B7}"/>
    <cellStyle name="Normal 5 2 2 3 3 3 2 3" xfId="11996" xr:uid="{BEDBC617-3826-41B0-ADE2-79E852EE9168}"/>
    <cellStyle name="Normal 5 2 2 3 3 3 3" xfId="5619" xr:uid="{00000000-0005-0000-0000-0000C7170000}"/>
    <cellStyle name="Normal 5 2 2 3 3 3 3 2" xfId="14069" xr:uid="{D130F4E9-C8FA-47F6-8FF0-CEED84B05EC5}"/>
    <cellStyle name="Normal 5 2 2 3 3 3 4" xfId="9851" xr:uid="{12FA91C8-DAB5-49AE-B23A-0A1C0FDBC53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709A6873-CF02-4391-87DB-5D883B28344A}"/>
    <cellStyle name="Normal 5 2 2 3 3 4 2 3" xfId="12409" xr:uid="{FD8781DA-33E6-4A4F-B472-254181557484}"/>
    <cellStyle name="Normal 5 2 2 3 3 4 3" xfId="6032" xr:uid="{00000000-0005-0000-0000-0000CB170000}"/>
    <cellStyle name="Normal 5 2 2 3 3 4 3 2" xfId="14482" xr:uid="{1F1A04BF-D540-4E57-BCE7-5F6944C4AD07}"/>
    <cellStyle name="Normal 5 2 2 3 3 4 4" xfId="10264" xr:uid="{664FF816-AB70-4D79-8B4E-3E661B5DB43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10D0B79F-0E9B-4DE9-8C8E-11162738321D}"/>
    <cellStyle name="Normal 5 2 2 3 3 5 2 3" xfId="12822" xr:uid="{EA6CCF2F-1AFF-45BE-8071-7242064D2193}"/>
    <cellStyle name="Normal 5 2 2 3 3 5 3" xfId="6445" xr:uid="{00000000-0005-0000-0000-0000CF170000}"/>
    <cellStyle name="Normal 5 2 2 3 3 5 3 2" xfId="14895" xr:uid="{12D488EE-A38A-46D6-AD11-C07B0FEAF9C8}"/>
    <cellStyle name="Normal 5 2 2 3 3 5 4" xfId="10677" xr:uid="{DA415DB0-D5DB-4C9C-AB2A-EB46375B8A7E}"/>
    <cellStyle name="Normal 5 2 2 3 3 6" xfId="2575" xr:uid="{00000000-0005-0000-0000-0000D0170000}"/>
    <cellStyle name="Normal 5 2 2 3 3 6 2" xfId="6858" xr:uid="{00000000-0005-0000-0000-0000D1170000}"/>
    <cellStyle name="Normal 5 2 2 3 3 6 2 2" xfId="15308" xr:uid="{5FC7A3B9-8498-4624-BFA8-15BE2FE54E08}"/>
    <cellStyle name="Normal 5 2 2 3 3 6 3" xfId="11090" xr:uid="{BD610572-1A88-4FF2-8951-C1ECBEA95028}"/>
    <cellStyle name="Normal 5 2 2 3 3 7" xfId="4793" xr:uid="{00000000-0005-0000-0000-0000D2170000}"/>
    <cellStyle name="Normal 5 2 2 3 3 7 2" xfId="13243" xr:uid="{13E7ED82-68BE-4D84-A772-C3F08743A6F5}"/>
    <cellStyle name="Normal 5 2 2 3 3 8" xfId="9025" xr:uid="{A78AEA90-5894-4B0C-8E54-D73FD5561F28}"/>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295BD400-F4B0-4B00-BBEF-0E01F2DD70F8}"/>
    <cellStyle name="Normal 5 2 2 3 4 2 3" xfId="11580" xr:uid="{0351F840-257B-40D9-9472-DFBF778C7398}"/>
    <cellStyle name="Normal 5 2 2 3 4 3" xfId="5203" xr:uid="{00000000-0005-0000-0000-0000D6170000}"/>
    <cellStyle name="Normal 5 2 2 3 4 3 2" xfId="13653" xr:uid="{3306A659-1E95-4EC5-B20B-4A605993FDF5}"/>
    <cellStyle name="Normal 5 2 2 3 4 4" xfId="9435" xr:uid="{F7BD9C45-B842-4D2F-8D32-12DBD98D851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C53D78FE-864A-44E6-9F14-10D5A1CF2A33}"/>
    <cellStyle name="Normal 5 2 2 3 5 2 3" xfId="11993" xr:uid="{01EFAD74-3537-4584-83BE-9620E382F222}"/>
    <cellStyle name="Normal 5 2 2 3 5 3" xfId="5616" xr:uid="{00000000-0005-0000-0000-0000DA170000}"/>
    <cellStyle name="Normal 5 2 2 3 5 3 2" xfId="14066" xr:uid="{B9A1C6CF-FA76-40BC-BD15-1317A682330F}"/>
    <cellStyle name="Normal 5 2 2 3 5 4" xfId="9848" xr:uid="{7565D2BE-BBD4-4C16-A01B-C346429DBDD4}"/>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A6F34FAC-0D70-489F-AA84-7284A2760747}"/>
    <cellStyle name="Normal 5 2 2 3 6 2 3" xfId="12406" xr:uid="{43C61A1F-EA6C-49BC-AAFD-E8ABB972D14F}"/>
    <cellStyle name="Normal 5 2 2 3 6 3" xfId="6029" xr:uid="{00000000-0005-0000-0000-0000DE170000}"/>
    <cellStyle name="Normal 5 2 2 3 6 3 2" xfId="14479" xr:uid="{72B755AB-E7CF-4A67-B971-A03006882145}"/>
    <cellStyle name="Normal 5 2 2 3 6 4" xfId="10261" xr:uid="{083AF2AE-11E4-4E2B-8BFC-28AB9D450BF9}"/>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4F0CCF62-D10F-4839-B731-51CFEBD6012A}"/>
    <cellStyle name="Normal 5 2 2 3 7 2 3" xfId="12819" xr:uid="{DF2E8B5F-BD9B-4E42-9C88-3CAF70F03372}"/>
    <cellStyle name="Normal 5 2 2 3 7 3" xfId="6442" xr:uid="{00000000-0005-0000-0000-0000E2170000}"/>
    <cellStyle name="Normal 5 2 2 3 7 3 2" xfId="14892" xr:uid="{CFF3F017-5771-4992-A733-9FEC1843C153}"/>
    <cellStyle name="Normal 5 2 2 3 7 4" xfId="10674" xr:uid="{16E2D3D4-0699-420F-A44C-12D77469191C}"/>
    <cellStyle name="Normal 5 2 2 3 8" xfId="2572" xr:uid="{00000000-0005-0000-0000-0000E3170000}"/>
    <cellStyle name="Normal 5 2 2 3 8 2" xfId="6855" xr:uid="{00000000-0005-0000-0000-0000E4170000}"/>
    <cellStyle name="Normal 5 2 2 3 8 2 2" xfId="15305" xr:uid="{B58727EF-75B4-4227-B62B-16B5AF3A3446}"/>
    <cellStyle name="Normal 5 2 2 3 8 3" xfId="11087" xr:uid="{3E1EA6A8-4549-4CE8-8C15-3F6798348353}"/>
    <cellStyle name="Normal 5 2 2 3 9" xfId="4790" xr:uid="{00000000-0005-0000-0000-0000E5170000}"/>
    <cellStyle name="Normal 5 2 2 3 9 2" xfId="13240" xr:uid="{2A22E66F-9FAF-4309-9E62-75CD9ECFC62D}"/>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7CF4F794-D171-437A-BC52-1D58DCCF21CA}"/>
    <cellStyle name="Normal 5 2 2 4 2 2 2 3" xfId="11585" xr:uid="{A8E1BCB6-40B8-4F86-8EB7-E0EA6694CA90}"/>
    <cellStyle name="Normal 5 2 2 4 2 2 3" xfId="5208" xr:uid="{00000000-0005-0000-0000-0000EB170000}"/>
    <cellStyle name="Normal 5 2 2 4 2 2 3 2" xfId="13658" xr:uid="{4D231287-BEA4-4453-83C5-4B105EB58E92}"/>
    <cellStyle name="Normal 5 2 2 4 2 2 4" xfId="9440" xr:uid="{DF885F6A-1CB7-4FC0-934B-2453A02DD129}"/>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276B5481-B91A-4060-A179-902E4677AA06}"/>
    <cellStyle name="Normal 5 2 2 4 2 3 2 3" xfId="11998" xr:uid="{CCFCE9FD-3BE4-4EF0-B44E-CF27D40C04E3}"/>
    <cellStyle name="Normal 5 2 2 4 2 3 3" xfId="5621" xr:uid="{00000000-0005-0000-0000-0000EF170000}"/>
    <cellStyle name="Normal 5 2 2 4 2 3 3 2" xfId="14071" xr:uid="{75423E9A-C898-4DC9-938F-E9B8FAC67D1F}"/>
    <cellStyle name="Normal 5 2 2 4 2 3 4" xfId="9853" xr:uid="{B50211DB-79C1-46F6-9CC3-CF68B9BADFB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FD8273D2-4D32-4AEE-A87A-41178F214BB9}"/>
    <cellStyle name="Normal 5 2 2 4 2 4 2 3" xfId="12411" xr:uid="{070D51A2-D605-442E-A577-A77F034410CA}"/>
    <cellStyle name="Normal 5 2 2 4 2 4 3" xfId="6034" xr:uid="{00000000-0005-0000-0000-0000F3170000}"/>
    <cellStyle name="Normal 5 2 2 4 2 4 3 2" xfId="14484" xr:uid="{C9792E26-4B81-42B3-AD39-E08D8E996160}"/>
    <cellStyle name="Normal 5 2 2 4 2 4 4" xfId="10266" xr:uid="{E2EC6721-13CD-48C2-B35C-9CDFF54FAAF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9C01C9EB-ACA6-44D7-9214-17C3169DCFF2}"/>
    <cellStyle name="Normal 5 2 2 4 2 5 2 3" xfId="12824" xr:uid="{21868A6D-6680-4E0C-9D38-C02E3A8D52A2}"/>
    <cellStyle name="Normal 5 2 2 4 2 5 3" xfId="6447" xr:uid="{00000000-0005-0000-0000-0000F7170000}"/>
    <cellStyle name="Normal 5 2 2 4 2 5 3 2" xfId="14897" xr:uid="{DDC7B47A-97B7-4252-B40B-F5886771416C}"/>
    <cellStyle name="Normal 5 2 2 4 2 5 4" xfId="10679" xr:uid="{79854376-402A-4239-8E58-59E5491FE05C}"/>
    <cellStyle name="Normal 5 2 2 4 2 6" xfId="2577" xr:uid="{00000000-0005-0000-0000-0000F8170000}"/>
    <cellStyle name="Normal 5 2 2 4 2 6 2" xfId="6860" xr:uid="{00000000-0005-0000-0000-0000F9170000}"/>
    <cellStyle name="Normal 5 2 2 4 2 6 2 2" xfId="15310" xr:uid="{48172143-F43B-4746-96CF-4E1FC5489EDF}"/>
    <cellStyle name="Normal 5 2 2 4 2 6 3" xfId="11092" xr:uid="{270B71D4-FB60-4363-8FAD-A1FC77105070}"/>
    <cellStyle name="Normal 5 2 2 4 2 7" xfId="4795" xr:uid="{00000000-0005-0000-0000-0000FA170000}"/>
    <cellStyle name="Normal 5 2 2 4 2 7 2" xfId="13245" xr:uid="{477971CF-48E9-4E88-B532-CC3E32CFC3C7}"/>
    <cellStyle name="Normal 5 2 2 4 2 8" xfId="9027" xr:uid="{91E67860-F8D8-4055-AAAD-8DCBF6A48C22}"/>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A8B06DF4-8E5D-409D-9EE2-9F9D0920517D}"/>
    <cellStyle name="Normal 5 2 2 4 3 2 3" xfId="11584" xr:uid="{1CB6F48A-E5FE-4F9D-80F1-D0F6AD61664D}"/>
    <cellStyle name="Normal 5 2 2 4 3 3" xfId="5207" xr:uid="{00000000-0005-0000-0000-0000FE170000}"/>
    <cellStyle name="Normal 5 2 2 4 3 3 2" xfId="13657" xr:uid="{4735CDB0-4D57-4BA1-ACDD-48EA0C9BA36D}"/>
    <cellStyle name="Normal 5 2 2 4 3 4" xfId="9439" xr:uid="{5515868A-01B3-4E9B-9BD6-3D9E71D5C02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9CB164A6-56DC-44EC-8E63-EA9483D2BDDB}"/>
    <cellStyle name="Normal 5 2 2 4 4 2 3" xfId="11997" xr:uid="{848D7EB0-E941-4AB4-89D7-036FF136488A}"/>
    <cellStyle name="Normal 5 2 2 4 4 3" xfId="5620" xr:uid="{00000000-0005-0000-0000-000002180000}"/>
    <cellStyle name="Normal 5 2 2 4 4 3 2" xfId="14070" xr:uid="{B03A3F58-EE6C-4998-A68B-ADE423115BE3}"/>
    <cellStyle name="Normal 5 2 2 4 4 4" xfId="9852" xr:uid="{2ED8DBB0-C964-4B26-BFF7-057CB2C6DF3D}"/>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555D492A-7721-414E-B65F-7F312628DEA6}"/>
    <cellStyle name="Normal 5 2 2 4 5 2 3" xfId="12410" xr:uid="{A7FF9E03-CEC8-4504-B798-DD628E554E18}"/>
    <cellStyle name="Normal 5 2 2 4 5 3" xfId="6033" xr:uid="{00000000-0005-0000-0000-000006180000}"/>
    <cellStyle name="Normal 5 2 2 4 5 3 2" xfId="14483" xr:uid="{90F3DDF7-2DC4-4C22-AC79-F87128D05055}"/>
    <cellStyle name="Normal 5 2 2 4 5 4" xfId="10265" xr:uid="{AD3DABF1-9D53-4658-940F-980F934DE79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0BD87F62-DA3E-4F47-A67D-5C0A302B57DF}"/>
    <cellStyle name="Normal 5 2 2 4 6 2 3" xfId="12823" xr:uid="{325ACC05-7F94-4568-8848-8EB474134207}"/>
    <cellStyle name="Normal 5 2 2 4 6 3" xfId="6446" xr:uid="{00000000-0005-0000-0000-00000A180000}"/>
    <cellStyle name="Normal 5 2 2 4 6 3 2" xfId="14896" xr:uid="{596D0E6F-3847-4F84-AAAC-1DD9899D58E6}"/>
    <cellStyle name="Normal 5 2 2 4 6 4" xfId="10678" xr:uid="{BCADA175-DD6C-43EF-9019-0593FD6965D7}"/>
    <cellStyle name="Normal 5 2 2 4 7" xfId="2576" xr:uid="{00000000-0005-0000-0000-00000B180000}"/>
    <cellStyle name="Normal 5 2 2 4 7 2" xfId="6859" xr:uid="{00000000-0005-0000-0000-00000C180000}"/>
    <cellStyle name="Normal 5 2 2 4 7 2 2" xfId="15309" xr:uid="{A9313BF8-DBC1-4952-A22C-5B0FF874AF0E}"/>
    <cellStyle name="Normal 5 2 2 4 7 3" xfId="11091" xr:uid="{B97ABB62-2110-4951-86FD-EB6318971CBA}"/>
    <cellStyle name="Normal 5 2 2 4 8" xfId="4794" xr:uid="{00000000-0005-0000-0000-00000D180000}"/>
    <cellStyle name="Normal 5 2 2 4 8 2" xfId="13244" xr:uid="{BD381892-8001-43CD-BD39-ED67D2EEE03E}"/>
    <cellStyle name="Normal 5 2 2 4 9" xfId="9026" xr:uid="{027683F9-9641-4DDF-AFF0-F6A60FFD79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660EA06B-13A5-4CF0-B8CC-7C0E8873CC25}"/>
    <cellStyle name="Normal 5 2 2 5 2 2 3" xfId="11586" xr:uid="{39BE3537-E024-4089-BA7B-6D3A95230FB0}"/>
    <cellStyle name="Normal 5 2 2 5 2 3" xfId="5209" xr:uid="{00000000-0005-0000-0000-000012180000}"/>
    <cellStyle name="Normal 5 2 2 5 2 3 2" xfId="13659" xr:uid="{C09EB834-5A80-45D0-B78F-96CFC7BC0D86}"/>
    <cellStyle name="Normal 5 2 2 5 2 4" xfId="9441" xr:uid="{037E4B89-247F-4B00-A032-53A4CC52F26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B7361CB1-9A7D-4F17-A53F-8C5C598CFDF5}"/>
    <cellStyle name="Normal 5 2 2 5 3 2 3" xfId="11999" xr:uid="{B0E83F39-F3DF-4E6E-B93F-3494512FD86C}"/>
    <cellStyle name="Normal 5 2 2 5 3 3" xfId="5622" xr:uid="{00000000-0005-0000-0000-000016180000}"/>
    <cellStyle name="Normal 5 2 2 5 3 3 2" xfId="14072" xr:uid="{86E61646-0DA3-44A0-8B75-6C741818F76C}"/>
    <cellStyle name="Normal 5 2 2 5 3 4" xfId="9854" xr:uid="{E5C2DE4F-4210-4CDB-A024-099E3EC09815}"/>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90FF91A2-DA8F-468C-849D-78BE295B3BEF}"/>
    <cellStyle name="Normal 5 2 2 5 4 2 3" xfId="12412" xr:uid="{341BFF5C-EC48-4856-9A69-0DE84D2C2794}"/>
    <cellStyle name="Normal 5 2 2 5 4 3" xfId="6035" xr:uid="{00000000-0005-0000-0000-00001A180000}"/>
    <cellStyle name="Normal 5 2 2 5 4 3 2" xfId="14485" xr:uid="{D89F1E73-8AA6-4FA4-92ED-343DBDDFA063}"/>
    <cellStyle name="Normal 5 2 2 5 4 4" xfId="10267" xr:uid="{6BEB3DC1-746E-4853-B0E8-D07A565364C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BA77729A-F061-4562-9D2F-922939DA5A9E}"/>
    <cellStyle name="Normal 5 2 2 5 5 2 3" xfId="12825" xr:uid="{EE105CEC-8F51-4B77-A9A3-3571FE2DE78F}"/>
    <cellStyle name="Normal 5 2 2 5 5 3" xfId="6448" xr:uid="{00000000-0005-0000-0000-00001E180000}"/>
    <cellStyle name="Normal 5 2 2 5 5 3 2" xfId="14898" xr:uid="{37B09712-9A35-4649-98BB-96AAD11DBA01}"/>
    <cellStyle name="Normal 5 2 2 5 5 4" xfId="10680" xr:uid="{8702F59A-69DF-430C-9CB1-ED18AB88284D}"/>
    <cellStyle name="Normal 5 2 2 5 6" xfId="2578" xr:uid="{00000000-0005-0000-0000-00001F180000}"/>
    <cellStyle name="Normal 5 2 2 5 6 2" xfId="6861" xr:uid="{00000000-0005-0000-0000-000020180000}"/>
    <cellStyle name="Normal 5 2 2 5 6 2 2" xfId="15311" xr:uid="{D724F499-4E0E-4306-96AF-0A42AA9019DD}"/>
    <cellStyle name="Normal 5 2 2 5 6 3" xfId="11093" xr:uid="{DEB9AE72-3A93-4834-BB44-80785E2663F6}"/>
    <cellStyle name="Normal 5 2 2 5 7" xfId="4796" xr:uid="{00000000-0005-0000-0000-000021180000}"/>
    <cellStyle name="Normal 5 2 2 5 7 2" xfId="13246" xr:uid="{BD92EF56-22BC-4B4B-98E1-053A42A8DA46}"/>
    <cellStyle name="Normal 5 2 2 5 8" xfId="9028" xr:uid="{6FB0AB47-D2BC-4C47-8D3A-46A30B24E303}"/>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6AAED981-1FA5-4400-AC27-E5DF3C40462B}"/>
    <cellStyle name="Normal 5 2 2 6 2 3" xfId="11571" xr:uid="{6638FA11-F7BC-483A-9EBB-FF1EDBA285F0}"/>
    <cellStyle name="Normal 5 2 2 6 3" xfId="5194" xr:uid="{00000000-0005-0000-0000-000025180000}"/>
    <cellStyle name="Normal 5 2 2 6 3 2" xfId="13644" xr:uid="{3965993D-5FA7-443C-8080-9169814A86FE}"/>
    <cellStyle name="Normal 5 2 2 6 4" xfId="9426" xr:uid="{F3DEAC03-E4D4-426F-A87B-75396E771869}"/>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1ED636DA-4D21-46D5-994A-746661B04A80}"/>
    <cellStyle name="Normal 5 2 2 7 2 3" xfId="11984" xr:uid="{74D57AFF-6D8D-4918-BC75-F4529067A13D}"/>
    <cellStyle name="Normal 5 2 2 7 3" xfId="5607" xr:uid="{00000000-0005-0000-0000-000029180000}"/>
    <cellStyle name="Normal 5 2 2 7 3 2" xfId="14057" xr:uid="{69DE19C7-9315-4208-8311-7B09EE9D06DB}"/>
    <cellStyle name="Normal 5 2 2 7 4" xfId="9839" xr:uid="{76C9569B-FD4F-4ADE-A4E0-5CC68C6638DE}"/>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BDEED2D6-9D77-4459-8309-88C6CB4E397D}"/>
    <cellStyle name="Normal 5 2 2 8 2 3" xfId="12397" xr:uid="{1476EEFC-D4F7-44D3-9091-ACE9D41BB331}"/>
    <cellStyle name="Normal 5 2 2 8 3" xfId="6020" xr:uid="{00000000-0005-0000-0000-00002D180000}"/>
    <cellStyle name="Normal 5 2 2 8 3 2" xfId="14470" xr:uid="{A028E026-17DD-46D3-94D9-13E02A05032A}"/>
    <cellStyle name="Normal 5 2 2 8 4" xfId="10252" xr:uid="{6A736C17-697D-4E86-B582-19A2CC5F57EF}"/>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5AF97BBA-93A2-4C5B-ADAF-3BAABE5894E5}"/>
    <cellStyle name="Normal 5 2 2 9 2 3" xfId="12810" xr:uid="{C45AEB08-794D-4FB5-8DD7-3F2B38BC0186}"/>
    <cellStyle name="Normal 5 2 2 9 3" xfId="6433" xr:uid="{00000000-0005-0000-0000-000031180000}"/>
    <cellStyle name="Normal 5 2 2 9 3 2" xfId="14883" xr:uid="{A36FA4E6-8110-483E-8261-56A887BB8565}"/>
    <cellStyle name="Normal 5 2 2 9 4" xfId="10665" xr:uid="{C6FA2D55-419B-4B59-9734-A22B2AF03D0E}"/>
    <cellStyle name="Normal 5 2 3" xfId="424" xr:uid="{00000000-0005-0000-0000-000032180000}"/>
    <cellStyle name="Normal 5 2 3 10" xfId="4797" xr:uid="{00000000-0005-0000-0000-000033180000}"/>
    <cellStyle name="Normal 5 2 3 10 2" xfId="13247" xr:uid="{80DC75C4-0A9D-4B23-A955-7DA285516C12}"/>
    <cellStyle name="Normal 5 2 3 11" xfId="9029" xr:uid="{B670F6D3-27AF-4637-9A15-EFC8B8BB3FA1}"/>
    <cellStyle name="Normal 5 2 3 2" xfId="425" xr:uid="{00000000-0005-0000-0000-000034180000}"/>
    <cellStyle name="Normal 5 2 3 2 10" xfId="9030" xr:uid="{DF9CFAEE-B2B4-4986-B151-BE5EDA37190B}"/>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2F899EC4-C848-4F47-B5CC-F13865203983}"/>
    <cellStyle name="Normal 5 2 3 2 2 2 2 2 3" xfId="11590" xr:uid="{240F00A7-3659-4A81-AD5B-514E27434121}"/>
    <cellStyle name="Normal 5 2 3 2 2 2 2 3" xfId="5213" xr:uid="{00000000-0005-0000-0000-00003A180000}"/>
    <cellStyle name="Normal 5 2 3 2 2 2 2 3 2" xfId="13663" xr:uid="{231FF06D-B33D-430C-AEB7-05F7328421AE}"/>
    <cellStyle name="Normal 5 2 3 2 2 2 2 4" xfId="9445" xr:uid="{D350CD47-053D-41D2-9E54-D3DABCE13107}"/>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F8B0DD63-79DF-4C2F-963C-AC2076CA94E1}"/>
    <cellStyle name="Normal 5 2 3 2 2 2 3 2 3" xfId="12003" xr:uid="{DDE3DC59-31EA-48DA-B1F4-BF0325CC368D}"/>
    <cellStyle name="Normal 5 2 3 2 2 2 3 3" xfId="5626" xr:uid="{00000000-0005-0000-0000-00003E180000}"/>
    <cellStyle name="Normal 5 2 3 2 2 2 3 3 2" xfId="14076" xr:uid="{6619B75E-A395-429A-8F9E-C951F327EF27}"/>
    <cellStyle name="Normal 5 2 3 2 2 2 3 4" xfId="9858" xr:uid="{0661BE4A-9315-4BC7-9D6C-498C159D6C2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B3DFFFA6-55D1-416B-BA15-85F2DA7FC6CE}"/>
    <cellStyle name="Normal 5 2 3 2 2 2 4 2 3" xfId="12416" xr:uid="{4323AAAF-240B-4A8E-9F38-DF878EF0CA78}"/>
    <cellStyle name="Normal 5 2 3 2 2 2 4 3" xfId="6039" xr:uid="{00000000-0005-0000-0000-000042180000}"/>
    <cellStyle name="Normal 5 2 3 2 2 2 4 3 2" xfId="14489" xr:uid="{628521E2-76B1-4A76-9BF2-0554F43D3C3B}"/>
    <cellStyle name="Normal 5 2 3 2 2 2 4 4" xfId="10271" xr:uid="{633B514C-3D4D-44CD-B9BB-FE6C36657FA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0B66862D-FC8F-4AE0-A7BC-A43C32FABB7A}"/>
    <cellStyle name="Normal 5 2 3 2 2 2 5 2 3" xfId="12829" xr:uid="{B7E3535C-50BB-4014-92BB-CEF0BB246350}"/>
    <cellStyle name="Normal 5 2 3 2 2 2 5 3" xfId="6452" xr:uid="{00000000-0005-0000-0000-000046180000}"/>
    <cellStyle name="Normal 5 2 3 2 2 2 5 3 2" xfId="14902" xr:uid="{DDA61633-CF06-4674-B694-7DE8F966DDBA}"/>
    <cellStyle name="Normal 5 2 3 2 2 2 5 4" xfId="10684" xr:uid="{7F941346-8C26-4B00-82AC-2AA5FCD3B8DF}"/>
    <cellStyle name="Normal 5 2 3 2 2 2 6" xfId="2582" xr:uid="{00000000-0005-0000-0000-000047180000}"/>
    <cellStyle name="Normal 5 2 3 2 2 2 6 2" xfId="6865" xr:uid="{00000000-0005-0000-0000-000048180000}"/>
    <cellStyle name="Normal 5 2 3 2 2 2 6 2 2" xfId="15315" xr:uid="{50C845BD-B0A1-45CE-B35E-9001988359E2}"/>
    <cellStyle name="Normal 5 2 3 2 2 2 6 3" xfId="11097" xr:uid="{372362EE-9330-4DE9-B43C-D4E438268DFA}"/>
    <cellStyle name="Normal 5 2 3 2 2 2 7" xfId="4800" xr:uid="{00000000-0005-0000-0000-000049180000}"/>
    <cellStyle name="Normal 5 2 3 2 2 2 7 2" xfId="13250" xr:uid="{41AD081E-D6F6-4C6F-9DF2-7962C7531D10}"/>
    <cellStyle name="Normal 5 2 3 2 2 2 8" xfId="9032" xr:uid="{AC59628F-3E63-4C9C-90B4-0124EC5D9A45}"/>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5A99BD8A-4D62-48A5-A343-B9F7E2F20AA7}"/>
    <cellStyle name="Normal 5 2 3 2 2 3 2 3" xfId="11589" xr:uid="{A81EABA4-F881-41D0-94CA-69F41FCC20A8}"/>
    <cellStyle name="Normal 5 2 3 2 2 3 3" xfId="5212" xr:uid="{00000000-0005-0000-0000-00004D180000}"/>
    <cellStyle name="Normal 5 2 3 2 2 3 3 2" xfId="13662" xr:uid="{75167267-8AE8-43F6-8B1B-6ED2159EDCC7}"/>
    <cellStyle name="Normal 5 2 3 2 2 3 4" xfId="9444" xr:uid="{142F702E-9C35-48A0-BDA9-9D13EC16581E}"/>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2232E72C-6E7E-4BC7-99A6-A11167166B43}"/>
    <cellStyle name="Normal 5 2 3 2 2 4 2 3" xfId="12002" xr:uid="{F417656A-B00D-4ABB-A4E1-CB005DE01569}"/>
    <cellStyle name="Normal 5 2 3 2 2 4 3" xfId="5625" xr:uid="{00000000-0005-0000-0000-000051180000}"/>
    <cellStyle name="Normal 5 2 3 2 2 4 3 2" xfId="14075" xr:uid="{F20F3041-FBCF-453B-8C2A-D160FD077103}"/>
    <cellStyle name="Normal 5 2 3 2 2 4 4" xfId="9857" xr:uid="{7F3B2F0D-C82A-4E62-9E60-AB01DE034FAE}"/>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8E4571DA-3F98-46FD-AB6F-4FAA6856C796}"/>
    <cellStyle name="Normal 5 2 3 2 2 5 2 3" xfId="12415" xr:uid="{94D02CB0-FE79-4E40-B012-FE383D84859D}"/>
    <cellStyle name="Normal 5 2 3 2 2 5 3" xfId="6038" xr:uid="{00000000-0005-0000-0000-000055180000}"/>
    <cellStyle name="Normal 5 2 3 2 2 5 3 2" xfId="14488" xr:uid="{FB5D58DE-555A-417C-A803-58DC1FC6F394}"/>
    <cellStyle name="Normal 5 2 3 2 2 5 4" xfId="10270" xr:uid="{983845C8-BB60-4EA3-8B45-57D9A08A5823}"/>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86E156A7-6811-4F99-B2C2-83497A368DAD}"/>
    <cellStyle name="Normal 5 2 3 2 2 6 2 3" xfId="12828" xr:uid="{9D88CF6E-7318-4B59-AB0B-BDF368743AB7}"/>
    <cellStyle name="Normal 5 2 3 2 2 6 3" xfId="6451" xr:uid="{00000000-0005-0000-0000-000059180000}"/>
    <cellStyle name="Normal 5 2 3 2 2 6 3 2" xfId="14901" xr:uid="{27AB408C-D7DB-409C-B707-975BD1DD9811}"/>
    <cellStyle name="Normal 5 2 3 2 2 6 4" xfId="10683" xr:uid="{AED96629-09C0-45F7-B03C-D6A194327EC8}"/>
    <cellStyle name="Normal 5 2 3 2 2 7" xfId="2581" xr:uid="{00000000-0005-0000-0000-00005A180000}"/>
    <cellStyle name="Normal 5 2 3 2 2 7 2" xfId="6864" xr:uid="{00000000-0005-0000-0000-00005B180000}"/>
    <cellStyle name="Normal 5 2 3 2 2 7 2 2" xfId="15314" xr:uid="{AFD09C9F-FE15-4EB8-9AE1-23E2F93AEC7F}"/>
    <cellStyle name="Normal 5 2 3 2 2 7 3" xfId="11096" xr:uid="{64B2B4D0-9E40-4CD7-8701-808AFEDD9B78}"/>
    <cellStyle name="Normal 5 2 3 2 2 8" xfId="4799" xr:uid="{00000000-0005-0000-0000-00005C180000}"/>
    <cellStyle name="Normal 5 2 3 2 2 8 2" xfId="13249" xr:uid="{1B201950-63B1-403E-865A-E4967436FF33}"/>
    <cellStyle name="Normal 5 2 3 2 2 9" xfId="9031" xr:uid="{68B233A0-65FB-4B90-B705-70D94928F50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ECCC377F-B188-4B5D-8D4B-11542B160B00}"/>
    <cellStyle name="Normal 5 2 3 2 3 2 2 3" xfId="11591" xr:uid="{DCF9175C-9A03-4F4B-916A-DA6879F13008}"/>
    <cellStyle name="Normal 5 2 3 2 3 2 3" xfId="5214" xr:uid="{00000000-0005-0000-0000-000061180000}"/>
    <cellStyle name="Normal 5 2 3 2 3 2 3 2" xfId="13664" xr:uid="{7F8F3080-D8F9-444C-B3E8-F39208D70142}"/>
    <cellStyle name="Normal 5 2 3 2 3 2 4" xfId="9446" xr:uid="{6AB2DCB5-336E-41C4-97F7-B8BF5AEC2984}"/>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91FA5B76-AF28-47FE-BBD7-8EC7C63B6B09}"/>
    <cellStyle name="Normal 5 2 3 2 3 3 2 3" xfId="12004" xr:uid="{49A1FB9A-95ED-4AF2-8933-AE4BBB0A5BAA}"/>
    <cellStyle name="Normal 5 2 3 2 3 3 3" xfId="5627" xr:uid="{00000000-0005-0000-0000-000065180000}"/>
    <cellStyle name="Normal 5 2 3 2 3 3 3 2" xfId="14077" xr:uid="{11293D16-AA17-4E6B-9FEA-131C0DD37489}"/>
    <cellStyle name="Normal 5 2 3 2 3 3 4" xfId="9859" xr:uid="{4820CC3C-56D2-4939-9340-5F932C1B3B9D}"/>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7A76584B-574C-42C3-A6E1-25959E3BB698}"/>
    <cellStyle name="Normal 5 2 3 2 3 4 2 3" xfId="12417" xr:uid="{D9FEA261-3422-43F3-B31C-7B98AC5986A9}"/>
    <cellStyle name="Normal 5 2 3 2 3 4 3" xfId="6040" xr:uid="{00000000-0005-0000-0000-000069180000}"/>
    <cellStyle name="Normal 5 2 3 2 3 4 3 2" xfId="14490" xr:uid="{3DADC920-369D-44E8-93D3-FDDEB34211C3}"/>
    <cellStyle name="Normal 5 2 3 2 3 4 4" xfId="10272" xr:uid="{A54DE925-F24D-4A95-A2A8-E5630194D0A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EBADB4E6-2DFE-4D10-A413-BE341BA00A6E}"/>
    <cellStyle name="Normal 5 2 3 2 3 5 2 3" xfId="12830" xr:uid="{8204C0C6-4C35-4E11-964A-7F287A8127E1}"/>
    <cellStyle name="Normal 5 2 3 2 3 5 3" xfId="6453" xr:uid="{00000000-0005-0000-0000-00006D180000}"/>
    <cellStyle name="Normal 5 2 3 2 3 5 3 2" xfId="14903" xr:uid="{FC7EDE61-DC87-4E08-A1EC-C634116CF4A0}"/>
    <cellStyle name="Normal 5 2 3 2 3 5 4" xfId="10685" xr:uid="{E8630CA3-4C39-4398-A984-9AA756C71060}"/>
    <cellStyle name="Normal 5 2 3 2 3 6" xfId="2583" xr:uid="{00000000-0005-0000-0000-00006E180000}"/>
    <cellStyle name="Normal 5 2 3 2 3 6 2" xfId="6866" xr:uid="{00000000-0005-0000-0000-00006F180000}"/>
    <cellStyle name="Normal 5 2 3 2 3 6 2 2" xfId="15316" xr:uid="{DCF07FE4-9CB4-47F2-A666-16672E9600E0}"/>
    <cellStyle name="Normal 5 2 3 2 3 6 3" xfId="11098" xr:uid="{D5FF17E5-5CF3-48C9-A468-15CE269DC1C9}"/>
    <cellStyle name="Normal 5 2 3 2 3 7" xfId="4801" xr:uid="{00000000-0005-0000-0000-000070180000}"/>
    <cellStyle name="Normal 5 2 3 2 3 7 2" xfId="13251" xr:uid="{E0E6BD0C-7ABC-4FD2-A26C-5CD7835F9470}"/>
    <cellStyle name="Normal 5 2 3 2 3 8" xfId="9033" xr:uid="{DA6ADF99-1035-425D-BB85-605462E7F9AF}"/>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DC1981BA-7384-438E-B623-7F33F2081EC9}"/>
    <cellStyle name="Normal 5 2 3 2 4 2 3" xfId="11588" xr:uid="{D2945B2F-CD38-4F9A-A865-E867E66EE901}"/>
    <cellStyle name="Normal 5 2 3 2 4 3" xfId="5211" xr:uid="{00000000-0005-0000-0000-000074180000}"/>
    <cellStyle name="Normal 5 2 3 2 4 3 2" xfId="13661" xr:uid="{C6C9A309-8BF8-472E-9BF4-84C858F0605F}"/>
    <cellStyle name="Normal 5 2 3 2 4 4" xfId="9443" xr:uid="{97BB96A7-23B4-4BAA-8985-E4D893DAE355}"/>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A6FEB1C-AC79-40B0-9B96-AC9E0A0C2757}"/>
    <cellStyle name="Normal 5 2 3 2 5 2 3" xfId="12001" xr:uid="{08BB3DE9-FC19-43E4-A0B1-C49398A8505B}"/>
    <cellStyle name="Normal 5 2 3 2 5 3" xfId="5624" xr:uid="{00000000-0005-0000-0000-000078180000}"/>
    <cellStyle name="Normal 5 2 3 2 5 3 2" xfId="14074" xr:uid="{D3CA86BB-ECE4-48F4-B388-55F66E2AEFEB}"/>
    <cellStyle name="Normal 5 2 3 2 5 4" xfId="9856" xr:uid="{05A644D2-5E5C-470F-873E-9167C0BB65E4}"/>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1B01CDFF-B0B1-4A1B-8546-A205B12267E0}"/>
    <cellStyle name="Normal 5 2 3 2 6 2 3" xfId="12414" xr:uid="{E53423E3-5A07-4137-B3FA-4B6E50D3AF8D}"/>
    <cellStyle name="Normal 5 2 3 2 6 3" xfId="6037" xr:uid="{00000000-0005-0000-0000-00007C180000}"/>
    <cellStyle name="Normal 5 2 3 2 6 3 2" xfId="14487" xr:uid="{7B9C3AB9-8995-45EE-9FE8-F2EAF5A6E7DE}"/>
    <cellStyle name="Normal 5 2 3 2 6 4" xfId="10269" xr:uid="{22750672-E5CB-4E0E-999D-61224F379CD3}"/>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402A8572-FE62-4948-B098-9222124C3CA5}"/>
    <cellStyle name="Normal 5 2 3 2 7 2 3" xfId="12827" xr:uid="{C3DAD6AD-F5A5-47D4-BB47-D9811BBEA068}"/>
    <cellStyle name="Normal 5 2 3 2 7 3" xfId="6450" xr:uid="{00000000-0005-0000-0000-000080180000}"/>
    <cellStyle name="Normal 5 2 3 2 7 3 2" xfId="14900" xr:uid="{E9368DF9-23B0-4CB0-BFF7-FA58F6EEEB71}"/>
    <cellStyle name="Normal 5 2 3 2 7 4" xfId="10682" xr:uid="{FE341C3B-4463-49A4-AD7D-C53FFBF82921}"/>
    <cellStyle name="Normal 5 2 3 2 8" xfId="2580" xr:uid="{00000000-0005-0000-0000-000081180000}"/>
    <cellStyle name="Normal 5 2 3 2 8 2" xfId="6863" xr:uid="{00000000-0005-0000-0000-000082180000}"/>
    <cellStyle name="Normal 5 2 3 2 8 2 2" xfId="15313" xr:uid="{23388E06-795F-446C-8CF4-1C2433DAEF1D}"/>
    <cellStyle name="Normal 5 2 3 2 8 3" xfId="11095" xr:uid="{5B5C0322-6176-4536-A97D-24C0DFE20B98}"/>
    <cellStyle name="Normal 5 2 3 2 9" xfId="4798" xr:uid="{00000000-0005-0000-0000-000083180000}"/>
    <cellStyle name="Normal 5 2 3 2 9 2" xfId="13248" xr:uid="{ECA42423-9290-445B-8BD0-564852CE1B1D}"/>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C096B696-3804-4D05-9A4A-C3B084CC82EA}"/>
    <cellStyle name="Normal 5 2 3 3 2 2 2 3" xfId="11593" xr:uid="{B3FA0AB3-304F-4A55-BD6E-065B025D8F6A}"/>
    <cellStyle name="Normal 5 2 3 3 2 2 3" xfId="5216" xr:uid="{00000000-0005-0000-0000-000089180000}"/>
    <cellStyle name="Normal 5 2 3 3 2 2 3 2" xfId="13666" xr:uid="{F0C64BB6-BA76-40BF-A1AD-03C385AC0F8C}"/>
    <cellStyle name="Normal 5 2 3 3 2 2 4" xfId="9448" xr:uid="{34E96711-AFBE-43F0-8B28-B0E535C71BD3}"/>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B2A538A4-4D5F-4DA6-87A8-49D2AD162DC4}"/>
    <cellStyle name="Normal 5 2 3 3 2 3 2 3" xfId="12006" xr:uid="{BCDA4E85-D7EA-4161-BD07-15A6224D4DF8}"/>
    <cellStyle name="Normal 5 2 3 3 2 3 3" xfId="5629" xr:uid="{00000000-0005-0000-0000-00008D180000}"/>
    <cellStyle name="Normal 5 2 3 3 2 3 3 2" xfId="14079" xr:uid="{97E5EA0E-543A-4C64-9F94-A9C238D1BC02}"/>
    <cellStyle name="Normal 5 2 3 3 2 3 4" xfId="9861" xr:uid="{548A6770-E6EC-4FB7-B880-3467B7DFF352}"/>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47702101-F5A3-4B33-A771-C21481DFA07B}"/>
    <cellStyle name="Normal 5 2 3 3 2 4 2 3" xfId="12419" xr:uid="{29D64AE7-81BC-422A-86C5-6210EC6ED104}"/>
    <cellStyle name="Normal 5 2 3 3 2 4 3" xfId="6042" xr:uid="{00000000-0005-0000-0000-000091180000}"/>
    <cellStyle name="Normal 5 2 3 3 2 4 3 2" xfId="14492" xr:uid="{57D8CC0F-54D7-4D81-A5B7-3301F176260A}"/>
    <cellStyle name="Normal 5 2 3 3 2 4 4" xfId="10274" xr:uid="{3954E47E-DCE6-4DA0-A126-A3F172BE5AF6}"/>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69CF542B-0912-4923-A513-85841FDCC5C0}"/>
    <cellStyle name="Normal 5 2 3 3 2 5 2 3" xfId="12832" xr:uid="{7E7A227D-725F-4325-9F32-48716AC67AA3}"/>
    <cellStyle name="Normal 5 2 3 3 2 5 3" xfId="6455" xr:uid="{00000000-0005-0000-0000-000095180000}"/>
    <cellStyle name="Normal 5 2 3 3 2 5 3 2" xfId="14905" xr:uid="{7A68D027-5EAD-409C-82C5-3687317F17F9}"/>
    <cellStyle name="Normal 5 2 3 3 2 5 4" xfId="10687" xr:uid="{D3E6B3CB-E1D4-4077-A1AF-F8BEF9DDE3CE}"/>
    <cellStyle name="Normal 5 2 3 3 2 6" xfId="2585" xr:uid="{00000000-0005-0000-0000-000096180000}"/>
    <cellStyle name="Normal 5 2 3 3 2 6 2" xfId="6868" xr:uid="{00000000-0005-0000-0000-000097180000}"/>
    <cellStyle name="Normal 5 2 3 3 2 6 2 2" xfId="15318" xr:uid="{B9750E85-3AC4-4240-8483-C46F4DE79F28}"/>
    <cellStyle name="Normal 5 2 3 3 2 6 3" xfId="11100" xr:uid="{78AA9C0C-BC4E-408F-9620-C099839CC056}"/>
    <cellStyle name="Normal 5 2 3 3 2 7" xfId="4803" xr:uid="{00000000-0005-0000-0000-000098180000}"/>
    <cellStyle name="Normal 5 2 3 3 2 7 2" xfId="13253" xr:uid="{52A617CD-B749-4657-8AC7-CCCD8E4B5AEF}"/>
    <cellStyle name="Normal 5 2 3 3 2 8" xfId="9035" xr:uid="{14EF1E65-2E3C-45C9-BCF7-8FE42732A6BE}"/>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085818B8-C9F1-4F42-9850-684ED8FF426F}"/>
    <cellStyle name="Normal 5 2 3 3 3 2 3" xfId="11592" xr:uid="{A991C252-B67B-44CD-896A-12A379B13E73}"/>
    <cellStyle name="Normal 5 2 3 3 3 3" xfId="5215" xr:uid="{00000000-0005-0000-0000-00009C180000}"/>
    <cellStyle name="Normal 5 2 3 3 3 3 2" xfId="13665" xr:uid="{C1DF1049-A4FE-4CCF-BBF5-F86BAA43B282}"/>
    <cellStyle name="Normal 5 2 3 3 3 4" xfId="9447" xr:uid="{FADB975F-3554-4A40-99F0-805EB21E131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69400EAA-BBF1-4EF7-ABA7-67F770590249}"/>
    <cellStyle name="Normal 5 2 3 3 4 2 3" xfId="12005" xr:uid="{1B3FE6DD-E555-452C-9631-09BDC09E1CC5}"/>
    <cellStyle name="Normal 5 2 3 3 4 3" xfId="5628" xr:uid="{00000000-0005-0000-0000-0000A0180000}"/>
    <cellStyle name="Normal 5 2 3 3 4 3 2" xfId="14078" xr:uid="{1D744C69-CCB9-4093-93D0-FBC2616B5416}"/>
    <cellStyle name="Normal 5 2 3 3 4 4" xfId="9860" xr:uid="{D2DA462B-AD8B-4037-9FC2-0F5CE3EA5A1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DFBC19C2-D2FD-477B-847E-09308927CB64}"/>
    <cellStyle name="Normal 5 2 3 3 5 2 3" xfId="12418" xr:uid="{BCAA6128-0240-4BA1-A8D5-A6159F29AB6D}"/>
    <cellStyle name="Normal 5 2 3 3 5 3" xfId="6041" xr:uid="{00000000-0005-0000-0000-0000A4180000}"/>
    <cellStyle name="Normal 5 2 3 3 5 3 2" xfId="14491" xr:uid="{59D5E45B-FB05-424A-8C39-0CC86CF913F2}"/>
    <cellStyle name="Normal 5 2 3 3 5 4" xfId="10273" xr:uid="{FA0DEB95-2B8A-43AA-B1A9-0FFDCC9A99F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100D089E-F09D-40BB-9DF3-88AC3CAC6553}"/>
    <cellStyle name="Normal 5 2 3 3 6 2 3" xfId="12831" xr:uid="{4A571A4D-33F2-42B3-9DD3-D46D34165E4F}"/>
    <cellStyle name="Normal 5 2 3 3 6 3" xfId="6454" xr:uid="{00000000-0005-0000-0000-0000A8180000}"/>
    <cellStyle name="Normal 5 2 3 3 6 3 2" xfId="14904" xr:uid="{0F59CFF3-C019-4DC2-B0FA-12693EAF31F3}"/>
    <cellStyle name="Normal 5 2 3 3 6 4" xfId="10686" xr:uid="{6E651925-09EB-4C28-B088-E5E4FD7062D0}"/>
    <cellStyle name="Normal 5 2 3 3 7" xfId="2584" xr:uid="{00000000-0005-0000-0000-0000A9180000}"/>
    <cellStyle name="Normal 5 2 3 3 7 2" xfId="6867" xr:uid="{00000000-0005-0000-0000-0000AA180000}"/>
    <cellStyle name="Normal 5 2 3 3 7 2 2" xfId="15317" xr:uid="{65FE3F1B-63A1-49BC-B847-0DB574CA3A0B}"/>
    <cellStyle name="Normal 5 2 3 3 7 3" xfId="11099" xr:uid="{B06B33CE-F2A9-4B57-B97C-B05D14F19DA3}"/>
    <cellStyle name="Normal 5 2 3 3 8" xfId="4802" xr:uid="{00000000-0005-0000-0000-0000AB180000}"/>
    <cellStyle name="Normal 5 2 3 3 8 2" xfId="13252" xr:uid="{7ECEBFEB-E605-4CE9-B696-6C2930C3CA30}"/>
    <cellStyle name="Normal 5 2 3 3 9" xfId="9034" xr:uid="{120A3982-7279-4577-B565-F7F869D93647}"/>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5EA7EDA9-185D-4223-97EE-AE2F27681C2A}"/>
    <cellStyle name="Normal 5 2 3 4 2 2 3" xfId="11594" xr:uid="{669C4902-9AC1-49DE-8D49-F871B372B523}"/>
    <cellStyle name="Normal 5 2 3 4 2 3" xfId="5217" xr:uid="{00000000-0005-0000-0000-0000B0180000}"/>
    <cellStyle name="Normal 5 2 3 4 2 3 2" xfId="13667" xr:uid="{5733ECBF-F954-4283-A5B7-F639BA06A9A0}"/>
    <cellStyle name="Normal 5 2 3 4 2 4" xfId="9449" xr:uid="{0BF34194-5936-4095-8DFB-4DD8823F98E5}"/>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49F948E0-335E-4DDF-8382-24CCE9F192E8}"/>
    <cellStyle name="Normal 5 2 3 4 3 2 3" xfId="12007" xr:uid="{D39C77FE-DD5E-4178-9840-BEBB7ECFC3CA}"/>
    <cellStyle name="Normal 5 2 3 4 3 3" xfId="5630" xr:uid="{00000000-0005-0000-0000-0000B4180000}"/>
    <cellStyle name="Normal 5 2 3 4 3 3 2" xfId="14080" xr:uid="{E0BE554D-DFA8-4FB8-B676-0760557406F5}"/>
    <cellStyle name="Normal 5 2 3 4 3 4" xfId="9862" xr:uid="{8751F3A0-C0C7-40DF-9269-A9795B2C57BB}"/>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9EE2795D-4B14-4B30-A5EF-E9BD78FA3F99}"/>
    <cellStyle name="Normal 5 2 3 4 4 2 3" xfId="12420" xr:uid="{FDC3ADA4-E8F5-41EA-A546-BEBA8284DA19}"/>
    <cellStyle name="Normal 5 2 3 4 4 3" xfId="6043" xr:uid="{00000000-0005-0000-0000-0000B8180000}"/>
    <cellStyle name="Normal 5 2 3 4 4 3 2" xfId="14493" xr:uid="{36435CCA-B4B5-467B-8A05-F6F458B60F43}"/>
    <cellStyle name="Normal 5 2 3 4 4 4" xfId="10275" xr:uid="{EF93F682-9E8E-4298-870F-03D0712EDCB1}"/>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DA4459FC-BF9A-449A-92C9-EC1CB46ECA1F}"/>
    <cellStyle name="Normal 5 2 3 4 5 2 3" xfId="12833" xr:uid="{AF6DCE36-41D0-41AA-8A79-B3DCE09A4EBC}"/>
    <cellStyle name="Normal 5 2 3 4 5 3" xfId="6456" xr:uid="{00000000-0005-0000-0000-0000BC180000}"/>
    <cellStyle name="Normal 5 2 3 4 5 3 2" xfId="14906" xr:uid="{18E913B9-F4C3-4981-8AB5-87833F26829C}"/>
    <cellStyle name="Normal 5 2 3 4 5 4" xfId="10688" xr:uid="{EEDE9ABC-017C-468C-B630-2A1A359D65F3}"/>
    <cellStyle name="Normal 5 2 3 4 6" xfId="2586" xr:uid="{00000000-0005-0000-0000-0000BD180000}"/>
    <cellStyle name="Normal 5 2 3 4 6 2" xfId="6869" xr:uid="{00000000-0005-0000-0000-0000BE180000}"/>
    <cellStyle name="Normal 5 2 3 4 6 2 2" xfId="15319" xr:uid="{0C63EC3C-4BC8-44A4-AB20-3CC6437EB4B9}"/>
    <cellStyle name="Normal 5 2 3 4 6 3" xfId="11101" xr:uid="{6A992945-0366-4B77-A7BE-9C62079A6EAC}"/>
    <cellStyle name="Normal 5 2 3 4 7" xfId="4804" xr:uid="{00000000-0005-0000-0000-0000BF180000}"/>
    <cellStyle name="Normal 5 2 3 4 7 2" xfId="13254" xr:uid="{7ED43754-2B8F-4E1A-8DC9-A88DE3806819}"/>
    <cellStyle name="Normal 5 2 3 4 8" xfId="9036" xr:uid="{B49BA309-93AC-4DB0-A821-997F9A951894}"/>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4F8AEB05-4635-46AD-8543-D39716D209FD}"/>
    <cellStyle name="Normal 5 2 3 5 2 3" xfId="11587" xr:uid="{02629721-B0F7-4F87-9DC8-7BD9F5389806}"/>
    <cellStyle name="Normal 5 2 3 5 3" xfId="5210" xr:uid="{00000000-0005-0000-0000-0000C3180000}"/>
    <cellStyle name="Normal 5 2 3 5 3 2" xfId="13660" xr:uid="{BB08D2CD-B516-44BF-B79D-21186CF009BD}"/>
    <cellStyle name="Normal 5 2 3 5 4" xfId="9442" xr:uid="{44B5E9DE-5590-4621-90F0-15B7B8D10C8F}"/>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EE9411D4-CD45-41F7-8F1D-1884D4AE1F4B}"/>
    <cellStyle name="Normal 5 2 3 6 2 3" xfId="12000" xr:uid="{C5501C92-911C-4FFA-BC46-F65AE3AB86BB}"/>
    <cellStyle name="Normal 5 2 3 6 3" xfId="5623" xr:uid="{00000000-0005-0000-0000-0000C7180000}"/>
    <cellStyle name="Normal 5 2 3 6 3 2" xfId="14073" xr:uid="{77A77BFB-26DE-4CC7-88A7-6A0F21289B32}"/>
    <cellStyle name="Normal 5 2 3 6 4" xfId="9855" xr:uid="{D939624A-66EE-4909-BBE1-A9B4CBC60367}"/>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922F6C98-D4E0-4E43-9A36-A2723166CD0C}"/>
    <cellStyle name="Normal 5 2 3 7 2 3" xfId="12413" xr:uid="{36B3C378-25A7-4720-A35A-958625E5786B}"/>
    <cellStyle name="Normal 5 2 3 7 3" xfId="6036" xr:uid="{00000000-0005-0000-0000-0000CB180000}"/>
    <cellStyle name="Normal 5 2 3 7 3 2" xfId="14486" xr:uid="{967FF0E8-D8B8-4850-9752-5015A9B1CC7A}"/>
    <cellStyle name="Normal 5 2 3 7 4" xfId="10268" xr:uid="{EAAF0E87-86E4-4815-A725-3F3E03A8DA0F}"/>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E1121CF2-F4BD-4AD9-B90B-E864EE4F3328}"/>
    <cellStyle name="Normal 5 2 3 8 2 3" xfId="12826" xr:uid="{FE717CC0-EE6C-4C84-852A-B6DBD38181B3}"/>
    <cellStyle name="Normal 5 2 3 8 3" xfId="6449" xr:uid="{00000000-0005-0000-0000-0000CF180000}"/>
    <cellStyle name="Normal 5 2 3 8 3 2" xfId="14899" xr:uid="{FD8D4B26-1F14-4261-9A8F-E6DFA7D798B9}"/>
    <cellStyle name="Normal 5 2 3 8 4" xfId="10681" xr:uid="{73AA4873-0025-4C2A-93FA-EE0F129DC786}"/>
    <cellStyle name="Normal 5 2 3 9" xfId="2579" xr:uid="{00000000-0005-0000-0000-0000D0180000}"/>
    <cellStyle name="Normal 5 2 3 9 2" xfId="6862" xr:uid="{00000000-0005-0000-0000-0000D1180000}"/>
    <cellStyle name="Normal 5 2 3 9 2 2" xfId="15312" xr:uid="{95E5E2B8-9F88-4600-A492-1DDF63FEBC0C}"/>
    <cellStyle name="Normal 5 2 3 9 3" xfId="11094" xr:uid="{57EB847A-6D24-4A07-BE49-AB87D7045658}"/>
    <cellStyle name="Normal 5 2 4" xfId="432" xr:uid="{00000000-0005-0000-0000-0000D2180000}"/>
    <cellStyle name="Normal 5 2 4 10" xfId="9037" xr:uid="{5C93A426-C6E5-47A3-BD25-E6598672CD9F}"/>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D649BE63-730B-424F-8DD8-55141DE3A088}"/>
    <cellStyle name="Normal 5 2 4 2 2 2 2 3" xfId="11597" xr:uid="{6E2488EF-D2C6-4A43-A8FF-0B307E8CB319}"/>
    <cellStyle name="Normal 5 2 4 2 2 2 3" xfId="5220" xr:uid="{00000000-0005-0000-0000-0000D8180000}"/>
    <cellStyle name="Normal 5 2 4 2 2 2 3 2" xfId="13670" xr:uid="{66BE06A3-3CEC-4167-BA25-158B7ED96604}"/>
    <cellStyle name="Normal 5 2 4 2 2 2 4" xfId="9452" xr:uid="{F7B50896-9700-4575-A7B6-9F11E02E5F8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ECB30450-FBF1-425D-9AB8-D10E4A49C6C8}"/>
    <cellStyle name="Normal 5 2 4 2 2 3 2 3" xfId="12010" xr:uid="{2A944EC3-C0FE-46B9-A08A-9D3D7E98A3CD}"/>
    <cellStyle name="Normal 5 2 4 2 2 3 3" xfId="5633" xr:uid="{00000000-0005-0000-0000-0000DC180000}"/>
    <cellStyle name="Normal 5 2 4 2 2 3 3 2" xfId="14083" xr:uid="{620C85E0-8FAA-4F88-9D4C-E1A18EAB8A63}"/>
    <cellStyle name="Normal 5 2 4 2 2 3 4" xfId="9865" xr:uid="{056DF42D-C957-4CEA-BD8F-45AF4FBECADE}"/>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3708F253-D438-4BAF-82F0-38AE347501A3}"/>
    <cellStyle name="Normal 5 2 4 2 2 4 2 3" xfId="12423" xr:uid="{86D89A73-EABC-4B1F-823D-1940160C61D6}"/>
    <cellStyle name="Normal 5 2 4 2 2 4 3" xfId="6046" xr:uid="{00000000-0005-0000-0000-0000E0180000}"/>
    <cellStyle name="Normal 5 2 4 2 2 4 3 2" xfId="14496" xr:uid="{A59DEBD8-B8DE-4D18-B9A0-27B1B6B1FA3D}"/>
    <cellStyle name="Normal 5 2 4 2 2 4 4" xfId="10278" xr:uid="{53F468B4-26BC-447F-97B2-6E8730B4A946}"/>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7DB08D53-7790-44A3-812E-535AD4D0DC6B}"/>
    <cellStyle name="Normal 5 2 4 2 2 5 2 3" xfId="12836" xr:uid="{002829AE-D0CF-4595-A5C8-12EBD6256BFC}"/>
    <cellStyle name="Normal 5 2 4 2 2 5 3" xfId="6459" xr:uid="{00000000-0005-0000-0000-0000E4180000}"/>
    <cellStyle name="Normal 5 2 4 2 2 5 3 2" xfId="14909" xr:uid="{4E60540E-E6CB-44B9-A841-9A4279788D58}"/>
    <cellStyle name="Normal 5 2 4 2 2 5 4" xfId="10691" xr:uid="{0C566827-1548-4B66-93F7-59F69D43DFAF}"/>
    <cellStyle name="Normal 5 2 4 2 2 6" xfId="2589" xr:uid="{00000000-0005-0000-0000-0000E5180000}"/>
    <cellStyle name="Normal 5 2 4 2 2 6 2" xfId="6872" xr:uid="{00000000-0005-0000-0000-0000E6180000}"/>
    <cellStyle name="Normal 5 2 4 2 2 6 2 2" xfId="15322" xr:uid="{D627DABB-117E-43F8-823A-B5AB904286E9}"/>
    <cellStyle name="Normal 5 2 4 2 2 6 3" xfId="11104" xr:uid="{27ECD202-16FD-4DA9-97BD-944BC8A77F4D}"/>
    <cellStyle name="Normal 5 2 4 2 2 7" xfId="4807" xr:uid="{00000000-0005-0000-0000-0000E7180000}"/>
    <cellStyle name="Normal 5 2 4 2 2 7 2" xfId="13257" xr:uid="{7D2736D5-03F1-4333-870C-8818106402B5}"/>
    <cellStyle name="Normal 5 2 4 2 2 8" xfId="9039" xr:uid="{E428C9C3-7220-43E0-A437-73B6A2822257}"/>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EDABCBD3-7A66-4840-BD3C-44A98C96438B}"/>
    <cellStyle name="Normal 5 2 4 2 3 2 3" xfId="11596" xr:uid="{C9D40E86-2070-469E-BBE9-09E9BFCC1278}"/>
    <cellStyle name="Normal 5 2 4 2 3 3" xfId="5219" xr:uid="{00000000-0005-0000-0000-0000EB180000}"/>
    <cellStyle name="Normal 5 2 4 2 3 3 2" xfId="13669" xr:uid="{637E7615-BB2E-4036-B5DE-6EB9A48DECD7}"/>
    <cellStyle name="Normal 5 2 4 2 3 4" xfId="9451" xr:uid="{D3674CEA-EF65-43F6-8DD5-A136544DB8FB}"/>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FBF44865-FA8C-4B36-BC06-2BAA694E34FE}"/>
    <cellStyle name="Normal 5 2 4 2 4 2 3" xfId="12009" xr:uid="{6EFCC964-F7BC-454E-9731-8CAB030211BA}"/>
    <cellStyle name="Normal 5 2 4 2 4 3" xfId="5632" xr:uid="{00000000-0005-0000-0000-0000EF180000}"/>
    <cellStyle name="Normal 5 2 4 2 4 3 2" xfId="14082" xr:uid="{3FBAC49F-15AD-451D-987A-E2FD641870F3}"/>
    <cellStyle name="Normal 5 2 4 2 4 4" xfId="9864" xr:uid="{5F7B06E5-A82D-4B22-8018-4DB8F7728002}"/>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2B93992C-AA25-4546-9EA2-836A9C625F6A}"/>
    <cellStyle name="Normal 5 2 4 2 5 2 3" xfId="12422" xr:uid="{3A7BCE6D-9683-4F0E-B8D9-1FA0328767DB}"/>
    <cellStyle name="Normal 5 2 4 2 5 3" xfId="6045" xr:uid="{00000000-0005-0000-0000-0000F3180000}"/>
    <cellStyle name="Normal 5 2 4 2 5 3 2" xfId="14495" xr:uid="{FC332C8B-1C2D-4E79-9BD2-B56973A29234}"/>
    <cellStyle name="Normal 5 2 4 2 5 4" xfId="10277" xr:uid="{08451FBE-3BC1-49B4-B856-BDD2A9B4FB8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FF4CEC60-8326-4541-A493-897B3DC43F78}"/>
    <cellStyle name="Normal 5 2 4 2 6 2 3" xfId="12835" xr:uid="{15E8F1AA-5E3F-4D93-BC50-55CEF6B3FCB1}"/>
    <cellStyle name="Normal 5 2 4 2 6 3" xfId="6458" xr:uid="{00000000-0005-0000-0000-0000F7180000}"/>
    <cellStyle name="Normal 5 2 4 2 6 3 2" xfId="14908" xr:uid="{4921542F-EE42-44E8-86CC-D90A23EF9191}"/>
    <cellStyle name="Normal 5 2 4 2 6 4" xfId="10690" xr:uid="{8C51153A-C019-4BCE-BD84-366D44500179}"/>
    <cellStyle name="Normal 5 2 4 2 7" xfId="2588" xr:uid="{00000000-0005-0000-0000-0000F8180000}"/>
    <cellStyle name="Normal 5 2 4 2 7 2" xfId="6871" xr:uid="{00000000-0005-0000-0000-0000F9180000}"/>
    <cellStyle name="Normal 5 2 4 2 7 2 2" xfId="15321" xr:uid="{43957B3F-439A-4D13-8140-4F22976639A5}"/>
    <cellStyle name="Normal 5 2 4 2 7 3" xfId="11103" xr:uid="{A14D3B59-A89E-4C4A-9B3B-E7EC4D3B9BEC}"/>
    <cellStyle name="Normal 5 2 4 2 8" xfId="4806" xr:uid="{00000000-0005-0000-0000-0000FA180000}"/>
    <cellStyle name="Normal 5 2 4 2 8 2" xfId="13256" xr:uid="{0E60364E-D655-4672-A11C-C79C776EF619}"/>
    <cellStyle name="Normal 5 2 4 2 9" xfId="9038" xr:uid="{8193A543-4114-468D-93A3-47B0A1FC529E}"/>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953D0541-F0FB-44F4-A74B-2A9B1EED97B8}"/>
    <cellStyle name="Normal 5 2 4 3 2 2 3" xfId="11598" xr:uid="{ECE814E3-8FD5-40C5-B560-EECB4346051E}"/>
    <cellStyle name="Normal 5 2 4 3 2 3" xfId="5221" xr:uid="{00000000-0005-0000-0000-0000FF180000}"/>
    <cellStyle name="Normal 5 2 4 3 2 3 2" xfId="13671" xr:uid="{FA62814F-7C57-4D00-A132-730149EB0EE8}"/>
    <cellStyle name="Normal 5 2 4 3 2 4" xfId="9453" xr:uid="{BEA7059E-FC12-4B33-8D52-59905342545B}"/>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3688FA2E-269B-4D98-B9B7-08F166828F9B}"/>
    <cellStyle name="Normal 5 2 4 3 3 2 3" xfId="12011" xr:uid="{CC7CFBB4-2E33-41D5-84AA-1427FA2694D4}"/>
    <cellStyle name="Normal 5 2 4 3 3 3" xfId="5634" xr:uid="{00000000-0005-0000-0000-000003190000}"/>
    <cellStyle name="Normal 5 2 4 3 3 3 2" xfId="14084" xr:uid="{83406079-2043-42AE-8159-0F8B1DC7696A}"/>
    <cellStyle name="Normal 5 2 4 3 3 4" xfId="9866" xr:uid="{32AE2F94-9183-4EA7-BB00-93B56A9904B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268B2A29-AF5F-4A61-9208-9A5D44ED9BFC}"/>
    <cellStyle name="Normal 5 2 4 3 4 2 3" xfId="12424" xr:uid="{76790DA2-9E6A-45E6-AE11-322C8BB7799B}"/>
    <cellStyle name="Normal 5 2 4 3 4 3" xfId="6047" xr:uid="{00000000-0005-0000-0000-000007190000}"/>
    <cellStyle name="Normal 5 2 4 3 4 3 2" xfId="14497" xr:uid="{FDD01633-016A-489E-AB52-CD6A6AA17D9C}"/>
    <cellStyle name="Normal 5 2 4 3 4 4" xfId="10279" xr:uid="{36D55B49-3AEE-4862-923F-6C7814D619E7}"/>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760820A4-1BD7-4403-881B-007247582388}"/>
    <cellStyle name="Normal 5 2 4 3 5 2 3" xfId="12837" xr:uid="{FD8A156C-AC52-456C-989B-0E23384AB354}"/>
    <cellStyle name="Normal 5 2 4 3 5 3" xfId="6460" xr:uid="{00000000-0005-0000-0000-00000B190000}"/>
    <cellStyle name="Normal 5 2 4 3 5 3 2" xfId="14910" xr:uid="{E6FB0C4D-6E0E-42D6-BD0A-218FCAD301C8}"/>
    <cellStyle name="Normal 5 2 4 3 5 4" xfId="10692" xr:uid="{0150009D-87F7-4517-BD3F-964F7DEBB448}"/>
    <cellStyle name="Normal 5 2 4 3 6" xfId="2590" xr:uid="{00000000-0005-0000-0000-00000C190000}"/>
    <cellStyle name="Normal 5 2 4 3 6 2" xfId="6873" xr:uid="{00000000-0005-0000-0000-00000D190000}"/>
    <cellStyle name="Normal 5 2 4 3 6 2 2" xfId="15323" xr:uid="{A30314E9-2AB6-4B07-B7CF-34E1EE9A7F3C}"/>
    <cellStyle name="Normal 5 2 4 3 6 3" xfId="11105" xr:uid="{4D6A3011-243F-4EBA-839E-6867241E3194}"/>
    <cellStyle name="Normal 5 2 4 3 7" xfId="4808" xr:uid="{00000000-0005-0000-0000-00000E190000}"/>
    <cellStyle name="Normal 5 2 4 3 7 2" xfId="13258" xr:uid="{CCF75A20-DB70-417D-BE5B-A9A0091129DB}"/>
    <cellStyle name="Normal 5 2 4 3 8" xfId="9040" xr:uid="{A82E5858-9086-40E3-BE47-A4DC76BB8D79}"/>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E99F75E1-5F46-420F-80F7-70C140CB5574}"/>
    <cellStyle name="Normal 5 2 4 4 2 3" xfId="11595" xr:uid="{0CB7369E-F2EA-4B97-A054-1E34AEED6415}"/>
    <cellStyle name="Normal 5 2 4 4 3" xfId="5218" xr:uid="{00000000-0005-0000-0000-000012190000}"/>
    <cellStyle name="Normal 5 2 4 4 3 2" xfId="13668" xr:uid="{B247FDD0-5526-4D6D-B489-EDBD5B0AFBA9}"/>
    <cellStyle name="Normal 5 2 4 4 4" xfId="9450" xr:uid="{0B812EE1-A887-4AC1-8D2D-01EDB21BA9FF}"/>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6A93EDEB-9EB5-45F1-BB20-88D25511F9F2}"/>
    <cellStyle name="Normal 5 2 4 5 2 3" xfId="12008" xr:uid="{67660BA7-5ACA-438C-9DA3-2EE211EF404E}"/>
    <cellStyle name="Normal 5 2 4 5 3" xfId="5631" xr:uid="{00000000-0005-0000-0000-000016190000}"/>
    <cellStyle name="Normal 5 2 4 5 3 2" xfId="14081" xr:uid="{55E3B4CF-397C-4346-968E-E80A0DB58FEF}"/>
    <cellStyle name="Normal 5 2 4 5 4" xfId="9863" xr:uid="{92AD82B1-A9E0-4037-9AA3-666DC7491269}"/>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95190265-035F-4DF3-8763-7D0EA606A08F}"/>
    <cellStyle name="Normal 5 2 4 6 2 3" xfId="12421" xr:uid="{831C52EA-C983-4870-BEF9-46BA5A5C46E9}"/>
    <cellStyle name="Normal 5 2 4 6 3" xfId="6044" xr:uid="{00000000-0005-0000-0000-00001A190000}"/>
    <cellStyle name="Normal 5 2 4 6 3 2" xfId="14494" xr:uid="{133F9BBE-63C9-4DD9-BADE-0A9001C8CFD3}"/>
    <cellStyle name="Normal 5 2 4 6 4" xfId="10276" xr:uid="{19940FB9-9FC5-4154-9505-2955BA3F11F9}"/>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E180ADE9-CFCF-4C2B-84F0-8D9C518A2DAC}"/>
    <cellStyle name="Normal 5 2 4 7 2 3" xfId="12834" xr:uid="{04ABA7EC-4D10-41E5-BF7D-1350EB0297D1}"/>
    <cellStyle name="Normal 5 2 4 7 3" xfId="6457" xr:uid="{00000000-0005-0000-0000-00001E190000}"/>
    <cellStyle name="Normal 5 2 4 7 3 2" xfId="14907" xr:uid="{7F99E09A-CCB8-4BCE-9C16-4EBCFA1E0723}"/>
    <cellStyle name="Normal 5 2 4 7 4" xfId="10689" xr:uid="{5AF37E7E-15D4-461A-B49A-4AE2A08B03C0}"/>
    <cellStyle name="Normal 5 2 4 8" xfId="2587" xr:uid="{00000000-0005-0000-0000-00001F190000}"/>
    <cellStyle name="Normal 5 2 4 8 2" xfId="6870" xr:uid="{00000000-0005-0000-0000-000020190000}"/>
    <cellStyle name="Normal 5 2 4 8 2 2" xfId="15320" xr:uid="{774304E0-86AA-4D0D-ADE1-C06468F2F061}"/>
    <cellStyle name="Normal 5 2 4 8 3" xfId="11102" xr:uid="{C33A5737-C4E8-4835-89CF-965E6ECA2423}"/>
    <cellStyle name="Normal 5 2 4 9" xfId="4805" xr:uid="{00000000-0005-0000-0000-000021190000}"/>
    <cellStyle name="Normal 5 2 4 9 2" xfId="13255" xr:uid="{367B222E-1595-4334-BD2D-691213FB3BFD}"/>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D854DBFE-9123-4737-89E8-3C98221DAB13}"/>
    <cellStyle name="Normal 5 2 5 2 2 2 3" xfId="11600" xr:uid="{78C67704-3E39-48E0-AF5D-5F207E693516}"/>
    <cellStyle name="Normal 5 2 5 2 2 3" xfId="5223" xr:uid="{00000000-0005-0000-0000-000027190000}"/>
    <cellStyle name="Normal 5 2 5 2 2 3 2" xfId="13673" xr:uid="{7C8F98A0-DC3F-46E2-9F12-2BB404859FC6}"/>
    <cellStyle name="Normal 5 2 5 2 2 4" xfId="9455" xr:uid="{E91E35C3-F36B-45F9-B4AC-06EB03A7898A}"/>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F3476615-5251-4499-A0AE-EF9A20E1F1AD}"/>
    <cellStyle name="Normal 5 2 5 2 3 2 3" xfId="12013" xr:uid="{430EF638-AB98-412E-8317-B7618A7A27C0}"/>
    <cellStyle name="Normal 5 2 5 2 3 3" xfId="5636" xr:uid="{00000000-0005-0000-0000-00002B190000}"/>
    <cellStyle name="Normal 5 2 5 2 3 3 2" xfId="14086" xr:uid="{CADD90CF-096D-4AA5-A1F3-AE6CD3419A9E}"/>
    <cellStyle name="Normal 5 2 5 2 3 4" xfId="9868" xr:uid="{BAC80673-7155-4444-87AB-017F375B57F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614EBCAB-38FA-4BB8-A501-BC80F37AFA58}"/>
    <cellStyle name="Normal 5 2 5 2 4 2 3" xfId="12426" xr:uid="{F6D7B2F8-9633-4FBA-BFB4-45895BA19067}"/>
    <cellStyle name="Normal 5 2 5 2 4 3" xfId="6049" xr:uid="{00000000-0005-0000-0000-00002F190000}"/>
    <cellStyle name="Normal 5 2 5 2 4 3 2" xfId="14499" xr:uid="{47D945C7-A08E-4F23-A63C-3897046D58F8}"/>
    <cellStyle name="Normal 5 2 5 2 4 4" xfId="10281" xr:uid="{63F7834C-ECD6-4E36-9E36-D91FAE313E8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A7E9D4BE-7019-42DA-A001-0C2F5E37B519}"/>
    <cellStyle name="Normal 5 2 5 2 5 2 3" xfId="12839" xr:uid="{32891EE0-518B-4FDE-A73A-471593FFCB7A}"/>
    <cellStyle name="Normal 5 2 5 2 5 3" xfId="6462" xr:uid="{00000000-0005-0000-0000-000033190000}"/>
    <cellStyle name="Normal 5 2 5 2 5 3 2" xfId="14912" xr:uid="{D4D4AFB2-1E6F-49D6-B8C7-F249599F7960}"/>
    <cellStyle name="Normal 5 2 5 2 5 4" xfId="10694" xr:uid="{B9D4A060-8026-40E6-B434-61412F7264D1}"/>
    <cellStyle name="Normal 5 2 5 2 6" xfId="2592" xr:uid="{00000000-0005-0000-0000-000034190000}"/>
    <cellStyle name="Normal 5 2 5 2 6 2" xfId="6875" xr:uid="{00000000-0005-0000-0000-000035190000}"/>
    <cellStyle name="Normal 5 2 5 2 6 2 2" xfId="15325" xr:uid="{587394D6-193A-4D04-A6BA-7552CA69BF4F}"/>
    <cellStyle name="Normal 5 2 5 2 6 3" xfId="11107" xr:uid="{3A24A964-C800-41BC-AACF-82D741A66960}"/>
    <cellStyle name="Normal 5 2 5 2 7" xfId="4810" xr:uid="{00000000-0005-0000-0000-000036190000}"/>
    <cellStyle name="Normal 5 2 5 2 7 2" xfId="13260" xr:uid="{9BD38ABE-B19C-4BEC-9057-BE2986B0E027}"/>
    <cellStyle name="Normal 5 2 5 2 8" xfId="9042" xr:uid="{3F383D1F-DE6A-4775-8551-B1CD35CA26E0}"/>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BCC976DE-F4F0-4A5A-A2EE-93D2E960375C}"/>
    <cellStyle name="Normal 5 2 5 3 2 3" xfId="11599" xr:uid="{9658A07A-83AF-41D5-806D-0B3E2D383061}"/>
    <cellStyle name="Normal 5 2 5 3 3" xfId="5222" xr:uid="{00000000-0005-0000-0000-00003A190000}"/>
    <cellStyle name="Normal 5 2 5 3 3 2" xfId="13672" xr:uid="{4CF110AB-4B71-4E63-A36C-F001765FD819}"/>
    <cellStyle name="Normal 5 2 5 3 4" xfId="9454" xr:uid="{42A00C38-8031-46C1-8F7B-D024DA1AE246}"/>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471C74FA-E92F-4B61-9C10-9830892455CF}"/>
    <cellStyle name="Normal 5 2 5 4 2 3" xfId="12012" xr:uid="{0ABF4197-1CB0-4B33-AABF-35DF04057DB8}"/>
    <cellStyle name="Normal 5 2 5 4 3" xfId="5635" xr:uid="{00000000-0005-0000-0000-00003E190000}"/>
    <cellStyle name="Normal 5 2 5 4 3 2" xfId="14085" xr:uid="{4E53B50C-8D1C-4361-B875-90C0F31C79BB}"/>
    <cellStyle name="Normal 5 2 5 4 4" xfId="9867" xr:uid="{C5E871D8-8B0A-46BE-ADE7-90253D6E9F6D}"/>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E2981A3C-AB2C-4626-90D1-D19ADCF46190}"/>
    <cellStyle name="Normal 5 2 5 5 2 3" xfId="12425" xr:uid="{20EC163B-275A-4AAC-906E-7CBF13B8ADDE}"/>
    <cellStyle name="Normal 5 2 5 5 3" xfId="6048" xr:uid="{00000000-0005-0000-0000-000042190000}"/>
    <cellStyle name="Normal 5 2 5 5 3 2" xfId="14498" xr:uid="{CFA3A1D2-A8EB-4CAF-AA8E-FB0AE9F6BF23}"/>
    <cellStyle name="Normal 5 2 5 5 4" xfId="10280" xr:uid="{218507EB-AB75-4736-B2E6-48021C440F40}"/>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9CF583F6-6A63-42C7-ACC8-C9712FA9052B}"/>
    <cellStyle name="Normal 5 2 5 6 2 3" xfId="12838" xr:uid="{5C1425A1-A503-4EBB-99A6-010E1AAF1E70}"/>
    <cellStyle name="Normal 5 2 5 6 3" xfId="6461" xr:uid="{00000000-0005-0000-0000-000046190000}"/>
    <cellStyle name="Normal 5 2 5 6 3 2" xfId="14911" xr:uid="{7D7B2F8F-1988-403F-A6D0-4FBE30758BA4}"/>
    <cellStyle name="Normal 5 2 5 6 4" xfId="10693" xr:uid="{10853055-01C7-4ACA-9CC1-1E931010845D}"/>
    <cellStyle name="Normal 5 2 5 7" xfId="2591" xr:uid="{00000000-0005-0000-0000-000047190000}"/>
    <cellStyle name="Normal 5 2 5 7 2" xfId="6874" xr:uid="{00000000-0005-0000-0000-000048190000}"/>
    <cellStyle name="Normal 5 2 5 7 2 2" xfId="15324" xr:uid="{69E0646A-B750-4327-80B6-DBC6A910A618}"/>
    <cellStyle name="Normal 5 2 5 7 3" xfId="11106" xr:uid="{46EE7886-1CD8-4D93-BD6F-65BB232AD2AC}"/>
    <cellStyle name="Normal 5 2 5 8" xfId="4809" xr:uid="{00000000-0005-0000-0000-000049190000}"/>
    <cellStyle name="Normal 5 2 5 8 2" xfId="13259" xr:uid="{162E97BF-CB8A-42B5-B717-EB4BAFB81782}"/>
    <cellStyle name="Normal 5 2 5 9" xfId="9041" xr:uid="{02A53D3C-77A1-4236-8C9E-542B0842338F}"/>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9EC9715C-FAF2-4E59-AD00-E94221500574}"/>
    <cellStyle name="Normal 5 2 6 2 2 3" xfId="11601" xr:uid="{805DBFD9-B2B5-4BF1-A9AD-58AE349675F0}"/>
    <cellStyle name="Normal 5 2 6 2 3" xfId="5224" xr:uid="{00000000-0005-0000-0000-00004E190000}"/>
    <cellStyle name="Normal 5 2 6 2 3 2" xfId="13674" xr:uid="{CA7CE9B9-AA6F-4F20-9D8B-17C817AE22D4}"/>
    <cellStyle name="Normal 5 2 6 2 4" xfId="9456" xr:uid="{B75ADB82-B722-44FB-9F43-8876411284EC}"/>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6C1EFEFF-BADF-490A-A81D-86651FE1F4C9}"/>
    <cellStyle name="Normal 5 2 6 3 2 3" xfId="12014" xr:uid="{D50B30BD-85B9-40C3-A021-A76D49FDB0AF}"/>
    <cellStyle name="Normal 5 2 6 3 3" xfId="5637" xr:uid="{00000000-0005-0000-0000-000052190000}"/>
    <cellStyle name="Normal 5 2 6 3 3 2" xfId="14087" xr:uid="{9771B0BE-E12A-42C4-BEB4-B17C720B66CF}"/>
    <cellStyle name="Normal 5 2 6 3 4" xfId="9869" xr:uid="{48D7DBDE-2F4F-4BA2-B94E-01BF0DFF8167}"/>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5968EE73-449A-42FB-877B-C105F57C3DA2}"/>
    <cellStyle name="Normal 5 2 6 4 2 3" xfId="12427" xr:uid="{0CF9C948-A99B-4C06-BED6-9C84B8AFDDF6}"/>
    <cellStyle name="Normal 5 2 6 4 3" xfId="6050" xr:uid="{00000000-0005-0000-0000-000056190000}"/>
    <cellStyle name="Normal 5 2 6 4 3 2" xfId="14500" xr:uid="{A234280E-090F-4717-A41A-F29D166078C1}"/>
    <cellStyle name="Normal 5 2 6 4 4" xfId="10282" xr:uid="{50A03C14-B0A6-4068-B6EF-AF27EAD00CAB}"/>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A7F17C03-2389-4176-BE5F-146274CD37DA}"/>
    <cellStyle name="Normal 5 2 6 5 2 3" xfId="12840" xr:uid="{F7842A2F-1007-4556-8C4D-8D6AD3291C33}"/>
    <cellStyle name="Normal 5 2 6 5 3" xfId="6463" xr:uid="{00000000-0005-0000-0000-00005A190000}"/>
    <cellStyle name="Normal 5 2 6 5 3 2" xfId="14913" xr:uid="{0354818C-3583-4AA4-B593-50F52E78F82C}"/>
    <cellStyle name="Normal 5 2 6 5 4" xfId="10695" xr:uid="{0314DF3F-B798-4A85-B562-3ACC591937D2}"/>
    <cellStyle name="Normal 5 2 6 6" xfId="2593" xr:uid="{00000000-0005-0000-0000-00005B190000}"/>
    <cellStyle name="Normal 5 2 6 6 2" xfId="6876" xr:uid="{00000000-0005-0000-0000-00005C190000}"/>
    <cellStyle name="Normal 5 2 6 6 2 2" xfId="15326" xr:uid="{9EDE70E6-59A4-45BD-B850-F9C60CEDBA1E}"/>
    <cellStyle name="Normal 5 2 6 6 3" xfId="11108" xr:uid="{F1F7F8FF-7FA6-4481-9526-7FC7B03B4115}"/>
    <cellStyle name="Normal 5 2 6 7" xfId="4811" xr:uid="{00000000-0005-0000-0000-00005D190000}"/>
    <cellStyle name="Normal 5 2 6 7 2" xfId="13261" xr:uid="{70C6BB70-2A1B-45E2-A3CC-06B159D34DEF}"/>
    <cellStyle name="Normal 5 2 6 8" xfId="9043" xr:uid="{5AAC6BBA-4196-48DE-8A12-FA71F5A32F33}"/>
    <cellStyle name="Normal 5 2 7" xfId="881" xr:uid="{00000000-0005-0000-0000-00005E190000}"/>
    <cellStyle name="Normal 5 2 7 2" xfId="3116" xr:uid="{00000000-0005-0000-0000-00005F190000}"/>
    <cellStyle name="Normal 5 2 7 2 2" xfId="7338" xr:uid="{00000000-0005-0000-0000-000060190000}"/>
    <cellStyle name="Normal 5 2 7 2 2 2" xfId="15788" xr:uid="{6EE74DD3-D050-4C9B-A62E-D6EF21627692}"/>
    <cellStyle name="Normal 5 2 7 2 3" xfId="11570" xr:uid="{3B53BF1C-E163-42A2-A3BF-F90A14FF8ADB}"/>
    <cellStyle name="Normal 5 2 7 3" xfId="5193" xr:uid="{00000000-0005-0000-0000-000061190000}"/>
    <cellStyle name="Normal 5 2 7 3 2" xfId="13643" xr:uid="{6E9B24D1-766D-4321-BD2B-ECFB7DBE3AD1}"/>
    <cellStyle name="Normal 5 2 7 4" xfId="9425" xr:uid="{A1E33364-E728-45CF-9367-D63F636E7680}"/>
    <cellStyle name="Normal 5 2 8" xfId="1299" xr:uid="{00000000-0005-0000-0000-000062190000}"/>
    <cellStyle name="Normal 5 2 8 2" xfId="3529" xr:uid="{00000000-0005-0000-0000-000063190000}"/>
    <cellStyle name="Normal 5 2 8 2 2" xfId="7751" xr:uid="{00000000-0005-0000-0000-000064190000}"/>
    <cellStyle name="Normal 5 2 8 2 2 2" xfId="16201" xr:uid="{65FB67CF-AE0B-4FDE-90B8-F51E0BE5E9CB}"/>
    <cellStyle name="Normal 5 2 8 2 3" xfId="11983" xr:uid="{A72EE337-EE6C-4372-84D5-533786032878}"/>
    <cellStyle name="Normal 5 2 8 3" xfId="5606" xr:uid="{00000000-0005-0000-0000-000065190000}"/>
    <cellStyle name="Normal 5 2 8 3 2" xfId="14056" xr:uid="{B518956B-9ED3-477C-BCEF-209EB035F18A}"/>
    <cellStyle name="Normal 5 2 8 4" xfId="9838" xr:uid="{53F33D51-4221-4104-8CD8-9ABF0D18D83E}"/>
    <cellStyle name="Normal 5 2 9" xfId="1712" xr:uid="{00000000-0005-0000-0000-000066190000}"/>
    <cellStyle name="Normal 5 2 9 2" xfId="3942" xr:uid="{00000000-0005-0000-0000-000067190000}"/>
    <cellStyle name="Normal 5 2 9 2 2" xfId="8164" xr:uid="{00000000-0005-0000-0000-000068190000}"/>
    <cellStyle name="Normal 5 2 9 2 2 2" xfId="16614" xr:uid="{C8B5470E-5F8C-4C74-B370-DBFAD060A51D}"/>
    <cellStyle name="Normal 5 2 9 2 3" xfId="12396" xr:uid="{ABD238F0-5054-40A5-A595-B1A3C6BA3DF6}"/>
    <cellStyle name="Normal 5 2 9 3" xfId="6019" xr:uid="{00000000-0005-0000-0000-000069190000}"/>
    <cellStyle name="Normal 5 2 9 3 2" xfId="14469" xr:uid="{0DC69E48-0A27-4D16-A145-505CB32B65E5}"/>
    <cellStyle name="Normal 5 2 9 4" xfId="10251" xr:uid="{5F33A1C2-C3DA-44D6-B6F1-781BE5292E8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7FE7D8A6-9E6D-496C-97A3-51446A0831B3}"/>
    <cellStyle name="Normal 5 3 10 2 3" xfId="12841" xr:uid="{05DC156F-DE1D-4216-A6D3-E6C25CCE2900}"/>
    <cellStyle name="Normal 5 3 10 3" xfId="6464" xr:uid="{00000000-0005-0000-0000-00006E190000}"/>
    <cellStyle name="Normal 5 3 10 3 2" xfId="14914" xr:uid="{35EB2616-AE7C-40E7-A46B-557E0CA73815}"/>
    <cellStyle name="Normal 5 3 10 4" xfId="10696" xr:uid="{E10D56D5-2B68-4AA4-B222-4D48B29FF81E}"/>
    <cellStyle name="Normal 5 3 11" xfId="2594" xr:uid="{00000000-0005-0000-0000-00006F190000}"/>
    <cellStyle name="Normal 5 3 11 2" xfId="6877" xr:uid="{00000000-0005-0000-0000-000070190000}"/>
    <cellStyle name="Normal 5 3 11 2 2" xfId="15327" xr:uid="{7572BD67-9230-49AF-8895-ED8A58993F13}"/>
    <cellStyle name="Normal 5 3 11 3" xfId="11109" xr:uid="{5318085B-D302-4384-8F70-AC0E5BF40CBD}"/>
    <cellStyle name="Normal 5 3 12" xfId="4812" xr:uid="{00000000-0005-0000-0000-000071190000}"/>
    <cellStyle name="Normal 5 3 12 2" xfId="13262" xr:uid="{E79D33E9-1E54-433D-BD61-0A5E98A00159}"/>
    <cellStyle name="Normal 5 3 13" xfId="9044" xr:uid="{DC3F1178-2BE7-443C-B3DF-F524A0D6E2C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8A250CA5-1191-4B59-9D7F-7102782AC5FC}"/>
    <cellStyle name="Normal 5 3 3 11" xfId="9045" xr:uid="{5ED3DDCB-3B55-49A0-BBF8-0D9C7493A5A4}"/>
    <cellStyle name="Normal 5 3 3 2" xfId="442" xr:uid="{00000000-0005-0000-0000-000076190000}"/>
    <cellStyle name="Normal 5 3 3 2 10" xfId="9046" xr:uid="{A3B39DEF-63FB-4D42-AE81-14CED24CEDB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96917A49-1BC1-4104-9E08-9F594A52F5F8}"/>
    <cellStyle name="Normal 5 3 3 2 2 2 2 2 3" xfId="11606" xr:uid="{02873D03-1635-472F-8B9E-DF1224556C02}"/>
    <cellStyle name="Normal 5 3 3 2 2 2 2 3" xfId="5229" xr:uid="{00000000-0005-0000-0000-00007C190000}"/>
    <cellStyle name="Normal 5 3 3 2 2 2 2 3 2" xfId="13679" xr:uid="{1A3227D7-635F-46F1-8DB5-40B0FE1688EA}"/>
    <cellStyle name="Normal 5 3 3 2 2 2 2 4" xfId="9461" xr:uid="{45B68440-B103-48AA-A003-9CC7B26D364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C98A6856-77C8-437D-AAEA-9C2C6DB2491B}"/>
    <cellStyle name="Normal 5 3 3 2 2 2 3 2 3" xfId="12019" xr:uid="{1AD1D10F-92F2-4583-A556-730143688684}"/>
    <cellStyle name="Normal 5 3 3 2 2 2 3 3" xfId="5642" xr:uid="{00000000-0005-0000-0000-000080190000}"/>
    <cellStyle name="Normal 5 3 3 2 2 2 3 3 2" xfId="14092" xr:uid="{33F008A7-90CE-4E6C-A1C4-EA66B6D19C24}"/>
    <cellStyle name="Normal 5 3 3 2 2 2 3 4" xfId="9874" xr:uid="{359502AB-2315-495D-8282-E062B52E00A9}"/>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3ADEB2C2-ACE4-4F01-A6C6-312DB4F60A01}"/>
    <cellStyle name="Normal 5 3 3 2 2 2 4 2 3" xfId="12432" xr:uid="{F135A739-13FD-40AC-A5DE-E4A274F17F1C}"/>
    <cellStyle name="Normal 5 3 3 2 2 2 4 3" xfId="6055" xr:uid="{00000000-0005-0000-0000-000084190000}"/>
    <cellStyle name="Normal 5 3 3 2 2 2 4 3 2" xfId="14505" xr:uid="{6E73F730-8BF1-4B58-A6A4-BA974E22D07D}"/>
    <cellStyle name="Normal 5 3 3 2 2 2 4 4" xfId="10287" xr:uid="{F479F9EB-11A0-42CE-AFB8-902D553A7547}"/>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53749379-03B8-4B4D-8413-B7EA72BAFCD7}"/>
    <cellStyle name="Normal 5 3 3 2 2 2 5 2 3" xfId="12845" xr:uid="{8A7EBF7B-D390-45A4-91E4-F1A0E6C79106}"/>
    <cellStyle name="Normal 5 3 3 2 2 2 5 3" xfId="6468" xr:uid="{00000000-0005-0000-0000-000088190000}"/>
    <cellStyle name="Normal 5 3 3 2 2 2 5 3 2" xfId="14918" xr:uid="{A462DCAE-85E3-4895-89C9-2837214F8351}"/>
    <cellStyle name="Normal 5 3 3 2 2 2 5 4" xfId="10700" xr:uid="{C8AC049C-B516-4AFE-BBA2-58A38991D68A}"/>
    <cellStyle name="Normal 5 3 3 2 2 2 6" xfId="2598" xr:uid="{00000000-0005-0000-0000-000089190000}"/>
    <cellStyle name="Normal 5 3 3 2 2 2 6 2" xfId="6881" xr:uid="{00000000-0005-0000-0000-00008A190000}"/>
    <cellStyle name="Normal 5 3 3 2 2 2 6 2 2" xfId="15331" xr:uid="{3D913872-79F4-4A57-BA19-ECD1A1DC060B}"/>
    <cellStyle name="Normal 5 3 3 2 2 2 6 3" xfId="11113" xr:uid="{E1D7C5C1-3BDA-4674-A385-BBE7F0664312}"/>
    <cellStyle name="Normal 5 3 3 2 2 2 7" xfId="4816" xr:uid="{00000000-0005-0000-0000-00008B190000}"/>
    <cellStyle name="Normal 5 3 3 2 2 2 7 2" xfId="13266" xr:uid="{B237442A-1748-44FA-B604-FA1C00DFC233}"/>
    <cellStyle name="Normal 5 3 3 2 2 2 8" xfId="9048" xr:uid="{16D2EDFA-F6E6-4E43-BB66-CC56E975F92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941C8A51-92D9-44FA-B998-8F83C4530F65}"/>
    <cellStyle name="Normal 5 3 3 2 2 3 2 3" xfId="11605" xr:uid="{FD02F486-454D-4DF3-AAFA-9EFECB5FA75A}"/>
    <cellStyle name="Normal 5 3 3 2 2 3 3" xfId="5228" xr:uid="{00000000-0005-0000-0000-00008F190000}"/>
    <cellStyle name="Normal 5 3 3 2 2 3 3 2" xfId="13678" xr:uid="{37D3B124-3AB2-4E74-B90C-B09BF6C6FE3C}"/>
    <cellStyle name="Normal 5 3 3 2 2 3 4" xfId="9460" xr:uid="{472D634C-ABD2-407C-A6CC-689D219E22E3}"/>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C0568B01-811D-4B73-B4EE-630CA6CA3A28}"/>
    <cellStyle name="Normal 5 3 3 2 2 4 2 3" xfId="12018" xr:uid="{F30258AD-A191-4C43-8C35-AA2EF54FAF1E}"/>
    <cellStyle name="Normal 5 3 3 2 2 4 3" xfId="5641" xr:uid="{00000000-0005-0000-0000-000093190000}"/>
    <cellStyle name="Normal 5 3 3 2 2 4 3 2" xfId="14091" xr:uid="{BEA4E52B-7C66-4DD5-A52B-7A6D8743A1E0}"/>
    <cellStyle name="Normal 5 3 3 2 2 4 4" xfId="9873" xr:uid="{80F9F600-45AB-42CD-94ED-D4D93869ED2F}"/>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EB9CDDCD-DBCD-41CA-B8C7-6B7FA52BF15B}"/>
    <cellStyle name="Normal 5 3 3 2 2 5 2 3" xfId="12431" xr:uid="{8ADB3400-75F6-46D6-B22B-4717DB30AE3E}"/>
    <cellStyle name="Normal 5 3 3 2 2 5 3" xfId="6054" xr:uid="{00000000-0005-0000-0000-000097190000}"/>
    <cellStyle name="Normal 5 3 3 2 2 5 3 2" xfId="14504" xr:uid="{1E9CC9B8-AA6D-4751-834F-D342A795CD6A}"/>
    <cellStyle name="Normal 5 3 3 2 2 5 4" xfId="10286" xr:uid="{833C9E81-3786-499A-95B4-243FF511A24D}"/>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15E4583B-E515-4FD7-A09D-E3D1A612292E}"/>
    <cellStyle name="Normal 5 3 3 2 2 6 2 3" xfId="12844" xr:uid="{5AA0EC99-66CF-44FD-AFAD-E6EBBFD5BA4C}"/>
    <cellStyle name="Normal 5 3 3 2 2 6 3" xfId="6467" xr:uid="{00000000-0005-0000-0000-00009B190000}"/>
    <cellStyle name="Normal 5 3 3 2 2 6 3 2" xfId="14917" xr:uid="{4A370E13-71D3-409A-9AE1-B1D95ADAD10E}"/>
    <cellStyle name="Normal 5 3 3 2 2 6 4" xfId="10699" xr:uid="{DD0D967B-3712-42F7-BFCF-258436AC50AE}"/>
    <cellStyle name="Normal 5 3 3 2 2 7" xfId="2597" xr:uid="{00000000-0005-0000-0000-00009C190000}"/>
    <cellStyle name="Normal 5 3 3 2 2 7 2" xfId="6880" xr:uid="{00000000-0005-0000-0000-00009D190000}"/>
    <cellStyle name="Normal 5 3 3 2 2 7 2 2" xfId="15330" xr:uid="{207DC973-A81E-44D2-8D11-539754B1B695}"/>
    <cellStyle name="Normal 5 3 3 2 2 7 3" xfId="11112" xr:uid="{16825C44-8EF6-41CD-B037-4C09AAB5EA55}"/>
    <cellStyle name="Normal 5 3 3 2 2 8" xfId="4815" xr:uid="{00000000-0005-0000-0000-00009E190000}"/>
    <cellStyle name="Normal 5 3 3 2 2 8 2" xfId="13265" xr:uid="{8DC00A8B-BBB6-4E6E-B440-DCDBE31B98D0}"/>
    <cellStyle name="Normal 5 3 3 2 2 9" xfId="9047" xr:uid="{75263521-B492-477A-BEE0-F05BBEC6E654}"/>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78481756-32F3-4B98-B7B5-5788A40FCCBD}"/>
    <cellStyle name="Normal 5 3 3 2 3 2 2 3" xfId="11607" xr:uid="{280A54B8-6EBC-4B02-9888-1D55771CA643}"/>
    <cellStyle name="Normal 5 3 3 2 3 2 3" xfId="5230" xr:uid="{00000000-0005-0000-0000-0000A3190000}"/>
    <cellStyle name="Normal 5 3 3 2 3 2 3 2" xfId="13680" xr:uid="{CE147ACB-6931-4B4B-B7D2-FAB5CF81F221}"/>
    <cellStyle name="Normal 5 3 3 2 3 2 4" xfId="9462" xr:uid="{00DE0805-6104-4531-824E-7AF7614BCE07}"/>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19061410-5CBD-48D8-BC54-44FE28A363B5}"/>
    <cellStyle name="Normal 5 3 3 2 3 3 2 3" xfId="12020" xr:uid="{925D257C-BC92-437B-8B8F-3240B701924D}"/>
    <cellStyle name="Normal 5 3 3 2 3 3 3" xfId="5643" xr:uid="{00000000-0005-0000-0000-0000A7190000}"/>
    <cellStyle name="Normal 5 3 3 2 3 3 3 2" xfId="14093" xr:uid="{534805EC-F5B5-44CC-B028-DE4F19E5A5B3}"/>
    <cellStyle name="Normal 5 3 3 2 3 3 4" xfId="9875" xr:uid="{A23E59B0-6B07-4CB3-A345-A47E783AF65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19DE24E4-D301-4EC2-AF81-17CEE43DA9EE}"/>
    <cellStyle name="Normal 5 3 3 2 3 4 2 3" xfId="12433" xr:uid="{59402C0A-740C-4ABE-83E4-F283CA8F5468}"/>
    <cellStyle name="Normal 5 3 3 2 3 4 3" xfId="6056" xr:uid="{00000000-0005-0000-0000-0000AB190000}"/>
    <cellStyle name="Normal 5 3 3 2 3 4 3 2" xfId="14506" xr:uid="{FB649EDC-563D-46CF-8355-870FA68D9303}"/>
    <cellStyle name="Normal 5 3 3 2 3 4 4" xfId="10288" xr:uid="{4E03725D-1D4F-4C99-B704-D9230F757C9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8511AD6E-0AAB-447D-A57A-6D603BB7FF77}"/>
    <cellStyle name="Normal 5 3 3 2 3 5 2 3" xfId="12846" xr:uid="{339E88FE-339A-4AAA-9F54-6CA48435F32F}"/>
    <cellStyle name="Normal 5 3 3 2 3 5 3" xfId="6469" xr:uid="{00000000-0005-0000-0000-0000AF190000}"/>
    <cellStyle name="Normal 5 3 3 2 3 5 3 2" xfId="14919" xr:uid="{3B57A464-840A-4ADA-BA3B-7D8DF056383B}"/>
    <cellStyle name="Normal 5 3 3 2 3 5 4" xfId="10701" xr:uid="{F733FFE6-5D94-4F7B-84F4-E209F4E06F2E}"/>
    <cellStyle name="Normal 5 3 3 2 3 6" xfId="2599" xr:uid="{00000000-0005-0000-0000-0000B0190000}"/>
    <cellStyle name="Normal 5 3 3 2 3 6 2" xfId="6882" xr:uid="{00000000-0005-0000-0000-0000B1190000}"/>
    <cellStyle name="Normal 5 3 3 2 3 6 2 2" xfId="15332" xr:uid="{4B6DCF8F-B759-4435-8928-5BA3F5695BE8}"/>
    <cellStyle name="Normal 5 3 3 2 3 6 3" xfId="11114" xr:uid="{206B404F-1530-414E-8FDB-EA919F01FE91}"/>
    <cellStyle name="Normal 5 3 3 2 3 7" xfId="4817" xr:uid="{00000000-0005-0000-0000-0000B2190000}"/>
    <cellStyle name="Normal 5 3 3 2 3 7 2" xfId="13267" xr:uid="{582CB739-158B-423F-AD84-0FA5D6511EF9}"/>
    <cellStyle name="Normal 5 3 3 2 3 8" xfId="9049" xr:uid="{343C2C6B-60D4-46CA-A9B7-9F056F4A299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23A42FD3-E61F-42B0-A262-370F1E6EFC19}"/>
    <cellStyle name="Normal 5 3 3 2 4 2 3" xfId="11604" xr:uid="{9A9783D8-83A7-4E1D-ACA3-64981DBDDD67}"/>
    <cellStyle name="Normal 5 3 3 2 4 3" xfId="5227" xr:uid="{00000000-0005-0000-0000-0000B6190000}"/>
    <cellStyle name="Normal 5 3 3 2 4 3 2" xfId="13677" xr:uid="{ADA0930C-271D-4D8D-A864-62EDCFDCF041}"/>
    <cellStyle name="Normal 5 3 3 2 4 4" xfId="9459" xr:uid="{FA48E95B-BB46-4AF4-9323-14CF2E1532B2}"/>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E7A30721-FED3-492D-82A0-C7AFCFD0481E}"/>
    <cellStyle name="Normal 5 3 3 2 5 2 3" xfId="12017" xr:uid="{7C6E2127-F205-48F7-9E3A-3FD8A062FB23}"/>
    <cellStyle name="Normal 5 3 3 2 5 3" xfId="5640" xr:uid="{00000000-0005-0000-0000-0000BA190000}"/>
    <cellStyle name="Normal 5 3 3 2 5 3 2" xfId="14090" xr:uid="{A2546FEE-195F-4028-A7EC-88D8F5F94B6D}"/>
    <cellStyle name="Normal 5 3 3 2 5 4" xfId="9872" xr:uid="{366DEB98-0CD1-4E42-8317-A48BE0A29430}"/>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618CF6A2-786E-4F95-8868-C265FA5F9250}"/>
    <cellStyle name="Normal 5 3 3 2 6 2 3" xfId="12430" xr:uid="{538704B7-1236-4B8A-97A2-52B03D2969BC}"/>
    <cellStyle name="Normal 5 3 3 2 6 3" xfId="6053" xr:uid="{00000000-0005-0000-0000-0000BE190000}"/>
    <cellStyle name="Normal 5 3 3 2 6 3 2" xfId="14503" xr:uid="{83248DE6-9B5C-4F9E-A5A6-28B65F11C87F}"/>
    <cellStyle name="Normal 5 3 3 2 6 4" xfId="10285" xr:uid="{EF4B53AE-F553-42E8-87F3-022B46F08167}"/>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FFEF0488-D633-47C9-A940-7E8EBF4E4C6D}"/>
    <cellStyle name="Normal 5 3 3 2 7 2 3" xfId="12843" xr:uid="{5AE68810-B392-4FC2-A7F2-E674E2DE491B}"/>
    <cellStyle name="Normal 5 3 3 2 7 3" xfId="6466" xr:uid="{00000000-0005-0000-0000-0000C2190000}"/>
    <cellStyle name="Normal 5 3 3 2 7 3 2" xfId="14916" xr:uid="{E3AA4297-8B08-4105-8EA4-96AA9084E2A1}"/>
    <cellStyle name="Normal 5 3 3 2 7 4" xfId="10698" xr:uid="{CA8F8FD4-CD1D-4606-BCB4-BBCDA13C6EA4}"/>
    <cellStyle name="Normal 5 3 3 2 8" xfId="2596" xr:uid="{00000000-0005-0000-0000-0000C3190000}"/>
    <cellStyle name="Normal 5 3 3 2 8 2" xfId="6879" xr:uid="{00000000-0005-0000-0000-0000C4190000}"/>
    <cellStyle name="Normal 5 3 3 2 8 2 2" xfId="15329" xr:uid="{242C0E31-DE56-4694-AABC-D3BE80DA8CB1}"/>
    <cellStyle name="Normal 5 3 3 2 8 3" xfId="11111" xr:uid="{130A3558-B619-4A34-A5D8-156ADEAD9155}"/>
    <cellStyle name="Normal 5 3 3 2 9" xfId="4814" xr:uid="{00000000-0005-0000-0000-0000C5190000}"/>
    <cellStyle name="Normal 5 3 3 2 9 2" xfId="13264" xr:uid="{BC1F8BD9-DC25-4A87-BD40-488BB1C0D6FF}"/>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14C8A4D7-E881-424E-A8CE-29E41735AD49}"/>
    <cellStyle name="Normal 5 3 3 3 2 2 2 3" xfId="11609" xr:uid="{FD934DAB-F3D2-4D3C-BD42-8C6B449181E3}"/>
    <cellStyle name="Normal 5 3 3 3 2 2 3" xfId="5232" xr:uid="{00000000-0005-0000-0000-0000CB190000}"/>
    <cellStyle name="Normal 5 3 3 3 2 2 3 2" xfId="13682" xr:uid="{1D0E155E-B0BA-4D29-9F2C-9CDEA7CFBD97}"/>
    <cellStyle name="Normal 5 3 3 3 2 2 4" xfId="9464" xr:uid="{0712E9E6-94B5-41DC-9BCD-95B0EB537DC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9E350599-B9E6-4611-BA2D-E46E53945633}"/>
    <cellStyle name="Normal 5 3 3 3 2 3 2 3" xfId="12022" xr:uid="{1963449E-0DDD-44E2-8C2C-69AB69812278}"/>
    <cellStyle name="Normal 5 3 3 3 2 3 3" xfId="5645" xr:uid="{00000000-0005-0000-0000-0000CF190000}"/>
    <cellStyle name="Normal 5 3 3 3 2 3 3 2" xfId="14095" xr:uid="{E5F79EC7-CCE3-4E1F-8E07-ED3E6E0EFC79}"/>
    <cellStyle name="Normal 5 3 3 3 2 3 4" xfId="9877" xr:uid="{14707DF8-A043-4670-BA95-C4F38B27F15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5597F815-A674-47ED-B8E3-0766CE86BCDB}"/>
    <cellStyle name="Normal 5 3 3 3 2 4 2 3" xfId="12435" xr:uid="{CBCF6A4E-9872-485A-9547-22198B46CD53}"/>
    <cellStyle name="Normal 5 3 3 3 2 4 3" xfId="6058" xr:uid="{00000000-0005-0000-0000-0000D3190000}"/>
    <cellStyle name="Normal 5 3 3 3 2 4 3 2" xfId="14508" xr:uid="{183972BA-9F91-4EF6-BF1B-3C67FC06D79D}"/>
    <cellStyle name="Normal 5 3 3 3 2 4 4" xfId="10290" xr:uid="{180C8133-EA34-4944-9876-6543634A3054}"/>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4BFE7294-61EB-4E49-B5E3-6A41CAF2B0E1}"/>
    <cellStyle name="Normal 5 3 3 3 2 5 2 3" xfId="12848" xr:uid="{6414263A-12FD-4F7D-A856-A373E4A44673}"/>
    <cellStyle name="Normal 5 3 3 3 2 5 3" xfId="6471" xr:uid="{00000000-0005-0000-0000-0000D7190000}"/>
    <cellStyle name="Normal 5 3 3 3 2 5 3 2" xfId="14921" xr:uid="{5C74788A-3416-4844-B2B1-678CCC5FFAEE}"/>
    <cellStyle name="Normal 5 3 3 3 2 5 4" xfId="10703" xr:uid="{74EC3038-60A6-48C2-A5E4-29608C5D026C}"/>
    <cellStyle name="Normal 5 3 3 3 2 6" xfId="2601" xr:uid="{00000000-0005-0000-0000-0000D8190000}"/>
    <cellStyle name="Normal 5 3 3 3 2 6 2" xfId="6884" xr:uid="{00000000-0005-0000-0000-0000D9190000}"/>
    <cellStyle name="Normal 5 3 3 3 2 6 2 2" xfId="15334" xr:uid="{CF80C6B5-CB46-4A41-8497-55DAEE3FB684}"/>
    <cellStyle name="Normal 5 3 3 3 2 6 3" xfId="11116" xr:uid="{11430E6A-2B49-43E3-8A69-AB2E6B904C17}"/>
    <cellStyle name="Normal 5 3 3 3 2 7" xfId="4819" xr:uid="{00000000-0005-0000-0000-0000DA190000}"/>
    <cellStyle name="Normal 5 3 3 3 2 7 2" xfId="13269" xr:uid="{F6A64E2C-9932-4BFE-9F89-7EF62A08F2D0}"/>
    <cellStyle name="Normal 5 3 3 3 2 8" xfId="9051" xr:uid="{D83DDDCB-ECF7-4299-A51E-DBA96DC3C51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F033CA1A-28D3-45BC-A269-A601CEF0334E}"/>
    <cellStyle name="Normal 5 3 3 3 3 2 3" xfId="11608" xr:uid="{E51F2339-732A-4EFB-BE8C-E20F973EAB87}"/>
    <cellStyle name="Normal 5 3 3 3 3 3" xfId="5231" xr:uid="{00000000-0005-0000-0000-0000DE190000}"/>
    <cellStyle name="Normal 5 3 3 3 3 3 2" xfId="13681" xr:uid="{6A2E47DF-5D50-4E01-8592-116EABD9F9E5}"/>
    <cellStyle name="Normal 5 3 3 3 3 4" xfId="9463" xr:uid="{67050B60-F5BA-4946-9BA2-80DF65F6D03C}"/>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E13F4900-7734-4187-8095-9D2F1CBD109B}"/>
    <cellStyle name="Normal 5 3 3 3 4 2 3" xfId="12021" xr:uid="{DD370E25-CD28-4C75-8183-0216A419E15B}"/>
    <cellStyle name="Normal 5 3 3 3 4 3" xfId="5644" xr:uid="{00000000-0005-0000-0000-0000E2190000}"/>
    <cellStyle name="Normal 5 3 3 3 4 3 2" xfId="14094" xr:uid="{9FB2946D-AD5B-4C8B-99AD-89BA953BBAD5}"/>
    <cellStyle name="Normal 5 3 3 3 4 4" xfId="9876" xr:uid="{AEEA1E2A-B16E-46D0-9DC3-F068746703E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26C5ECC6-F84A-49B5-9C17-8280745F8679}"/>
    <cellStyle name="Normal 5 3 3 3 5 2 3" xfId="12434" xr:uid="{44F84867-16BB-4681-A6AC-2E4570566A3C}"/>
    <cellStyle name="Normal 5 3 3 3 5 3" xfId="6057" xr:uid="{00000000-0005-0000-0000-0000E6190000}"/>
    <cellStyle name="Normal 5 3 3 3 5 3 2" xfId="14507" xr:uid="{9C5E7494-6DF1-483F-B3A3-AF329BA8FC8C}"/>
    <cellStyle name="Normal 5 3 3 3 5 4" xfId="10289" xr:uid="{6CB9A4DB-A046-4B36-AEE3-E48EB50453D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8AE3B6E6-3A18-4DDA-8408-7CFC27DD5704}"/>
    <cellStyle name="Normal 5 3 3 3 6 2 3" xfId="12847" xr:uid="{E4D8449D-AD6C-4C3F-88B3-97B8514A6B84}"/>
    <cellStyle name="Normal 5 3 3 3 6 3" xfId="6470" xr:uid="{00000000-0005-0000-0000-0000EA190000}"/>
    <cellStyle name="Normal 5 3 3 3 6 3 2" xfId="14920" xr:uid="{CE6C1B2D-8F69-4474-ABD7-A2E639C0BEBB}"/>
    <cellStyle name="Normal 5 3 3 3 6 4" xfId="10702" xr:uid="{1965C5CF-EC4C-407C-BBE9-86A6F7102E06}"/>
    <cellStyle name="Normal 5 3 3 3 7" xfId="2600" xr:uid="{00000000-0005-0000-0000-0000EB190000}"/>
    <cellStyle name="Normal 5 3 3 3 7 2" xfId="6883" xr:uid="{00000000-0005-0000-0000-0000EC190000}"/>
    <cellStyle name="Normal 5 3 3 3 7 2 2" xfId="15333" xr:uid="{1BC080DF-FC99-4C05-8C74-9C7039A881AF}"/>
    <cellStyle name="Normal 5 3 3 3 7 3" xfId="11115" xr:uid="{FD03972C-03E7-4D89-9C69-D6382E8115EE}"/>
    <cellStyle name="Normal 5 3 3 3 8" xfId="4818" xr:uid="{00000000-0005-0000-0000-0000ED190000}"/>
    <cellStyle name="Normal 5 3 3 3 8 2" xfId="13268" xr:uid="{5EFE847E-9E0D-4B61-9847-556DE97DB912}"/>
    <cellStyle name="Normal 5 3 3 3 9" xfId="9050" xr:uid="{ED469C7E-F2A3-4CFC-B128-B9B892E9EC73}"/>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0C8F4FAB-8C25-48F3-98FA-AB2F6EE06C79}"/>
    <cellStyle name="Normal 5 3 3 4 2 2 3" xfId="11610" xr:uid="{EF7C85F0-072F-48B6-9FB9-300C6FCC36FB}"/>
    <cellStyle name="Normal 5 3 3 4 2 3" xfId="5233" xr:uid="{00000000-0005-0000-0000-0000F2190000}"/>
    <cellStyle name="Normal 5 3 3 4 2 3 2" xfId="13683" xr:uid="{558FF550-B8EB-4F33-8CF2-733DBA6DF775}"/>
    <cellStyle name="Normal 5 3 3 4 2 4" xfId="9465" xr:uid="{AFA25147-5B74-4242-9F43-C0BB2A6EE772}"/>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049C28AC-5DA4-4A91-A091-9938E75F466D}"/>
    <cellStyle name="Normal 5 3 3 4 3 2 3" xfId="12023" xr:uid="{A07104E2-5F66-4AE1-9B54-E6C2B68E626B}"/>
    <cellStyle name="Normal 5 3 3 4 3 3" xfId="5646" xr:uid="{00000000-0005-0000-0000-0000F6190000}"/>
    <cellStyle name="Normal 5 3 3 4 3 3 2" xfId="14096" xr:uid="{8FD24E7B-C69E-4491-9B0D-58AF07E12FBF}"/>
    <cellStyle name="Normal 5 3 3 4 3 4" xfId="9878" xr:uid="{B3F83E7E-41FB-4016-852A-D2D99A6C79E5}"/>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B9936577-AE84-492F-AC2D-04899992052A}"/>
    <cellStyle name="Normal 5 3 3 4 4 2 3" xfId="12436" xr:uid="{6106676A-4ED8-4F29-9CBD-7A666C139DAA}"/>
    <cellStyle name="Normal 5 3 3 4 4 3" xfId="6059" xr:uid="{00000000-0005-0000-0000-0000FA190000}"/>
    <cellStyle name="Normal 5 3 3 4 4 3 2" xfId="14509" xr:uid="{B11EFBC3-956D-495B-ABF1-58BB6339E62A}"/>
    <cellStyle name="Normal 5 3 3 4 4 4" xfId="10291" xr:uid="{52E70043-B692-444C-B4CB-DB2984845FA8}"/>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D5C5982C-9176-4BE7-92A3-6E1C3EE72344}"/>
    <cellStyle name="Normal 5 3 3 4 5 2 3" xfId="12849" xr:uid="{85A2ACD6-C929-43FB-B52A-930EE3DA1525}"/>
    <cellStyle name="Normal 5 3 3 4 5 3" xfId="6472" xr:uid="{00000000-0005-0000-0000-0000FE190000}"/>
    <cellStyle name="Normal 5 3 3 4 5 3 2" xfId="14922" xr:uid="{7C883DE8-996C-4F9B-A849-EDAE1F9D5667}"/>
    <cellStyle name="Normal 5 3 3 4 5 4" xfId="10704" xr:uid="{E48B1EB1-83CB-415F-AFC3-DEB0745336F2}"/>
    <cellStyle name="Normal 5 3 3 4 6" xfId="2602" xr:uid="{00000000-0005-0000-0000-0000FF190000}"/>
    <cellStyle name="Normal 5 3 3 4 6 2" xfId="6885" xr:uid="{00000000-0005-0000-0000-0000001A0000}"/>
    <cellStyle name="Normal 5 3 3 4 6 2 2" xfId="15335" xr:uid="{2EE0CA45-A35C-4FE0-92C1-10909DD0EA2B}"/>
    <cellStyle name="Normal 5 3 3 4 6 3" xfId="11117" xr:uid="{05DBCD6E-BDCB-41B5-956B-B60E3A99B935}"/>
    <cellStyle name="Normal 5 3 3 4 7" xfId="4820" xr:uid="{00000000-0005-0000-0000-0000011A0000}"/>
    <cellStyle name="Normal 5 3 3 4 7 2" xfId="13270" xr:uid="{C0C5AC2D-4978-449F-B585-654B9B1D42EB}"/>
    <cellStyle name="Normal 5 3 3 4 8" xfId="9052" xr:uid="{C02AF54E-CE1C-4220-8C30-BD3B13C47F9B}"/>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FBE35C64-7741-4CE1-987C-883D9B1B9B93}"/>
    <cellStyle name="Normal 5 3 3 5 2 3" xfId="11603" xr:uid="{F222FC1A-D35F-46D8-B2B8-B2FCEC875CE0}"/>
    <cellStyle name="Normal 5 3 3 5 3" xfId="5226" xr:uid="{00000000-0005-0000-0000-0000051A0000}"/>
    <cellStyle name="Normal 5 3 3 5 3 2" xfId="13676" xr:uid="{3CF5C0BF-99E2-414B-B708-005D2F4564C3}"/>
    <cellStyle name="Normal 5 3 3 5 4" xfId="9458" xr:uid="{3C96C3A7-F5D8-4B91-BC72-9ECDD7D31064}"/>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DDAECC41-43FB-4E4B-8D46-058265CADE57}"/>
    <cellStyle name="Normal 5 3 3 6 2 3" xfId="12016" xr:uid="{045E4AEB-4697-46FD-BE37-C65A30E22904}"/>
    <cellStyle name="Normal 5 3 3 6 3" xfId="5639" xr:uid="{00000000-0005-0000-0000-0000091A0000}"/>
    <cellStyle name="Normal 5 3 3 6 3 2" xfId="14089" xr:uid="{790BE451-F0E0-4AD0-B7BD-14C98A6223DA}"/>
    <cellStyle name="Normal 5 3 3 6 4" xfId="9871" xr:uid="{606264BC-A3E7-4EE0-BC84-C0DBC0C1D4A4}"/>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72D22075-DD77-4195-A004-D3223098C4DE}"/>
    <cellStyle name="Normal 5 3 3 7 2 3" xfId="12429" xr:uid="{964B7AAA-17A5-406D-93A2-4862D64E115B}"/>
    <cellStyle name="Normal 5 3 3 7 3" xfId="6052" xr:uid="{00000000-0005-0000-0000-00000D1A0000}"/>
    <cellStyle name="Normal 5 3 3 7 3 2" xfId="14502" xr:uid="{E955D74D-6A5E-48C1-81A5-0A7580189F17}"/>
    <cellStyle name="Normal 5 3 3 7 4" xfId="10284" xr:uid="{5F26230C-B2E5-448F-8A66-4B0E61DA03E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B07B53BD-A334-4347-9DDB-4D0144898DA5}"/>
    <cellStyle name="Normal 5 3 3 8 2 3" xfId="12842" xr:uid="{791C398D-E726-4201-AC97-4267D01FA0E9}"/>
    <cellStyle name="Normal 5 3 3 8 3" xfId="6465" xr:uid="{00000000-0005-0000-0000-0000111A0000}"/>
    <cellStyle name="Normal 5 3 3 8 3 2" xfId="14915" xr:uid="{B4E4B950-6E7F-44DD-A1C6-4AE744BEF0C6}"/>
    <cellStyle name="Normal 5 3 3 8 4" xfId="10697" xr:uid="{FB258C51-3849-4569-B372-A54296A30661}"/>
    <cellStyle name="Normal 5 3 3 9" xfId="2595" xr:uid="{00000000-0005-0000-0000-0000121A0000}"/>
    <cellStyle name="Normal 5 3 3 9 2" xfId="6878" xr:uid="{00000000-0005-0000-0000-0000131A0000}"/>
    <cellStyle name="Normal 5 3 3 9 2 2" xfId="15328" xr:uid="{DB534824-9E4E-45F8-9153-E818F7436CCB}"/>
    <cellStyle name="Normal 5 3 3 9 3" xfId="11110" xr:uid="{CE0A0AA8-B4D9-4E7A-8997-E4CADEEEA9BD}"/>
    <cellStyle name="Normal 5 3 4" xfId="449" xr:uid="{00000000-0005-0000-0000-0000141A0000}"/>
    <cellStyle name="Normal 5 3 4 10" xfId="9053" xr:uid="{450AE8A4-3BF0-4DDD-AF59-07E56BC3FF6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7D65C6AB-1E29-469B-8140-59771096E03E}"/>
    <cellStyle name="Normal 5 3 4 2 2 2 2 3" xfId="11613" xr:uid="{7A8CBF63-D479-4982-A5F1-5661C73CAB15}"/>
    <cellStyle name="Normal 5 3 4 2 2 2 3" xfId="5236" xr:uid="{00000000-0005-0000-0000-00001A1A0000}"/>
    <cellStyle name="Normal 5 3 4 2 2 2 3 2" xfId="13686" xr:uid="{5956EF76-FFE8-4699-98A0-4EC601C366BF}"/>
    <cellStyle name="Normal 5 3 4 2 2 2 4" xfId="9468" xr:uid="{6A244DD9-CDF9-4994-B1E2-BDE10C94B556}"/>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61FDECA2-D241-4FD8-ACC2-E917C3D50821}"/>
    <cellStyle name="Normal 5 3 4 2 2 3 2 3" xfId="12026" xr:uid="{1456DBDC-0A93-4808-9355-A1CEB2BEFFE4}"/>
    <cellStyle name="Normal 5 3 4 2 2 3 3" xfId="5649" xr:uid="{00000000-0005-0000-0000-00001E1A0000}"/>
    <cellStyle name="Normal 5 3 4 2 2 3 3 2" xfId="14099" xr:uid="{1B426376-C9C6-4C5A-822C-07D203B60B09}"/>
    <cellStyle name="Normal 5 3 4 2 2 3 4" xfId="9881" xr:uid="{02C97D40-4BBE-43ED-A291-6E5F66964AA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795DB671-5F71-4FBE-8CF6-AB60A28C3A98}"/>
    <cellStyle name="Normal 5 3 4 2 2 4 2 3" xfId="12439" xr:uid="{31CA696D-FFAA-497E-947A-635244F8A2FA}"/>
    <cellStyle name="Normal 5 3 4 2 2 4 3" xfId="6062" xr:uid="{00000000-0005-0000-0000-0000221A0000}"/>
    <cellStyle name="Normal 5 3 4 2 2 4 3 2" xfId="14512" xr:uid="{39707285-E2DC-42EB-BE75-2BA226B38C48}"/>
    <cellStyle name="Normal 5 3 4 2 2 4 4" xfId="10294" xr:uid="{333C859C-5FA2-414D-B0F5-DC5A95FAAFE5}"/>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0B2D511A-366A-49F0-A1C3-D840E9A16230}"/>
    <cellStyle name="Normal 5 3 4 2 2 5 2 3" xfId="12852" xr:uid="{A6B50EF1-4C3C-43AA-8FDC-1545841B9C75}"/>
    <cellStyle name="Normal 5 3 4 2 2 5 3" xfId="6475" xr:uid="{00000000-0005-0000-0000-0000261A0000}"/>
    <cellStyle name="Normal 5 3 4 2 2 5 3 2" xfId="14925" xr:uid="{5C0DE0CC-9214-460F-A64B-F22239A9B22C}"/>
    <cellStyle name="Normal 5 3 4 2 2 5 4" xfId="10707" xr:uid="{F3E7CEAD-720A-4D4B-90BE-8471C5E60BD6}"/>
    <cellStyle name="Normal 5 3 4 2 2 6" xfId="2605" xr:uid="{00000000-0005-0000-0000-0000271A0000}"/>
    <cellStyle name="Normal 5 3 4 2 2 6 2" xfId="6888" xr:uid="{00000000-0005-0000-0000-0000281A0000}"/>
    <cellStyle name="Normal 5 3 4 2 2 6 2 2" xfId="15338" xr:uid="{1A9A23BC-A383-4860-A731-6D3803A81566}"/>
    <cellStyle name="Normal 5 3 4 2 2 6 3" xfId="11120" xr:uid="{F7894DA4-ED15-44B2-B356-ACB24100753B}"/>
    <cellStyle name="Normal 5 3 4 2 2 7" xfId="4823" xr:uid="{00000000-0005-0000-0000-0000291A0000}"/>
    <cellStyle name="Normal 5 3 4 2 2 7 2" xfId="13273" xr:uid="{E1164A3B-BD1A-4E9C-A48B-0E9A71886611}"/>
    <cellStyle name="Normal 5 3 4 2 2 8" xfId="9055" xr:uid="{64E797F2-B370-4C23-B743-01E3BA220DE0}"/>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BD66C2A4-6D1B-4E8D-983D-D40A6ABE56A3}"/>
    <cellStyle name="Normal 5 3 4 2 3 2 3" xfId="11612" xr:uid="{D1C88983-8F1E-48BE-98F9-79A3793290A3}"/>
    <cellStyle name="Normal 5 3 4 2 3 3" xfId="5235" xr:uid="{00000000-0005-0000-0000-00002D1A0000}"/>
    <cellStyle name="Normal 5 3 4 2 3 3 2" xfId="13685" xr:uid="{9EF35802-BEB9-48D4-87AA-F0654FE18C1B}"/>
    <cellStyle name="Normal 5 3 4 2 3 4" xfId="9467" xr:uid="{697CF412-993A-4D9C-86C3-9EE50D635F3D}"/>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BB1407C2-A3EA-40C6-B6E8-A7E96F4A3E40}"/>
    <cellStyle name="Normal 5 3 4 2 4 2 3" xfId="12025" xr:uid="{0237DDD6-980E-47DD-9C8E-EB5D644AA550}"/>
    <cellStyle name="Normal 5 3 4 2 4 3" xfId="5648" xr:uid="{00000000-0005-0000-0000-0000311A0000}"/>
    <cellStyle name="Normal 5 3 4 2 4 3 2" xfId="14098" xr:uid="{CE9CA028-4D6E-471F-87FA-5E712C601BBC}"/>
    <cellStyle name="Normal 5 3 4 2 4 4" xfId="9880" xr:uid="{4292781E-FACB-4E48-8F19-0185B8EA67A1}"/>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0EA2E7A1-75FC-4D59-8739-7BD00A127451}"/>
    <cellStyle name="Normal 5 3 4 2 5 2 3" xfId="12438" xr:uid="{BE3BEA5F-47A9-404A-AD34-96265913894C}"/>
    <cellStyle name="Normal 5 3 4 2 5 3" xfId="6061" xr:uid="{00000000-0005-0000-0000-0000351A0000}"/>
    <cellStyle name="Normal 5 3 4 2 5 3 2" xfId="14511" xr:uid="{B0A2053E-6C17-4884-B416-7CA827C2BC8D}"/>
    <cellStyle name="Normal 5 3 4 2 5 4" xfId="10293" xr:uid="{E2FFCF47-94AA-4B2B-96B3-4884DB2D3D15}"/>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72FF99C7-4D4E-4394-A566-8CB285437CCC}"/>
    <cellStyle name="Normal 5 3 4 2 6 2 3" xfId="12851" xr:uid="{862FF06B-4A82-4A2A-AF1F-3B82920ADEF3}"/>
    <cellStyle name="Normal 5 3 4 2 6 3" xfId="6474" xr:uid="{00000000-0005-0000-0000-0000391A0000}"/>
    <cellStyle name="Normal 5 3 4 2 6 3 2" xfId="14924" xr:uid="{C43ADBEC-AC36-459F-B1EF-F4C81E7ADA52}"/>
    <cellStyle name="Normal 5 3 4 2 6 4" xfId="10706" xr:uid="{F42BF016-81E3-4FA8-AE76-02F571CCDC4E}"/>
    <cellStyle name="Normal 5 3 4 2 7" xfId="2604" xr:uid="{00000000-0005-0000-0000-00003A1A0000}"/>
    <cellStyle name="Normal 5 3 4 2 7 2" xfId="6887" xr:uid="{00000000-0005-0000-0000-00003B1A0000}"/>
    <cellStyle name="Normal 5 3 4 2 7 2 2" xfId="15337" xr:uid="{6CC90BAC-852D-4608-9692-748B3A538DD2}"/>
    <cellStyle name="Normal 5 3 4 2 7 3" xfId="11119" xr:uid="{7933FDE4-C84C-44F4-A92B-1932030BC389}"/>
    <cellStyle name="Normal 5 3 4 2 8" xfId="4822" xr:uid="{00000000-0005-0000-0000-00003C1A0000}"/>
    <cellStyle name="Normal 5 3 4 2 8 2" xfId="13272" xr:uid="{1AC85191-DD82-4B07-986E-8772DE23B2E4}"/>
    <cellStyle name="Normal 5 3 4 2 9" xfId="9054" xr:uid="{F51F7FBB-AFD3-4961-92DC-8A577F959D2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3390580A-EBC1-47EA-9679-5450A41E1EB8}"/>
    <cellStyle name="Normal 5 3 4 3 2 2 3" xfId="11614" xr:uid="{6F23AD2D-B6BA-4163-AD6B-1856A7E2E45F}"/>
    <cellStyle name="Normal 5 3 4 3 2 3" xfId="5237" xr:uid="{00000000-0005-0000-0000-0000411A0000}"/>
    <cellStyle name="Normal 5 3 4 3 2 3 2" xfId="13687" xr:uid="{6115BCFF-944A-4231-AAD2-2974D59D974D}"/>
    <cellStyle name="Normal 5 3 4 3 2 4" xfId="9469" xr:uid="{2C5B6336-2230-4223-B657-D5C63F2D39AA}"/>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D1DFEBC8-D6AF-49F2-9D5E-ABD344BAB4D9}"/>
    <cellStyle name="Normal 5 3 4 3 3 2 3" xfId="12027" xr:uid="{36F19406-B400-4069-AC44-71779A6F36DC}"/>
    <cellStyle name="Normal 5 3 4 3 3 3" xfId="5650" xr:uid="{00000000-0005-0000-0000-0000451A0000}"/>
    <cellStyle name="Normal 5 3 4 3 3 3 2" xfId="14100" xr:uid="{DCF14289-7454-49BB-8B21-DAF008D6DFE6}"/>
    <cellStyle name="Normal 5 3 4 3 3 4" xfId="9882" xr:uid="{89FFE084-65C7-4201-B714-55C19350F99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3A15D605-6613-4C6E-B8A3-8F1F0EB9ED0C}"/>
    <cellStyle name="Normal 5 3 4 3 4 2 3" xfId="12440" xr:uid="{28098BE2-ABB9-40C3-8009-C4C77892326B}"/>
    <cellStyle name="Normal 5 3 4 3 4 3" xfId="6063" xr:uid="{00000000-0005-0000-0000-0000491A0000}"/>
    <cellStyle name="Normal 5 3 4 3 4 3 2" xfId="14513" xr:uid="{9F9A3457-8748-4769-A8E6-2EE363DAF5D3}"/>
    <cellStyle name="Normal 5 3 4 3 4 4" xfId="10295" xr:uid="{D2863170-45FA-492A-8E20-54FA0A062E3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02246910-504B-4A64-B8E7-E47D786AC43D}"/>
    <cellStyle name="Normal 5 3 4 3 5 2 3" xfId="12853" xr:uid="{D1861A1F-F7A4-4F9E-9351-819DA141792C}"/>
    <cellStyle name="Normal 5 3 4 3 5 3" xfId="6476" xr:uid="{00000000-0005-0000-0000-00004D1A0000}"/>
    <cellStyle name="Normal 5 3 4 3 5 3 2" xfId="14926" xr:uid="{107071D5-0150-4682-9B35-823FC5BBF50A}"/>
    <cellStyle name="Normal 5 3 4 3 5 4" xfId="10708" xr:uid="{38E39D2C-67D6-4196-AEEC-D2A6DCD1DD22}"/>
    <cellStyle name="Normal 5 3 4 3 6" xfId="2606" xr:uid="{00000000-0005-0000-0000-00004E1A0000}"/>
    <cellStyle name="Normal 5 3 4 3 6 2" xfId="6889" xr:uid="{00000000-0005-0000-0000-00004F1A0000}"/>
    <cellStyle name="Normal 5 3 4 3 6 2 2" xfId="15339" xr:uid="{76B8ED58-2402-42E9-9DDC-CF5467C12417}"/>
    <cellStyle name="Normal 5 3 4 3 6 3" xfId="11121" xr:uid="{EAF4E697-0952-4CD0-BC3B-4F481AE13732}"/>
    <cellStyle name="Normal 5 3 4 3 7" xfId="4824" xr:uid="{00000000-0005-0000-0000-0000501A0000}"/>
    <cellStyle name="Normal 5 3 4 3 7 2" xfId="13274" xr:uid="{1FBD2E28-7FA5-402D-9C31-FFF798B73D7D}"/>
    <cellStyle name="Normal 5 3 4 3 8" xfId="9056" xr:uid="{07E85EE9-0EE8-4591-ADB5-D3DD988A56A6}"/>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3B2665AB-6AEF-41E3-87F4-46D7219E9407}"/>
    <cellStyle name="Normal 5 3 4 4 2 3" xfId="11611" xr:uid="{4576C754-F26D-411E-9A5E-BFF25301CD08}"/>
    <cellStyle name="Normal 5 3 4 4 3" xfId="5234" xr:uid="{00000000-0005-0000-0000-0000541A0000}"/>
    <cellStyle name="Normal 5 3 4 4 3 2" xfId="13684" xr:uid="{5A410983-F03F-4E35-996B-66382B5DDF1B}"/>
    <cellStyle name="Normal 5 3 4 4 4" xfId="9466" xr:uid="{E40C116D-F2C0-4704-BF23-6EB743098AA7}"/>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D27EE793-E0A6-4F62-A2F6-B8DE19436DFB}"/>
    <cellStyle name="Normal 5 3 4 5 2 3" xfId="12024" xr:uid="{939C73EC-15DA-4A21-8D37-362F225DAADA}"/>
    <cellStyle name="Normal 5 3 4 5 3" xfId="5647" xr:uid="{00000000-0005-0000-0000-0000581A0000}"/>
    <cellStyle name="Normal 5 3 4 5 3 2" xfId="14097" xr:uid="{832D9F42-3391-4BF6-B26F-C84572D2FDA2}"/>
    <cellStyle name="Normal 5 3 4 5 4" xfId="9879" xr:uid="{E6F5191E-4927-4EAC-A662-CA1340F9DAA8}"/>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98027337-4F09-4F06-8221-3EC37E819660}"/>
    <cellStyle name="Normal 5 3 4 6 2 3" xfId="12437" xr:uid="{FB93273D-665F-436F-A7C7-39E5BB95F58F}"/>
    <cellStyle name="Normal 5 3 4 6 3" xfId="6060" xr:uid="{00000000-0005-0000-0000-00005C1A0000}"/>
    <cellStyle name="Normal 5 3 4 6 3 2" xfId="14510" xr:uid="{19874543-D6CA-411D-952E-6108321CD562}"/>
    <cellStyle name="Normal 5 3 4 6 4" xfId="10292" xr:uid="{7E23E377-919A-43DE-9ADE-4F8695B9B484}"/>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01320FD-1320-4E38-97CF-95437BC11091}"/>
    <cellStyle name="Normal 5 3 4 7 2 3" xfId="12850" xr:uid="{EBFAFE3C-83B4-4FA4-ADA2-B5B7532A9703}"/>
    <cellStyle name="Normal 5 3 4 7 3" xfId="6473" xr:uid="{00000000-0005-0000-0000-0000601A0000}"/>
    <cellStyle name="Normal 5 3 4 7 3 2" xfId="14923" xr:uid="{EE60F3D4-8D7D-48D4-85CA-87361D0BFCAE}"/>
    <cellStyle name="Normal 5 3 4 7 4" xfId="10705" xr:uid="{059F28BB-FD51-4D9C-A40B-672AE1B35B2E}"/>
    <cellStyle name="Normal 5 3 4 8" xfId="2603" xr:uid="{00000000-0005-0000-0000-0000611A0000}"/>
    <cellStyle name="Normal 5 3 4 8 2" xfId="6886" xr:uid="{00000000-0005-0000-0000-0000621A0000}"/>
    <cellStyle name="Normal 5 3 4 8 2 2" xfId="15336" xr:uid="{C41F86DF-9E1C-4BA1-AC73-68FA151EF793}"/>
    <cellStyle name="Normal 5 3 4 8 3" xfId="11118" xr:uid="{CAE74967-FBA3-4445-BFDD-C8D0CB969EF7}"/>
    <cellStyle name="Normal 5 3 4 9" xfId="4821" xr:uid="{00000000-0005-0000-0000-0000631A0000}"/>
    <cellStyle name="Normal 5 3 4 9 2" xfId="13271" xr:uid="{92750B16-474B-46B9-945F-C55B1AE69113}"/>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DCD8A7B3-EB39-42DE-82BC-CA4ECF015C66}"/>
    <cellStyle name="Normal 5 3 5 2 2 2 3" xfId="11616" xr:uid="{12DD9581-6013-4089-89CB-ADA64E784686}"/>
    <cellStyle name="Normal 5 3 5 2 2 3" xfId="5239" xr:uid="{00000000-0005-0000-0000-0000691A0000}"/>
    <cellStyle name="Normal 5 3 5 2 2 3 2" xfId="13689" xr:uid="{F43865DE-0CE5-417B-95A3-3EBC1BD6CFFD}"/>
    <cellStyle name="Normal 5 3 5 2 2 4" xfId="9471" xr:uid="{1E3C0DB8-A9CD-43BF-A6DC-23B08F9A6194}"/>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E26A2EA4-0EA1-4283-BC12-8566E6EC4235}"/>
    <cellStyle name="Normal 5 3 5 2 3 2 3" xfId="12029" xr:uid="{6D517733-DBF7-4A67-A13E-0E170BBE02F6}"/>
    <cellStyle name="Normal 5 3 5 2 3 3" xfId="5652" xr:uid="{00000000-0005-0000-0000-00006D1A0000}"/>
    <cellStyle name="Normal 5 3 5 2 3 3 2" xfId="14102" xr:uid="{28E4EA50-F21F-4125-A1D6-E128EAD98719}"/>
    <cellStyle name="Normal 5 3 5 2 3 4" xfId="9884" xr:uid="{A3C59110-5E6B-48D5-AC05-7169DA4547D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35E64373-4A42-44AF-BAFE-71E939B26AA8}"/>
    <cellStyle name="Normal 5 3 5 2 4 2 3" xfId="12442" xr:uid="{0C1017D0-DF19-4777-8632-F9E6B560C1C9}"/>
    <cellStyle name="Normal 5 3 5 2 4 3" xfId="6065" xr:uid="{00000000-0005-0000-0000-0000711A0000}"/>
    <cellStyle name="Normal 5 3 5 2 4 3 2" xfId="14515" xr:uid="{86661B8A-8A57-423B-A762-597B4943EEFC}"/>
    <cellStyle name="Normal 5 3 5 2 4 4" xfId="10297" xr:uid="{A09510D6-FE92-4126-8AB2-05C8339819D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832163B8-E3BD-4EC7-AA91-BDBCB9C04EAE}"/>
    <cellStyle name="Normal 5 3 5 2 5 2 3" xfId="12855" xr:uid="{51C7FE13-D32E-4DE3-A8E6-153CA01130F8}"/>
    <cellStyle name="Normal 5 3 5 2 5 3" xfId="6478" xr:uid="{00000000-0005-0000-0000-0000751A0000}"/>
    <cellStyle name="Normal 5 3 5 2 5 3 2" xfId="14928" xr:uid="{4EB206E3-0F7F-47BC-A9D0-084399B23141}"/>
    <cellStyle name="Normal 5 3 5 2 5 4" xfId="10710" xr:uid="{5F882AD5-027A-49C3-83BB-3B17AC367E88}"/>
    <cellStyle name="Normal 5 3 5 2 6" xfId="2608" xr:uid="{00000000-0005-0000-0000-0000761A0000}"/>
    <cellStyle name="Normal 5 3 5 2 6 2" xfId="6891" xr:uid="{00000000-0005-0000-0000-0000771A0000}"/>
    <cellStyle name="Normal 5 3 5 2 6 2 2" xfId="15341" xr:uid="{EA2CDEC4-EEB4-469A-9F86-1C673E9467A9}"/>
    <cellStyle name="Normal 5 3 5 2 6 3" xfId="11123" xr:uid="{B73762B9-948A-41AE-9B36-9AC61010EEAB}"/>
    <cellStyle name="Normal 5 3 5 2 7" xfId="4826" xr:uid="{00000000-0005-0000-0000-0000781A0000}"/>
    <cellStyle name="Normal 5 3 5 2 7 2" xfId="13276" xr:uid="{AA1B0D1A-4F43-4767-94A2-CC10202EAC78}"/>
    <cellStyle name="Normal 5 3 5 2 8" xfId="9058" xr:uid="{AD59B7E3-772D-4328-B16A-48B20EF08125}"/>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D70F9F54-1ED8-45C8-9718-1B4DDFA27F63}"/>
    <cellStyle name="Normal 5 3 5 3 2 3" xfId="11615" xr:uid="{9D291C94-D015-4888-9723-22EAAD213B99}"/>
    <cellStyle name="Normal 5 3 5 3 3" xfId="5238" xr:uid="{00000000-0005-0000-0000-00007C1A0000}"/>
    <cellStyle name="Normal 5 3 5 3 3 2" xfId="13688" xr:uid="{517AE972-7751-498D-8A4C-2F470BD0C75E}"/>
    <cellStyle name="Normal 5 3 5 3 4" xfId="9470" xr:uid="{04140995-EDE3-49BE-87A3-314357D92CD4}"/>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B1B3E09F-57C7-4595-BC3F-B97FC220893F}"/>
    <cellStyle name="Normal 5 3 5 4 2 3" xfId="12028" xr:uid="{03FF0CA1-9A1F-4A66-BC69-1B49D06DB9CA}"/>
    <cellStyle name="Normal 5 3 5 4 3" xfId="5651" xr:uid="{00000000-0005-0000-0000-0000801A0000}"/>
    <cellStyle name="Normal 5 3 5 4 3 2" xfId="14101" xr:uid="{E9E50295-CEC1-4743-9F9B-BAA275503379}"/>
    <cellStyle name="Normal 5 3 5 4 4" xfId="9883" xr:uid="{F04B12A5-AA9C-4B8E-BCC8-54944ADA3762}"/>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4EB523FC-4C77-43D4-A45F-0899CEDD8348}"/>
    <cellStyle name="Normal 5 3 5 5 2 3" xfId="12441" xr:uid="{D698F557-A65F-4E6D-A2D4-FD9F38D80EF3}"/>
    <cellStyle name="Normal 5 3 5 5 3" xfId="6064" xr:uid="{00000000-0005-0000-0000-0000841A0000}"/>
    <cellStyle name="Normal 5 3 5 5 3 2" xfId="14514" xr:uid="{F339037D-56F5-47D7-A430-4E62F4EFA1F6}"/>
    <cellStyle name="Normal 5 3 5 5 4" xfId="10296" xr:uid="{D8C7EACE-7EBF-4C69-AA1E-F3931912851E}"/>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05D3C5CA-A95E-4CF6-A5E1-B99D1707D2FD}"/>
    <cellStyle name="Normal 5 3 5 6 2 3" xfId="12854" xr:uid="{9341A2BB-272E-4B10-8012-0A7431EE9ED4}"/>
    <cellStyle name="Normal 5 3 5 6 3" xfId="6477" xr:uid="{00000000-0005-0000-0000-0000881A0000}"/>
    <cellStyle name="Normal 5 3 5 6 3 2" xfId="14927" xr:uid="{55BB8257-518D-4D5E-B4B1-54425B994F8B}"/>
    <cellStyle name="Normal 5 3 5 6 4" xfId="10709" xr:uid="{66C90619-419C-4144-B03F-82815F4B8D0F}"/>
    <cellStyle name="Normal 5 3 5 7" xfId="2607" xr:uid="{00000000-0005-0000-0000-0000891A0000}"/>
    <cellStyle name="Normal 5 3 5 7 2" xfId="6890" xr:uid="{00000000-0005-0000-0000-00008A1A0000}"/>
    <cellStyle name="Normal 5 3 5 7 2 2" xfId="15340" xr:uid="{F0775C22-8E52-441A-BD02-72D07B92B4EA}"/>
    <cellStyle name="Normal 5 3 5 7 3" xfId="11122" xr:uid="{A092B226-4E68-4952-93F7-8CBB8397A518}"/>
    <cellStyle name="Normal 5 3 5 8" xfId="4825" xr:uid="{00000000-0005-0000-0000-00008B1A0000}"/>
    <cellStyle name="Normal 5 3 5 8 2" xfId="13275" xr:uid="{B5829683-9D37-490B-B875-1E1535EB4CAD}"/>
    <cellStyle name="Normal 5 3 5 9" xfId="9057" xr:uid="{DA11FD37-0F66-4807-B956-173934B63D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2DC5A86-5438-454B-BD31-21B1555A84FB}"/>
    <cellStyle name="Normal 5 3 6 2 2 3" xfId="11617" xr:uid="{04246431-E9A6-41DD-9257-62DF0C79CEB8}"/>
    <cellStyle name="Normal 5 3 6 2 3" xfId="5240" xr:uid="{00000000-0005-0000-0000-0000901A0000}"/>
    <cellStyle name="Normal 5 3 6 2 3 2" xfId="13690" xr:uid="{9648F71B-DFDE-4D78-8049-B29A2A016650}"/>
    <cellStyle name="Normal 5 3 6 2 4" xfId="9472" xr:uid="{C724B8DA-7C42-4415-BFE2-EA6AE60E78FA}"/>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D8530DA8-AEC1-46BE-BF58-F69BAC241AC3}"/>
    <cellStyle name="Normal 5 3 6 3 2 3" xfId="12030" xr:uid="{26E65508-7E07-497C-B44E-83E4ADBEA7AA}"/>
    <cellStyle name="Normal 5 3 6 3 3" xfId="5653" xr:uid="{00000000-0005-0000-0000-0000941A0000}"/>
    <cellStyle name="Normal 5 3 6 3 3 2" xfId="14103" xr:uid="{5E8FBD2D-EA6A-4D4B-8EA9-EBD594AA5063}"/>
    <cellStyle name="Normal 5 3 6 3 4" xfId="9885" xr:uid="{F8D251B1-F3E9-4E7F-B3DB-2FFF7E87F043}"/>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9A5FED47-ED0F-41D8-BED7-4FA282CA6D38}"/>
    <cellStyle name="Normal 5 3 6 4 2 3" xfId="12443" xr:uid="{CBE286FF-5488-4795-9703-501837001B82}"/>
    <cellStyle name="Normal 5 3 6 4 3" xfId="6066" xr:uid="{00000000-0005-0000-0000-0000981A0000}"/>
    <cellStyle name="Normal 5 3 6 4 3 2" xfId="14516" xr:uid="{9963382C-A942-4BC2-8317-74C3CEAB9641}"/>
    <cellStyle name="Normal 5 3 6 4 4" xfId="10298" xr:uid="{3D3A46A4-8B92-4837-B050-8E742E964D46}"/>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15CAB37F-1BD9-44AD-B895-D7D858BF11E3}"/>
    <cellStyle name="Normal 5 3 6 5 2 3" xfId="12856" xr:uid="{E41B6A88-A86D-47F3-9629-742F8F9EBEDA}"/>
    <cellStyle name="Normal 5 3 6 5 3" xfId="6479" xr:uid="{00000000-0005-0000-0000-00009C1A0000}"/>
    <cellStyle name="Normal 5 3 6 5 3 2" xfId="14929" xr:uid="{C60CBC2A-1482-4314-AC84-1C8971182914}"/>
    <cellStyle name="Normal 5 3 6 5 4" xfId="10711" xr:uid="{0D023071-FC03-491A-A176-B5565136C9D5}"/>
    <cellStyle name="Normal 5 3 6 6" xfId="2609" xr:uid="{00000000-0005-0000-0000-00009D1A0000}"/>
    <cellStyle name="Normal 5 3 6 6 2" xfId="6892" xr:uid="{00000000-0005-0000-0000-00009E1A0000}"/>
    <cellStyle name="Normal 5 3 6 6 2 2" xfId="15342" xr:uid="{F955DDA6-7BC5-487F-A4F6-BF4741F4D4E3}"/>
    <cellStyle name="Normal 5 3 6 6 3" xfId="11124" xr:uid="{FAB26BAA-7882-4298-8FCD-557CB7DCC69E}"/>
    <cellStyle name="Normal 5 3 6 7" xfId="4827" xr:uid="{00000000-0005-0000-0000-00009F1A0000}"/>
    <cellStyle name="Normal 5 3 6 7 2" xfId="13277" xr:uid="{58CAE20D-047A-49B9-BD5F-3ACC58412726}"/>
    <cellStyle name="Normal 5 3 6 8" xfId="9059" xr:uid="{438F4822-FA43-410E-824F-5F86513743FE}"/>
    <cellStyle name="Normal 5 3 7" xfId="913" xr:uid="{00000000-0005-0000-0000-0000A01A0000}"/>
    <cellStyle name="Normal 5 3 7 2" xfId="3148" xr:uid="{00000000-0005-0000-0000-0000A11A0000}"/>
    <cellStyle name="Normal 5 3 7 2 2" xfId="7370" xr:uid="{00000000-0005-0000-0000-0000A21A0000}"/>
    <cellStyle name="Normal 5 3 7 2 2 2" xfId="15820" xr:uid="{595A885D-38CA-4E5D-8719-472C21EF7871}"/>
    <cellStyle name="Normal 5 3 7 2 3" xfId="11602" xr:uid="{AAFC528A-DE5C-4995-BDD0-0AD43E927B05}"/>
    <cellStyle name="Normal 5 3 7 3" xfId="5225" xr:uid="{00000000-0005-0000-0000-0000A31A0000}"/>
    <cellStyle name="Normal 5 3 7 3 2" xfId="13675" xr:uid="{FA2F6569-DEF7-4D7E-B2B5-139620EB4BEE}"/>
    <cellStyle name="Normal 5 3 7 4" xfId="9457" xr:uid="{92EA837A-D639-4681-828A-54465177D982}"/>
    <cellStyle name="Normal 5 3 8" xfId="1331" xr:uid="{00000000-0005-0000-0000-0000A41A0000}"/>
    <cellStyle name="Normal 5 3 8 2" xfId="3561" xr:uid="{00000000-0005-0000-0000-0000A51A0000}"/>
    <cellStyle name="Normal 5 3 8 2 2" xfId="7783" xr:uid="{00000000-0005-0000-0000-0000A61A0000}"/>
    <cellStyle name="Normal 5 3 8 2 2 2" xfId="16233" xr:uid="{C2F9433A-E00F-4533-B9CD-FB6E961DCBF2}"/>
    <cellStyle name="Normal 5 3 8 2 3" xfId="12015" xr:uid="{12EBBBEB-D673-4A6C-8984-4523B295F42A}"/>
    <cellStyle name="Normal 5 3 8 3" xfId="5638" xr:uid="{00000000-0005-0000-0000-0000A71A0000}"/>
    <cellStyle name="Normal 5 3 8 3 2" xfId="14088" xr:uid="{BE464D9D-C3D4-4873-84DE-E65ECA4BD991}"/>
    <cellStyle name="Normal 5 3 8 4" xfId="9870" xr:uid="{B699B358-B1CE-451E-9C54-6654D96CCAFE}"/>
    <cellStyle name="Normal 5 3 9" xfId="1744" xr:uid="{00000000-0005-0000-0000-0000A81A0000}"/>
    <cellStyle name="Normal 5 3 9 2" xfId="3974" xr:uid="{00000000-0005-0000-0000-0000A91A0000}"/>
    <cellStyle name="Normal 5 3 9 2 2" xfId="8196" xr:uid="{00000000-0005-0000-0000-0000AA1A0000}"/>
    <cellStyle name="Normal 5 3 9 2 2 2" xfId="16646" xr:uid="{BE19B70B-8B87-40DA-80E8-C442F61306F7}"/>
    <cellStyle name="Normal 5 3 9 2 3" xfId="12428" xr:uid="{F5253B14-42D6-4C72-87FF-E9F6EAAD0C78}"/>
    <cellStyle name="Normal 5 3 9 3" xfId="6051" xr:uid="{00000000-0005-0000-0000-0000AB1A0000}"/>
    <cellStyle name="Normal 5 3 9 3 2" xfId="14501" xr:uid="{C20E77F6-DBB9-455F-BE3E-5244EB3C62C5}"/>
    <cellStyle name="Normal 5 3 9 4" xfId="10283" xr:uid="{963DA4A3-4D59-4E46-9118-31788EF611FA}"/>
    <cellStyle name="Normal 5 4" xfId="456" xr:uid="{00000000-0005-0000-0000-0000AC1A0000}"/>
    <cellStyle name="Normal 5 4 10" xfId="4828" xr:uid="{00000000-0005-0000-0000-0000AD1A0000}"/>
    <cellStyle name="Normal 5 4 10 2" xfId="13278" xr:uid="{0E3F7C41-FC3B-4285-9392-3FAF491C5E10}"/>
    <cellStyle name="Normal 5 4 11" xfId="9060" xr:uid="{A3285668-7081-4036-97B6-49933E6506EF}"/>
    <cellStyle name="Normal 5 4 2" xfId="457" xr:uid="{00000000-0005-0000-0000-0000AE1A0000}"/>
    <cellStyle name="Normal 5 4 2 10" xfId="9061" xr:uid="{7BD30D4C-E31C-4601-B204-1FBDE906BAD5}"/>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FFBAD34B-96AD-4A5C-B5D8-0E87B0101BBC}"/>
    <cellStyle name="Normal 5 4 2 2 2 2 2 3" xfId="11621" xr:uid="{819D76D5-C931-4457-97CE-AF6B742CE665}"/>
    <cellStyle name="Normal 5 4 2 2 2 2 3" xfId="5244" xr:uid="{00000000-0005-0000-0000-0000B41A0000}"/>
    <cellStyle name="Normal 5 4 2 2 2 2 3 2" xfId="13694" xr:uid="{45EB4069-D04D-47FA-B43A-29B536905831}"/>
    <cellStyle name="Normal 5 4 2 2 2 2 4" xfId="9476" xr:uid="{CBD1D48F-E42E-411B-80EF-436918D9990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851287EF-49E3-4604-85A7-C9933025B19B}"/>
    <cellStyle name="Normal 5 4 2 2 2 3 2 3" xfId="12034" xr:uid="{06BB3DA2-9BE9-4FFD-AA2A-FCB78B1D3C4E}"/>
    <cellStyle name="Normal 5 4 2 2 2 3 3" xfId="5657" xr:uid="{00000000-0005-0000-0000-0000B81A0000}"/>
    <cellStyle name="Normal 5 4 2 2 2 3 3 2" xfId="14107" xr:uid="{FFCB4DBC-D599-487B-8868-212C23342585}"/>
    <cellStyle name="Normal 5 4 2 2 2 3 4" xfId="9889" xr:uid="{3BBB9020-5297-4CA1-AD72-57FAD32570CB}"/>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006C3CD9-8518-4C43-983D-C99C46E515E4}"/>
    <cellStyle name="Normal 5 4 2 2 2 4 2 3" xfId="12447" xr:uid="{3A617218-4511-4640-88BB-DEF9D97E7E8D}"/>
    <cellStyle name="Normal 5 4 2 2 2 4 3" xfId="6070" xr:uid="{00000000-0005-0000-0000-0000BC1A0000}"/>
    <cellStyle name="Normal 5 4 2 2 2 4 3 2" xfId="14520" xr:uid="{295FF9D4-5824-4E08-B94C-5BF799BEA0C6}"/>
    <cellStyle name="Normal 5 4 2 2 2 4 4" xfId="10302" xr:uid="{CBE40DA1-7011-47ED-AB4F-D51701F0DCC4}"/>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AEE470A4-00ED-487C-9B44-109EACA4B83B}"/>
    <cellStyle name="Normal 5 4 2 2 2 5 2 3" xfId="12860" xr:uid="{2AAA4D0F-E874-4626-81A0-574C7DF69485}"/>
    <cellStyle name="Normal 5 4 2 2 2 5 3" xfId="6483" xr:uid="{00000000-0005-0000-0000-0000C01A0000}"/>
    <cellStyle name="Normal 5 4 2 2 2 5 3 2" xfId="14933" xr:uid="{6338431B-569F-48B3-A02A-D7DC834D6DA5}"/>
    <cellStyle name="Normal 5 4 2 2 2 5 4" xfId="10715" xr:uid="{0ECB1F6E-E6A9-4B45-8CA2-3C83D9A3E9D3}"/>
    <cellStyle name="Normal 5 4 2 2 2 6" xfId="2613" xr:uid="{00000000-0005-0000-0000-0000C11A0000}"/>
    <cellStyle name="Normal 5 4 2 2 2 6 2" xfId="6896" xr:uid="{00000000-0005-0000-0000-0000C21A0000}"/>
    <cellStyle name="Normal 5 4 2 2 2 6 2 2" xfId="15346" xr:uid="{7F945800-8FED-483F-8CC1-34A5E65D8298}"/>
    <cellStyle name="Normal 5 4 2 2 2 6 3" xfId="11128" xr:uid="{C9DF0BD0-6160-4B5A-A61E-8ED7D3706DB0}"/>
    <cellStyle name="Normal 5 4 2 2 2 7" xfId="4831" xr:uid="{00000000-0005-0000-0000-0000C31A0000}"/>
    <cellStyle name="Normal 5 4 2 2 2 7 2" xfId="13281" xr:uid="{A3465DD4-EC80-4DFA-8998-8BC511C991EA}"/>
    <cellStyle name="Normal 5 4 2 2 2 8" xfId="9063" xr:uid="{4E2A7A03-FBAA-42D7-ADF8-49B2D4F85D5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B4F6683B-AD54-4DF5-A10E-291965A192A1}"/>
    <cellStyle name="Normal 5 4 2 2 3 2 3" xfId="11620" xr:uid="{B087F5EA-D7E2-4C1B-8E3D-A80979F55346}"/>
    <cellStyle name="Normal 5 4 2 2 3 3" xfId="5243" xr:uid="{00000000-0005-0000-0000-0000C71A0000}"/>
    <cellStyle name="Normal 5 4 2 2 3 3 2" xfId="13693" xr:uid="{60AAD2BF-6989-4DF1-AF26-FD97EF9795FB}"/>
    <cellStyle name="Normal 5 4 2 2 3 4" xfId="9475" xr:uid="{80DA9DF2-FAEF-462B-B97F-DFF858841B0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5FDE1F10-A1BD-4F4A-9D5B-C57E1AF174BA}"/>
    <cellStyle name="Normal 5 4 2 2 4 2 3" xfId="12033" xr:uid="{ED6AB731-10AF-408B-A2D4-1E90FCD09606}"/>
    <cellStyle name="Normal 5 4 2 2 4 3" xfId="5656" xr:uid="{00000000-0005-0000-0000-0000CB1A0000}"/>
    <cellStyle name="Normal 5 4 2 2 4 3 2" xfId="14106" xr:uid="{93444999-D6C6-44EF-B0C3-E9A9C305ADE3}"/>
    <cellStyle name="Normal 5 4 2 2 4 4" xfId="9888" xr:uid="{EA02E40E-F5CA-49A8-9D4E-5A3B2BCDEC11}"/>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CB075D39-B458-4AF1-997C-D1E1AC6D51A7}"/>
    <cellStyle name="Normal 5 4 2 2 5 2 3" xfId="12446" xr:uid="{A6BF5967-79BD-46A6-9600-65CA008CFFF1}"/>
    <cellStyle name="Normal 5 4 2 2 5 3" xfId="6069" xr:uid="{00000000-0005-0000-0000-0000CF1A0000}"/>
    <cellStyle name="Normal 5 4 2 2 5 3 2" xfId="14519" xr:uid="{32CFE1C2-A749-4F4B-B58E-5319C4E7C447}"/>
    <cellStyle name="Normal 5 4 2 2 5 4" xfId="10301" xr:uid="{85D4FC1D-EFBF-43A4-AB04-B20425E3FB1E}"/>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F6744313-B6EB-49C8-B35A-94A14AFA68B4}"/>
    <cellStyle name="Normal 5 4 2 2 6 2 3" xfId="12859" xr:uid="{EAF2D684-D834-4B4C-A71A-E496FD3B8C84}"/>
    <cellStyle name="Normal 5 4 2 2 6 3" xfId="6482" xr:uid="{00000000-0005-0000-0000-0000D31A0000}"/>
    <cellStyle name="Normal 5 4 2 2 6 3 2" xfId="14932" xr:uid="{7D6F0CEF-72AB-4D32-A7ED-4C4D98F22528}"/>
    <cellStyle name="Normal 5 4 2 2 6 4" xfId="10714" xr:uid="{979A1D01-26A8-43AA-87C3-7034491DEC7A}"/>
    <cellStyle name="Normal 5 4 2 2 7" xfId="2612" xr:uid="{00000000-0005-0000-0000-0000D41A0000}"/>
    <cellStyle name="Normal 5 4 2 2 7 2" xfId="6895" xr:uid="{00000000-0005-0000-0000-0000D51A0000}"/>
    <cellStyle name="Normal 5 4 2 2 7 2 2" xfId="15345" xr:uid="{1D04EDE1-A17F-4A9B-891D-3645C564B0D8}"/>
    <cellStyle name="Normal 5 4 2 2 7 3" xfId="11127" xr:uid="{D46DECE0-8A42-4C22-A6C9-416379F57A1D}"/>
    <cellStyle name="Normal 5 4 2 2 8" xfId="4830" xr:uid="{00000000-0005-0000-0000-0000D61A0000}"/>
    <cellStyle name="Normal 5 4 2 2 8 2" xfId="13280" xr:uid="{2749751D-A858-43FC-B812-6775B51220F2}"/>
    <cellStyle name="Normal 5 4 2 2 9" xfId="9062" xr:uid="{CB7E1C46-9AC1-465B-8505-A8AF64AB2AFE}"/>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C740F2AE-2F58-4CD9-9212-A2D5C685EB50}"/>
    <cellStyle name="Normal 5 4 2 3 2 2 3" xfId="11622" xr:uid="{829802D5-7C55-4540-8F5E-6C9F1871CC0A}"/>
    <cellStyle name="Normal 5 4 2 3 2 3" xfId="5245" xr:uid="{00000000-0005-0000-0000-0000DB1A0000}"/>
    <cellStyle name="Normal 5 4 2 3 2 3 2" xfId="13695" xr:uid="{72D1B3C2-405B-4C34-878B-F8B1A3C402A7}"/>
    <cellStyle name="Normal 5 4 2 3 2 4" xfId="9477" xr:uid="{7959F949-A749-407F-AFC1-5E63E312487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0FFB1D65-3744-476A-B6AF-FEEDD76A8193}"/>
    <cellStyle name="Normal 5 4 2 3 3 2 3" xfId="12035" xr:uid="{29D7CF41-057B-41EA-8F67-AA9A22CECE6B}"/>
    <cellStyle name="Normal 5 4 2 3 3 3" xfId="5658" xr:uid="{00000000-0005-0000-0000-0000DF1A0000}"/>
    <cellStyle name="Normal 5 4 2 3 3 3 2" xfId="14108" xr:uid="{C7C53C19-ED50-4374-8F8A-324E5D99B685}"/>
    <cellStyle name="Normal 5 4 2 3 3 4" xfId="9890" xr:uid="{BEA7651F-9596-4796-BBA9-410DBE900CB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57EDC9A7-B753-4B1A-90F9-77F99955AE06}"/>
    <cellStyle name="Normal 5 4 2 3 4 2 3" xfId="12448" xr:uid="{FF85275B-7888-4A41-A144-B5168FD6DFDA}"/>
    <cellStyle name="Normal 5 4 2 3 4 3" xfId="6071" xr:uid="{00000000-0005-0000-0000-0000E31A0000}"/>
    <cellStyle name="Normal 5 4 2 3 4 3 2" xfId="14521" xr:uid="{EFDA1387-235A-49E7-9F01-98957B97E288}"/>
    <cellStyle name="Normal 5 4 2 3 4 4" xfId="10303" xr:uid="{922B0DAE-203F-4E54-B65D-582044A62A9D}"/>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3C61B3DE-22C6-4B4C-9551-D7DD69FDB77D}"/>
    <cellStyle name="Normal 5 4 2 3 5 2 3" xfId="12861" xr:uid="{F7E8FB1C-1E65-40CC-9A3E-E5545611432B}"/>
    <cellStyle name="Normal 5 4 2 3 5 3" xfId="6484" xr:uid="{00000000-0005-0000-0000-0000E71A0000}"/>
    <cellStyle name="Normal 5 4 2 3 5 3 2" xfId="14934" xr:uid="{E252FE57-BBBF-4A78-A90B-5979EFFA2637}"/>
    <cellStyle name="Normal 5 4 2 3 5 4" xfId="10716" xr:uid="{5B9524D5-4728-426B-8FB2-7E3F5609F3C6}"/>
    <cellStyle name="Normal 5 4 2 3 6" xfId="2614" xr:uid="{00000000-0005-0000-0000-0000E81A0000}"/>
    <cellStyle name="Normal 5 4 2 3 6 2" xfId="6897" xr:uid="{00000000-0005-0000-0000-0000E91A0000}"/>
    <cellStyle name="Normal 5 4 2 3 6 2 2" xfId="15347" xr:uid="{95B68F6B-758A-47DA-9CE8-14F2CC7C3B61}"/>
    <cellStyle name="Normal 5 4 2 3 6 3" xfId="11129" xr:uid="{F8264CD1-6CB6-4C2D-9F7D-2EEE3B29D2CC}"/>
    <cellStyle name="Normal 5 4 2 3 7" xfId="4832" xr:uid="{00000000-0005-0000-0000-0000EA1A0000}"/>
    <cellStyle name="Normal 5 4 2 3 7 2" xfId="13282" xr:uid="{D4402DCD-F84D-43A4-A588-E6924C27EBFB}"/>
    <cellStyle name="Normal 5 4 2 3 8" xfId="9064" xr:uid="{EB681A95-D8A2-4B19-BC68-7A7279F3BFAA}"/>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416B4738-6089-46AF-B08B-0DACDB674478}"/>
    <cellStyle name="Normal 5 4 2 4 2 3" xfId="11619" xr:uid="{438EBBE4-DC03-422F-A51E-65F0B471288F}"/>
    <cellStyle name="Normal 5 4 2 4 3" xfId="5242" xr:uid="{00000000-0005-0000-0000-0000EE1A0000}"/>
    <cellStyle name="Normal 5 4 2 4 3 2" xfId="13692" xr:uid="{90EF1C1E-B722-4F28-885C-558F6E46269B}"/>
    <cellStyle name="Normal 5 4 2 4 4" xfId="9474" xr:uid="{718D2CDB-329A-4263-A5FD-1A778B033785}"/>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96B35ED1-D28F-4FA4-A7D8-027B5232D645}"/>
    <cellStyle name="Normal 5 4 2 5 2 3" xfId="12032" xr:uid="{4563B833-C9E1-49C6-929D-2E343F16C607}"/>
    <cellStyle name="Normal 5 4 2 5 3" xfId="5655" xr:uid="{00000000-0005-0000-0000-0000F21A0000}"/>
    <cellStyle name="Normal 5 4 2 5 3 2" xfId="14105" xr:uid="{5391C8F7-CDDE-42BC-BD75-A900EA5255FC}"/>
    <cellStyle name="Normal 5 4 2 5 4" xfId="9887" xr:uid="{F2CF6C48-2149-42BC-A0F7-C363E9350DEA}"/>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6A065799-B510-487B-8275-563EC83E7B91}"/>
    <cellStyle name="Normal 5 4 2 6 2 3" xfId="12445" xr:uid="{3C8371DB-1C20-4669-96EC-E4EB0B1A2B7F}"/>
    <cellStyle name="Normal 5 4 2 6 3" xfId="6068" xr:uid="{00000000-0005-0000-0000-0000F61A0000}"/>
    <cellStyle name="Normal 5 4 2 6 3 2" xfId="14518" xr:uid="{7956B88A-02CC-4DB8-9E37-D76B2EF23C4C}"/>
    <cellStyle name="Normal 5 4 2 6 4" xfId="10300" xr:uid="{2B1A8179-BA97-4E34-9EEC-176220C86736}"/>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590A149E-A2F8-4218-95DF-D8BEC460F327}"/>
    <cellStyle name="Normal 5 4 2 7 2 3" xfId="12858" xr:uid="{0C2EBDDF-9BF9-46E6-81C3-260295F1921E}"/>
    <cellStyle name="Normal 5 4 2 7 3" xfId="6481" xr:uid="{00000000-0005-0000-0000-0000FA1A0000}"/>
    <cellStyle name="Normal 5 4 2 7 3 2" xfId="14931" xr:uid="{10D73612-D4D1-48A8-B953-D70653DDD0BF}"/>
    <cellStyle name="Normal 5 4 2 7 4" xfId="10713" xr:uid="{DD023ADA-9848-4C9E-9992-34E776A32967}"/>
    <cellStyle name="Normal 5 4 2 8" xfId="2611" xr:uid="{00000000-0005-0000-0000-0000FB1A0000}"/>
    <cellStyle name="Normal 5 4 2 8 2" xfId="6894" xr:uid="{00000000-0005-0000-0000-0000FC1A0000}"/>
    <cellStyle name="Normal 5 4 2 8 2 2" xfId="15344" xr:uid="{728B5656-ECAF-4E74-9C1E-B9FE8BE8C3B3}"/>
    <cellStyle name="Normal 5 4 2 8 3" xfId="11126" xr:uid="{C3FC4416-DFEF-4C33-942A-C79FED70CC3B}"/>
    <cellStyle name="Normal 5 4 2 9" xfId="4829" xr:uid="{00000000-0005-0000-0000-0000FD1A0000}"/>
    <cellStyle name="Normal 5 4 2 9 2" xfId="13279" xr:uid="{2DE4FE6E-4D0D-4900-9729-69C064DCC5A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D88862FC-597F-44AC-838F-6F2FE01E3F8B}"/>
    <cellStyle name="Normal 5 4 3 2 2 2 3" xfId="11624" xr:uid="{24F9CFA6-7E51-4417-B351-374279B90A91}"/>
    <cellStyle name="Normal 5 4 3 2 2 3" xfId="5247" xr:uid="{00000000-0005-0000-0000-0000031B0000}"/>
    <cellStyle name="Normal 5 4 3 2 2 3 2" xfId="13697" xr:uid="{33275512-960B-4FAC-BFC3-526A26FA4430}"/>
    <cellStyle name="Normal 5 4 3 2 2 4" xfId="9479" xr:uid="{10AB7D9F-4207-4319-B9FE-D893B70F05A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2FE98EDB-25F9-4E6A-AA4C-2D0E524F9CB8}"/>
    <cellStyle name="Normal 5 4 3 2 3 2 3" xfId="12037" xr:uid="{413AA3E8-D0AB-4C31-83B3-187D77C98587}"/>
    <cellStyle name="Normal 5 4 3 2 3 3" xfId="5660" xr:uid="{00000000-0005-0000-0000-0000071B0000}"/>
    <cellStyle name="Normal 5 4 3 2 3 3 2" xfId="14110" xr:uid="{62C114CD-D090-4A52-BBED-14A15F26CD47}"/>
    <cellStyle name="Normal 5 4 3 2 3 4" xfId="9892" xr:uid="{799A9302-1F75-4A65-9FFC-1FB2570F6832}"/>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69E1B965-392A-4FDA-99C6-7E3EF3B95805}"/>
    <cellStyle name="Normal 5 4 3 2 4 2 3" xfId="12450" xr:uid="{94B28398-492E-48D9-B32D-FE0612C0D2F8}"/>
    <cellStyle name="Normal 5 4 3 2 4 3" xfId="6073" xr:uid="{00000000-0005-0000-0000-00000B1B0000}"/>
    <cellStyle name="Normal 5 4 3 2 4 3 2" xfId="14523" xr:uid="{503322A8-A7CF-40FB-93E1-31BE0B52ABA7}"/>
    <cellStyle name="Normal 5 4 3 2 4 4" xfId="10305" xr:uid="{22CB5357-93B7-4803-9574-D8263A397CF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87A92287-486F-4951-92AC-8C2346574A43}"/>
    <cellStyle name="Normal 5 4 3 2 5 2 3" xfId="12863" xr:uid="{D2A9EC10-95AC-48B5-B3B3-8757063AABB8}"/>
    <cellStyle name="Normal 5 4 3 2 5 3" xfId="6486" xr:uid="{00000000-0005-0000-0000-00000F1B0000}"/>
    <cellStyle name="Normal 5 4 3 2 5 3 2" xfId="14936" xr:uid="{E1FE8795-0E1B-4CB3-975E-D26D39E76591}"/>
    <cellStyle name="Normal 5 4 3 2 5 4" xfId="10718" xr:uid="{E1B75774-BB08-4BBA-8ED1-CC01FB96618A}"/>
    <cellStyle name="Normal 5 4 3 2 6" xfId="2616" xr:uid="{00000000-0005-0000-0000-0000101B0000}"/>
    <cellStyle name="Normal 5 4 3 2 6 2" xfId="6899" xr:uid="{00000000-0005-0000-0000-0000111B0000}"/>
    <cellStyle name="Normal 5 4 3 2 6 2 2" xfId="15349" xr:uid="{AC75DDB2-0860-49FE-9CAB-9E633782DC54}"/>
    <cellStyle name="Normal 5 4 3 2 6 3" xfId="11131" xr:uid="{5B0DCA82-D920-42C7-9410-F720FD8DD322}"/>
    <cellStyle name="Normal 5 4 3 2 7" xfId="4834" xr:uid="{00000000-0005-0000-0000-0000121B0000}"/>
    <cellStyle name="Normal 5 4 3 2 7 2" xfId="13284" xr:uid="{A1F07BC0-5C56-41C1-8444-F2027D86F76F}"/>
    <cellStyle name="Normal 5 4 3 2 8" xfId="9066" xr:uid="{BBC8F191-4122-4D5C-887E-D8D9C613FA32}"/>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76166A0B-1358-4136-BF6E-27E20D6EAF51}"/>
    <cellStyle name="Normal 5 4 3 3 2 3" xfId="11623" xr:uid="{432BFC50-068B-49C5-8DB7-4C80639D42CB}"/>
    <cellStyle name="Normal 5 4 3 3 3" xfId="5246" xr:uid="{00000000-0005-0000-0000-0000161B0000}"/>
    <cellStyle name="Normal 5 4 3 3 3 2" xfId="13696" xr:uid="{B460BDB4-D89C-4C89-A5F1-0DE5F3A17D87}"/>
    <cellStyle name="Normal 5 4 3 3 4" xfId="9478" xr:uid="{CEDD32DF-6C95-421E-A5A5-59A36C38232A}"/>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081B2EEE-F9D2-408B-8222-CCE4B9BABE0C}"/>
    <cellStyle name="Normal 5 4 3 4 2 3" xfId="12036" xr:uid="{6964164B-1F67-410E-96C1-E1A22E56E423}"/>
    <cellStyle name="Normal 5 4 3 4 3" xfId="5659" xr:uid="{00000000-0005-0000-0000-00001A1B0000}"/>
    <cellStyle name="Normal 5 4 3 4 3 2" xfId="14109" xr:uid="{D915BCAB-1F20-46E1-BCBE-6C5C7E0388DB}"/>
    <cellStyle name="Normal 5 4 3 4 4" xfId="9891" xr:uid="{58F70FF4-C571-4735-8D06-2136A58A6A53}"/>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E6EA6D31-B6EB-4D70-B768-383C8C1D1A4E}"/>
    <cellStyle name="Normal 5 4 3 5 2 3" xfId="12449" xr:uid="{A7A0D56E-C1B9-4E9E-B1A2-5116FB837B5F}"/>
    <cellStyle name="Normal 5 4 3 5 3" xfId="6072" xr:uid="{00000000-0005-0000-0000-00001E1B0000}"/>
    <cellStyle name="Normal 5 4 3 5 3 2" xfId="14522" xr:uid="{0ABB6478-9884-4D93-ADF9-BFE7618A68A1}"/>
    <cellStyle name="Normal 5 4 3 5 4" xfId="10304" xr:uid="{9E77A4C4-1866-4004-BED5-D93136505FD2}"/>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48FC5A9B-6BB3-4826-85D2-2535F7908D4C}"/>
    <cellStyle name="Normal 5 4 3 6 2 3" xfId="12862" xr:uid="{1C67A910-7D2E-4462-B83A-E1C9292A3DD1}"/>
    <cellStyle name="Normal 5 4 3 6 3" xfId="6485" xr:uid="{00000000-0005-0000-0000-0000221B0000}"/>
    <cellStyle name="Normal 5 4 3 6 3 2" xfId="14935" xr:uid="{037E1512-6961-4D73-9A39-BF1E95D767E9}"/>
    <cellStyle name="Normal 5 4 3 6 4" xfId="10717" xr:uid="{317EBC27-C1A3-45BC-AE17-D3FE61A9F06F}"/>
    <cellStyle name="Normal 5 4 3 7" xfId="2615" xr:uid="{00000000-0005-0000-0000-0000231B0000}"/>
    <cellStyle name="Normal 5 4 3 7 2" xfId="6898" xr:uid="{00000000-0005-0000-0000-0000241B0000}"/>
    <cellStyle name="Normal 5 4 3 7 2 2" xfId="15348" xr:uid="{BA4E819F-9B70-41BD-8DC7-DD2AC55B31ED}"/>
    <cellStyle name="Normal 5 4 3 7 3" xfId="11130" xr:uid="{789F2300-A111-49A0-B964-80C7860D0E41}"/>
    <cellStyle name="Normal 5 4 3 8" xfId="4833" xr:uid="{00000000-0005-0000-0000-0000251B0000}"/>
    <cellStyle name="Normal 5 4 3 8 2" xfId="13283" xr:uid="{1DE1B836-95DE-400B-809D-E261DC75B4A2}"/>
    <cellStyle name="Normal 5 4 3 9" xfId="9065" xr:uid="{753C99DD-320B-42B8-BC6F-62E7DB69D2FA}"/>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28554F70-5E06-4B5C-943F-F42B396EEDE8}"/>
    <cellStyle name="Normal 5 4 4 2 2 3" xfId="11625" xr:uid="{C530D110-2F7F-40CB-ACB3-97D7F88446F1}"/>
    <cellStyle name="Normal 5 4 4 2 3" xfId="5248" xr:uid="{00000000-0005-0000-0000-00002A1B0000}"/>
    <cellStyle name="Normal 5 4 4 2 3 2" xfId="13698" xr:uid="{97187A8E-C4BE-4A7E-8553-37F25112BBEF}"/>
    <cellStyle name="Normal 5 4 4 2 4" xfId="9480" xr:uid="{518B80B6-6641-486E-A1F6-88DBAF72CF24}"/>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D1912486-71AB-40A7-89D5-50343AD741D0}"/>
    <cellStyle name="Normal 5 4 4 3 2 3" xfId="12038" xr:uid="{0D620FFC-AED7-4767-B2AB-B08156F4832D}"/>
    <cellStyle name="Normal 5 4 4 3 3" xfId="5661" xr:uid="{00000000-0005-0000-0000-00002E1B0000}"/>
    <cellStyle name="Normal 5 4 4 3 3 2" xfId="14111" xr:uid="{A1A54CC6-512A-42F8-8277-2409209A6290}"/>
    <cellStyle name="Normal 5 4 4 3 4" xfId="9893" xr:uid="{72500AAD-9D58-42F5-AFF8-0B75516516C8}"/>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7344C796-EC31-4ABA-95F3-68432A69BD3D}"/>
    <cellStyle name="Normal 5 4 4 4 2 3" xfId="12451" xr:uid="{9FA69741-B6EF-4113-B255-5876A8293EED}"/>
    <cellStyle name="Normal 5 4 4 4 3" xfId="6074" xr:uid="{00000000-0005-0000-0000-0000321B0000}"/>
    <cellStyle name="Normal 5 4 4 4 3 2" xfId="14524" xr:uid="{580ABE4C-7212-4696-BAA0-7837E05DBD04}"/>
    <cellStyle name="Normal 5 4 4 4 4" xfId="10306" xr:uid="{0C0D5CC1-E551-47F7-B1E8-ECF74ADF777B}"/>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BC275B67-BC08-4576-9B32-44A8865E1E5E}"/>
    <cellStyle name="Normal 5 4 4 5 2 3" xfId="12864" xr:uid="{FBC69574-D93C-4C90-A6FD-8E8DB020E09B}"/>
    <cellStyle name="Normal 5 4 4 5 3" xfId="6487" xr:uid="{00000000-0005-0000-0000-0000361B0000}"/>
    <cellStyle name="Normal 5 4 4 5 3 2" xfId="14937" xr:uid="{C57C9C8A-DD4F-4FB9-914B-22885FE91328}"/>
    <cellStyle name="Normal 5 4 4 5 4" xfId="10719" xr:uid="{48F0D932-24AD-40DC-9BF7-240473A0DFF3}"/>
    <cellStyle name="Normal 5 4 4 6" xfId="2617" xr:uid="{00000000-0005-0000-0000-0000371B0000}"/>
    <cellStyle name="Normal 5 4 4 6 2" xfId="6900" xr:uid="{00000000-0005-0000-0000-0000381B0000}"/>
    <cellStyle name="Normal 5 4 4 6 2 2" xfId="15350" xr:uid="{3ED8067E-C2B5-47B2-B3FB-8BA634A7738B}"/>
    <cellStyle name="Normal 5 4 4 6 3" xfId="11132" xr:uid="{6E5B962B-CA31-4FAE-9017-939E06A91AEF}"/>
    <cellStyle name="Normal 5 4 4 7" xfId="4835" xr:uid="{00000000-0005-0000-0000-0000391B0000}"/>
    <cellStyle name="Normal 5 4 4 7 2" xfId="13285" xr:uid="{BFF2333E-AFC9-45F6-B3A9-E44FEAF86A8F}"/>
    <cellStyle name="Normal 5 4 4 8" xfId="9067" xr:uid="{F1A1183C-5B36-47FF-ADE5-E66DC82D7F06}"/>
    <cellStyle name="Normal 5 4 5" xfId="930" xr:uid="{00000000-0005-0000-0000-00003A1B0000}"/>
    <cellStyle name="Normal 5 4 5 2" xfId="3164" xr:uid="{00000000-0005-0000-0000-00003B1B0000}"/>
    <cellStyle name="Normal 5 4 5 2 2" xfId="7386" xr:uid="{00000000-0005-0000-0000-00003C1B0000}"/>
    <cellStyle name="Normal 5 4 5 2 2 2" xfId="15836" xr:uid="{A25DE4E8-DC53-4C16-939D-48FD7182693C}"/>
    <cellStyle name="Normal 5 4 5 2 3" xfId="11618" xr:uid="{2F59C89A-530B-4361-9EAD-1BA736551CA0}"/>
    <cellStyle name="Normal 5 4 5 3" xfId="5241" xr:uid="{00000000-0005-0000-0000-00003D1B0000}"/>
    <cellStyle name="Normal 5 4 5 3 2" xfId="13691" xr:uid="{C73F34B5-D44F-4D62-93AC-6AE86C7DB5C9}"/>
    <cellStyle name="Normal 5 4 5 4" xfId="9473" xr:uid="{E5A14390-66C1-4D76-9CCC-982CDD81030C}"/>
    <cellStyle name="Normal 5 4 6" xfId="1347" xr:uid="{00000000-0005-0000-0000-00003E1B0000}"/>
    <cellStyle name="Normal 5 4 6 2" xfId="3577" xr:uid="{00000000-0005-0000-0000-00003F1B0000}"/>
    <cellStyle name="Normal 5 4 6 2 2" xfId="7799" xr:uid="{00000000-0005-0000-0000-0000401B0000}"/>
    <cellStyle name="Normal 5 4 6 2 2 2" xfId="16249" xr:uid="{4346555D-2FD1-4FFF-9EB7-0384655BC157}"/>
    <cellStyle name="Normal 5 4 6 2 3" xfId="12031" xr:uid="{0B907D7E-8967-4038-AA69-9A502633D419}"/>
    <cellStyle name="Normal 5 4 6 3" xfId="5654" xr:uid="{00000000-0005-0000-0000-0000411B0000}"/>
    <cellStyle name="Normal 5 4 6 3 2" xfId="14104" xr:uid="{A231D0D3-FB6F-43A3-822C-4D663D0993E8}"/>
    <cellStyle name="Normal 5 4 6 4" xfId="9886" xr:uid="{1E190379-F9E6-416A-8AD1-D771A2455A17}"/>
    <cellStyle name="Normal 5 4 7" xfId="1760" xr:uid="{00000000-0005-0000-0000-0000421B0000}"/>
    <cellStyle name="Normal 5 4 7 2" xfId="3990" xr:uid="{00000000-0005-0000-0000-0000431B0000}"/>
    <cellStyle name="Normal 5 4 7 2 2" xfId="8212" xr:uid="{00000000-0005-0000-0000-0000441B0000}"/>
    <cellStyle name="Normal 5 4 7 2 2 2" xfId="16662" xr:uid="{F5BF5BDA-3C35-4D69-BF3F-2020CB3BEC01}"/>
    <cellStyle name="Normal 5 4 7 2 3" xfId="12444" xr:uid="{FE238FE6-A140-4FB9-A79F-E00A5DD02B53}"/>
    <cellStyle name="Normal 5 4 7 3" xfId="6067" xr:uid="{00000000-0005-0000-0000-0000451B0000}"/>
    <cellStyle name="Normal 5 4 7 3 2" xfId="14517" xr:uid="{5D31F6FE-7790-4AB3-9A85-E10833719111}"/>
    <cellStyle name="Normal 5 4 7 4" xfId="10299" xr:uid="{AB4FAAFB-44C0-4F40-B6DC-9116E0FA07CC}"/>
    <cellStyle name="Normal 5 4 8" xfId="2174" xr:uid="{00000000-0005-0000-0000-0000461B0000}"/>
    <cellStyle name="Normal 5 4 8 2" xfId="4403" xr:uid="{00000000-0005-0000-0000-0000471B0000}"/>
    <cellStyle name="Normal 5 4 8 2 2" xfId="8625" xr:uid="{00000000-0005-0000-0000-0000481B0000}"/>
    <cellStyle name="Normal 5 4 8 2 2 2" xfId="17075" xr:uid="{97C4D8E1-2E40-4B6F-A710-220B7496E469}"/>
    <cellStyle name="Normal 5 4 8 2 3" xfId="12857" xr:uid="{D0326FED-B120-4C75-9E31-57E7F7303C1F}"/>
    <cellStyle name="Normal 5 4 8 3" xfId="6480" xr:uid="{00000000-0005-0000-0000-0000491B0000}"/>
    <cellStyle name="Normal 5 4 8 3 2" xfId="14930" xr:uid="{B65443C3-1254-4D1D-A392-5E1F1FD2573E}"/>
    <cellStyle name="Normal 5 4 8 4" xfId="10712" xr:uid="{5B981BD9-66DE-4971-8968-63054594FF49}"/>
    <cellStyle name="Normal 5 4 9" xfId="2610" xr:uid="{00000000-0005-0000-0000-00004A1B0000}"/>
    <cellStyle name="Normal 5 4 9 2" xfId="6893" xr:uid="{00000000-0005-0000-0000-00004B1B0000}"/>
    <cellStyle name="Normal 5 4 9 2 2" xfId="15343" xr:uid="{F670FF29-41FB-4D64-83DC-E875F68396F1}"/>
    <cellStyle name="Normal 5 4 9 3" xfId="11125" xr:uid="{BAE9B36B-5159-46B3-9919-FEA686706538}"/>
    <cellStyle name="Normal 5 5" xfId="464" xr:uid="{00000000-0005-0000-0000-00004C1B0000}"/>
    <cellStyle name="Normal 5 5 10" xfId="9068" xr:uid="{B419D4F3-7285-4F08-BC7A-88DAC789C1EC}"/>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58896F6-4BA6-433E-ADD6-B557C5461331}"/>
    <cellStyle name="Normal 5 5 2 2 2 2 3" xfId="11628" xr:uid="{99D3BC51-4099-4982-90F8-451118473099}"/>
    <cellStyle name="Normal 5 5 2 2 2 3" xfId="5251" xr:uid="{00000000-0005-0000-0000-0000521B0000}"/>
    <cellStyle name="Normal 5 5 2 2 2 3 2" xfId="13701" xr:uid="{D0167563-3FE3-4580-A165-61C83075E71A}"/>
    <cellStyle name="Normal 5 5 2 2 2 4" xfId="9483" xr:uid="{91255E16-3DB8-4C22-B1A3-E62FB7A8AEFE}"/>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D6FB91F1-771F-4E1A-B794-54389F1F0C36}"/>
    <cellStyle name="Normal 5 5 2 2 3 2 3" xfId="12041" xr:uid="{15612292-3388-4916-841C-5A440B598673}"/>
    <cellStyle name="Normal 5 5 2 2 3 3" xfId="5664" xr:uid="{00000000-0005-0000-0000-0000561B0000}"/>
    <cellStyle name="Normal 5 5 2 2 3 3 2" xfId="14114" xr:uid="{9E50B23E-4E84-4BAA-8E06-41B31327F4F9}"/>
    <cellStyle name="Normal 5 5 2 2 3 4" xfId="9896" xr:uid="{3FE13EB0-17FF-45B9-BB8B-214EEC6BF0C0}"/>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081AAAFB-35EC-42BE-97AB-B0087074B1D5}"/>
    <cellStyle name="Normal 5 5 2 2 4 2 3" xfId="12454" xr:uid="{6DFB0F15-7D1F-43EE-BDD6-0DC1AA3BEF3E}"/>
    <cellStyle name="Normal 5 5 2 2 4 3" xfId="6077" xr:uid="{00000000-0005-0000-0000-00005A1B0000}"/>
    <cellStyle name="Normal 5 5 2 2 4 3 2" xfId="14527" xr:uid="{F409FE31-D685-4BF4-8219-CF01E2A2499B}"/>
    <cellStyle name="Normal 5 5 2 2 4 4" xfId="10309" xr:uid="{1FDF3876-C3BA-4145-96E0-328C560E328C}"/>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0B499143-433D-49AE-944E-5D3F87C7FAF8}"/>
    <cellStyle name="Normal 5 5 2 2 5 2 3" xfId="12867" xr:uid="{4B7551E6-D404-4BFB-8A35-0360EA2C627B}"/>
    <cellStyle name="Normal 5 5 2 2 5 3" xfId="6490" xr:uid="{00000000-0005-0000-0000-00005E1B0000}"/>
    <cellStyle name="Normal 5 5 2 2 5 3 2" xfId="14940" xr:uid="{48542427-2B66-464E-8767-5255A6FE0B73}"/>
    <cellStyle name="Normal 5 5 2 2 5 4" xfId="10722" xr:uid="{A7DDB309-B21A-4C77-995C-2F7EA23C24F7}"/>
    <cellStyle name="Normal 5 5 2 2 6" xfId="2620" xr:uid="{00000000-0005-0000-0000-00005F1B0000}"/>
    <cellStyle name="Normal 5 5 2 2 6 2" xfId="6903" xr:uid="{00000000-0005-0000-0000-0000601B0000}"/>
    <cellStyle name="Normal 5 5 2 2 6 2 2" xfId="15353" xr:uid="{5CAE893F-4CA9-41E9-A441-D795DAAAFDD5}"/>
    <cellStyle name="Normal 5 5 2 2 6 3" xfId="11135" xr:uid="{EF4C6402-F3CB-453F-A334-2397942EA94B}"/>
    <cellStyle name="Normal 5 5 2 2 7" xfId="4838" xr:uid="{00000000-0005-0000-0000-0000611B0000}"/>
    <cellStyle name="Normal 5 5 2 2 7 2" xfId="13288" xr:uid="{EA8CFA88-C313-4F8B-81ED-BA2528F7A316}"/>
    <cellStyle name="Normal 5 5 2 2 8" xfId="9070" xr:uid="{280171F6-A635-4308-97F7-642C0EF75F54}"/>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0BFAA259-989E-448A-8203-60DD8790AE7E}"/>
    <cellStyle name="Normal 5 5 2 3 2 3" xfId="11627" xr:uid="{93BE6CE5-B018-4070-8CA1-7589DEA76CBE}"/>
    <cellStyle name="Normal 5 5 2 3 3" xfId="5250" xr:uid="{00000000-0005-0000-0000-0000651B0000}"/>
    <cellStyle name="Normal 5 5 2 3 3 2" xfId="13700" xr:uid="{F5428212-CC49-43AF-BC50-7A0A8A489D2A}"/>
    <cellStyle name="Normal 5 5 2 3 4" xfId="9482" xr:uid="{613D4CE4-3F7A-4F07-B631-BF0155EE1ACB}"/>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8D323186-A4F8-4690-B0FE-A2DC90791364}"/>
    <cellStyle name="Normal 5 5 2 4 2 3" xfId="12040" xr:uid="{D32CF813-0BC9-4EEA-8F46-3E2E96B06860}"/>
    <cellStyle name="Normal 5 5 2 4 3" xfId="5663" xr:uid="{00000000-0005-0000-0000-0000691B0000}"/>
    <cellStyle name="Normal 5 5 2 4 3 2" xfId="14113" xr:uid="{9618CBBF-9744-4DB8-9395-7641EA7D66C4}"/>
    <cellStyle name="Normal 5 5 2 4 4" xfId="9895" xr:uid="{BB9FBEB1-D9E5-4421-946E-F9B7516135F7}"/>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6DD5FE6E-0458-489A-A1A6-3D1B8D664D39}"/>
    <cellStyle name="Normal 5 5 2 5 2 3" xfId="12453" xr:uid="{FB256E55-39D8-40C5-B874-4033D2478380}"/>
    <cellStyle name="Normal 5 5 2 5 3" xfId="6076" xr:uid="{00000000-0005-0000-0000-00006D1B0000}"/>
    <cellStyle name="Normal 5 5 2 5 3 2" xfId="14526" xr:uid="{9D28FAB6-DAE9-41DD-B275-8ED70D4FA8CF}"/>
    <cellStyle name="Normal 5 5 2 5 4" xfId="10308" xr:uid="{FA8B274B-8603-4200-85EA-4E5831EC9515}"/>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8F98FEA5-F139-4C01-ACAC-D7B9DC6201F8}"/>
    <cellStyle name="Normal 5 5 2 6 2 3" xfId="12866" xr:uid="{5EC37D03-E5E2-42E8-B8E1-B066B6CE3CD3}"/>
    <cellStyle name="Normal 5 5 2 6 3" xfId="6489" xr:uid="{00000000-0005-0000-0000-0000711B0000}"/>
    <cellStyle name="Normal 5 5 2 6 3 2" xfId="14939" xr:uid="{E313089E-5EAF-4820-A1CE-59521CAA729C}"/>
    <cellStyle name="Normal 5 5 2 6 4" xfId="10721" xr:uid="{626A50AD-D40E-47E8-9201-433728D1086B}"/>
    <cellStyle name="Normal 5 5 2 7" xfId="2619" xr:uid="{00000000-0005-0000-0000-0000721B0000}"/>
    <cellStyle name="Normal 5 5 2 7 2" xfId="6902" xr:uid="{00000000-0005-0000-0000-0000731B0000}"/>
    <cellStyle name="Normal 5 5 2 7 2 2" xfId="15352" xr:uid="{C1E6CCC1-AD48-4CDE-BC30-34D8FF177433}"/>
    <cellStyle name="Normal 5 5 2 7 3" xfId="11134" xr:uid="{532C4385-20AD-4E3F-820D-B1E204EA070A}"/>
    <cellStyle name="Normal 5 5 2 8" xfId="4837" xr:uid="{00000000-0005-0000-0000-0000741B0000}"/>
    <cellStyle name="Normal 5 5 2 8 2" xfId="13287" xr:uid="{79A4C52E-38E5-4B91-9783-DED029018341}"/>
    <cellStyle name="Normal 5 5 2 9" xfId="9069" xr:uid="{9FF1CEF4-AB8E-41E6-9E44-A9C0A399FE4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BB93F190-4F25-4497-ACC3-798DA0535248}"/>
    <cellStyle name="Normal 5 5 3 2 2 3" xfId="11629" xr:uid="{A52EA66F-C434-4ADE-9A05-920AB72A7B03}"/>
    <cellStyle name="Normal 5 5 3 2 3" xfId="5252" xr:uid="{00000000-0005-0000-0000-0000791B0000}"/>
    <cellStyle name="Normal 5 5 3 2 3 2" xfId="13702" xr:uid="{A323D8E3-F464-48DE-90A8-8D263A851832}"/>
    <cellStyle name="Normal 5 5 3 2 4" xfId="9484" xr:uid="{4DDE82ED-4A2B-48DF-BD04-0F80D5E80864}"/>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4156A08C-974E-4146-818F-CEA5CCFE105D}"/>
    <cellStyle name="Normal 5 5 3 3 2 3" xfId="12042" xr:uid="{FA53E444-665B-4B09-8C8C-CBA992C3E2E8}"/>
    <cellStyle name="Normal 5 5 3 3 3" xfId="5665" xr:uid="{00000000-0005-0000-0000-00007D1B0000}"/>
    <cellStyle name="Normal 5 5 3 3 3 2" xfId="14115" xr:uid="{2A29489D-C881-4AB5-972A-BBF99AD192C9}"/>
    <cellStyle name="Normal 5 5 3 3 4" xfId="9897" xr:uid="{85763F4A-F4CF-4FBB-A13F-FF476C8F8B27}"/>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6B48A093-6385-43C3-B664-3054795CF4E9}"/>
    <cellStyle name="Normal 5 5 3 4 2 3" xfId="12455" xr:uid="{045D2FA6-573E-4494-951D-03D5B928DBDB}"/>
    <cellStyle name="Normal 5 5 3 4 3" xfId="6078" xr:uid="{00000000-0005-0000-0000-0000811B0000}"/>
    <cellStyle name="Normal 5 5 3 4 3 2" xfId="14528" xr:uid="{5D6EB3A1-BA5E-44FD-8C31-02F1AC2242F3}"/>
    <cellStyle name="Normal 5 5 3 4 4" xfId="10310" xr:uid="{D93671B8-9999-4266-9D3C-C511C28F4CE3}"/>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55959F9A-50F4-4CDF-B989-E287D8DD28AD}"/>
    <cellStyle name="Normal 5 5 3 5 2 3" xfId="12868" xr:uid="{1C3F887A-694E-4C69-B3E9-56F08BE930AB}"/>
    <cellStyle name="Normal 5 5 3 5 3" xfId="6491" xr:uid="{00000000-0005-0000-0000-0000851B0000}"/>
    <cellStyle name="Normal 5 5 3 5 3 2" xfId="14941" xr:uid="{6CF9CD7E-3D86-469B-BCA3-9B09516AF040}"/>
    <cellStyle name="Normal 5 5 3 5 4" xfId="10723" xr:uid="{15313FC4-EBE3-4D8F-B970-403555EF4963}"/>
    <cellStyle name="Normal 5 5 3 6" xfId="2621" xr:uid="{00000000-0005-0000-0000-0000861B0000}"/>
    <cellStyle name="Normal 5 5 3 6 2" xfId="6904" xr:uid="{00000000-0005-0000-0000-0000871B0000}"/>
    <cellStyle name="Normal 5 5 3 6 2 2" xfId="15354" xr:uid="{CBB73487-7EE6-47FA-AAC9-8E2C58DBF328}"/>
    <cellStyle name="Normal 5 5 3 6 3" xfId="11136" xr:uid="{7482B40A-DE82-41D8-8A84-B477D5634F58}"/>
    <cellStyle name="Normal 5 5 3 7" xfId="4839" xr:uid="{00000000-0005-0000-0000-0000881B0000}"/>
    <cellStyle name="Normal 5 5 3 7 2" xfId="13289" xr:uid="{60E6F372-C4AA-4887-8282-119D1A5A1594}"/>
    <cellStyle name="Normal 5 5 3 8" xfId="9071" xr:uid="{49166D0C-6FAB-4C9E-AE87-F7D9F8B53BD1}"/>
    <cellStyle name="Normal 5 5 4" xfId="938" xr:uid="{00000000-0005-0000-0000-0000891B0000}"/>
    <cellStyle name="Normal 5 5 4 2" xfId="3172" xr:uid="{00000000-0005-0000-0000-00008A1B0000}"/>
    <cellStyle name="Normal 5 5 4 2 2" xfId="7394" xr:uid="{00000000-0005-0000-0000-00008B1B0000}"/>
    <cellStyle name="Normal 5 5 4 2 2 2" xfId="15844" xr:uid="{91F6326E-3F8C-4192-AB3F-0C836C6DC564}"/>
    <cellStyle name="Normal 5 5 4 2 3" xfId="11626" xr:uid="{CD37B49D-257A-4CEE-B760-2DE5E63C319C}"/>
    <cellStyle name="Normal 5 5 4 3" xfId="5249" xr:uid="{00000000-0005-0000-0000-00008C1B0000}"/>
    <cellStyle name="Normal 5 5 4 3 2" xfId="13699" xr:uid="{771D311D-F5FF-47E2-ACAC-9B2C3D36E1C3}"/>
    <cellStyle name="Normal 5 5 4 4" xfId="9481" xr:uid="{0E0DC1BF-FF00-4EA3-9108-0382B797BC26}"/>
    <cellStyle name="Normal 5 5 5" xfId="1355" xr:uid="{00000000-0005-0000-0000-00008D1B0000}"/>
    <cellStyle name="Normal 5 5 5 2" xfId="3585" xr:uid="{00000000-0005-0000-0000-00008E1B0000}"/>
    <cellStyle name="Normal 5 5 5 2 2" xfId="7807" xr:uid="{00000000-0005-0000-0000-00008F1B0000}"/>
    <cellStyle name="Normal 5 5 5 2 2 2" xfId="16257" xr:uid="{4D660127-160E-44AD-940D-A53F09468870}"/>
    <cellStyle name="Normal 5 5 5 2 3" xfId="12039" xr:uid="{EE20E7BD-C4FC-4B2E-8805-43A1B19679C4}"/>
    <cellStyle name="Normal 5 5 5 3" xfId="5662" xr:uid="{00000000-0005-0000-0000-0000901B0000}"/>
    <cellStyle name="Normal 5 5 5 3 2" xfId="14112" xr:uid="{26C46F64-D7E0-40BF-90E6-951E83000FCA}"/>
    <cellStyle name="Normal 5 5 5 4" xfId="9894" xr:uid="{B1715D95-DB05-4A7A-996D-356726A0FE58}"/>
    <cellStyle name="Normal 5 5 6" xfId="1768" xr:uid="{00000000-0005-0000-0000-0000911B0000}"/>
    <cellStyle name="Normal 5 5 6 2" xfId="3998" xr:uid="{00000000-0005-0000-0000-0000921B0000}"/>
    <cellStyle name="Normal 5 5 6 2 2" xfId="8220" xr:uid="{00000000-0005-0000-0000-0000931B0000}"/>
    <cellStyle name="Normal 5 5 6 2 2 2" xfId="16670" xr:uid="{1D386956-DE41-4847-B2A2-6E5789AD3B5E}"/>
    <cellStyle name="Normal 5 5 6 2 3" xfId="12452" xr:uid="{22ABAB12-F6E8-4044-AD91-F3C5C74262B5}"/>
    <cellStyle name="Normal 5 5 6 3" xfId="6075" xr:uid="{00000000-0005-0000-0000-0000941B0000}"/>
    <cellStyle name="Normal 5 5 6 3 2" xfId="14525" xr:uid="{129B302F-FEBD-4DB9-B584-E7408044836F}"/>
    <cellStyle name="Normal 5 5 6 4" xfId="10307" xr:uid="{E88E9AB7-23BB-40C1-8186-977F08C5D9AE}"/>
    <cellStyle name="Normal 5 5 7" xfId="2182" xr:uid="{00000000-0005-0000-0000-0000951B0000}"/>
    <cellStyle name="Normal 5 5 7 2" xfId="4411" xr:uid="{00000000-0005-0000-0000-0000961B0000}"/>
    <cellStyle name="Normal 5 5 7 2 2" xfId="8633" xr:uid="{00000000-0005-0000-0000-0000971B0000}"/>
    <cellStyle name="Normal 5 5 7 2 2 2" xfId="17083" xr:uid="{7A0CDF3D-12C6-4E0D-9988-9A236A4133EC}"/>
    <cellStyle name="Normal 5 5 7 2 3" xfId="12865" xr:uid="{3421DF12-05FE-46DB-9838-DFD5B69A9B68}"/>
    <cellStyle name="Normal 5 5 7 3" xfId="6488" xr:uid="{00000000-0005-0000-0000-0000981B0000}"/>
    <cellStyle name="Normal 5 5 7 3 2" xfId="14938" xr:uid="{FAD29F1E-8659-48D5-93EF-35CF1555326C}"/>
    <cellStyle name="Normal 5 5 7 4" xfId="10720" xr:uid="{D5893C1B-0824-4B95-8457-999BE5998EF3}"/>
    <cellStyle name="Normal 5 5 8" xfId="2618" xr:uid="{00000000-0005-0000-0000-0000991B0000}"/>
    <cellStyle name="Normal 5 5 8 2" xfId="6901" xr:uid="{00000000-0005-0000-0000-00009A1B0000}"/>
    <cellStyle name="Normal 5 5 8 2 2" xfId="15351" xr:uid="{7578D8AF-2380-46D4-9E0F-4D043FFB1A73}"/>
    <cellStyle name="Normal 5 5 8 3" xfId="11133" xr:uid="{A176784F-3676-4AFC-9A99-C952196B388E}"/>
    <cellStyle name="Normal 5 5 9" xfId="4836" xr:uid="{00000000-0005-0000-0000-00009B1B0000}"/>
    <cellStyle name="Normal 5 5 9 2" xfId="13286" xr:uid="{80C26CC4-ADB4-4D6F-AE23-5B0D38994485}"/>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F37A5436-7E57-4149-BA6B-AD861BFE41B7}"/>
    <cellStyle name="Normal 5 6 2 2 2 3" xfId="11631" xr:uid="{DFA57C74-BA15-4C9A-BFD0-AE684E97067B}"/>
    <cellStyle name="Normal 5 6 2 2 3" xfId="5254" xr:uid="{00000000-0005-0000-0000-0000A11B0000}"/>
    <cellStyle name="Normal 5 6 2 2 3 2" xfId="13704" xr:uid="{0E5DFA88-F8D9-496E-886C-754180A24962}"/>
    <cellStyle name="Normal 5 6 2 2 4" xfId="9486" xr:uid="{32BFAE73-5880-44C1-979F-2680C30E5D59}"/>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D0E1F771-1834-4ED8-A2CA-1C7B16AFA4B0}"/>
    <cellStyle name="Normal 5 6 2 3 2 3" xfId="12044" xr:uid="{B1A0B89B-89D5-47A5-8576-777D44EE73E9}"/>
    <cellStyle name="Normal 5 6 2 3 3" xfId="5667" xr:uid="{00000000-0005-0000-0000-0000A51B0000}"/>
    <cellStyle name="Normal 5 6 2 3 3 2" xfId="14117" xr:uid="{29E77F2C-9CE5-405D-A40A-EBFD317F0EB4}"/>
    <cellStyle name="Normal 5 6 2 3 4" xfId="9899" xr:uid="{C1B810B8-88FA-4D7C-879D-BF05055CCC89}"/>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25D57E48-AAF7-4A49-89BB-6E9B3579C71B}"/>
    <cellStyle name="Normal 5 6 2 4 2 3" xfId="12457" xr:uid="{877C31FA-E7E2-47E1-A2F5-EA7FDCFDC453}"/>
    <cellStyle name="Normal 5 6 2 4 3" xfId="6080" xr:uid="{00000000-0005-0000-0000-0000A91B0000}"/>
    <cellStyle name="Normal 5 6 2 4 3 2" xfId="14530" xr:uid="{CF5EBA8D-ADFE-4F2B-AFC8-2CA718CBCFDB}"/>
    <cellStyle name="Normal 5 6 2 4 4" xfId="10312" xr:uid="{7A64B133-A2A5-4808-B824-79C9689E56B0}"/>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AA61BA1B-387B-430D-BB5A-56EA8448D6E5}"/>
    <cellStyle name="Normal 5 6 2 5 2 3" xfId="12870" xr:uid="{AE211B0E-D585-49C2-B21F-101CF4E3DADB}"/>
    <cellStyle name="Normal 5 6 2 5 3" xfId="6493" xr:uid="{00000000-0005-0000-0000-0000AD1B0000}"/>
    <cellStyle name="Normal 5 6 2 5 3 2" xfId="14943" xr:uid="{0B014980-ACE1-41D4-B1F3-D61FF4D56FEA}"/>
    <cellStyle name="Normal 5 6 2 5 4" xfId="10725" xr:uid="{E43897F0-3D8A-4FFA-8C70-8FF4ACF462D8}"/>
    <cellStyle name="Normal 5 6 2 6" xfId="2623" xr:uid="{00000000-0005-0000-0000-0000AE1B0000}"/>
    <cellStyle name="Normal 5 6 2 6 2" xfId="6906" xr:uid="{00000000-0005-0000-0000-0000AF1B0000}"/>
    <cellStyle name="Normal 5 6 2 6 2 2" xfId="15356" xr:uid="{55D39563-9742-42EE-BFDC-6CBFDD0B0960}"/>
    <cellStyle name="Normal 5 6 2 6 3" xfId="11138" xr:uid="{B4107848-87C7-4CE6-9A7C-A4ECF68F7101}"/>
    <cellStyle name="Normal 5 6 2 7" xfId="4841" xr:uid="{00000000-0005-0000-0000-0000B01B0000}"/>
    <cellStyle name="Normal 5 6 2 7 2" xfId="13291" xr:uid="{736A3C77-3010-48FF-ABA6-B127F6A3C8FF}"/>
    <cellStyle name="Normal 5 6 2 8" xfId="9073" xr:uid="{E66D905E-542D-4983-BCAE-56A0182503BB}"/>
    <cellStyle name="Normal 5 6 3" xfId="942" xr:uid="{00000000-0005-0000-0000-0000B11B0000}"/>
    <cellStyle name="Normal 5 6 3 2" xfId="3176" xr:uid="{00000000-0005-0000-0000-0000B21B0000}"/>
    <cellStyle name="Normal 5 6 3 2 2" xfId="7398" xr:uid="{00000000-0005-0000-0000-0000B31B0000}"/>
    <cellStyle name="Normal 5 6 3 2 2 2" xfId="15848" xr:uid="{4F702FCB-76CE-485B-AFAF-3EE194965BAE}"/>
    <cellStyle name="Normal 5 6 3 2 3" xfId="11630" xr:uid="{A70BBBBF-5776-41F1-BA1C-A3D2AB26A769}"/>
    <cellStyle name="Normal 5 6 3 3" xfId="5253" xr:uid="{00000000-0005-0000-0000-0000B41B0000}"/>
    <cellStyle name="Normal 5 6 3 3 2" xfId="13703" xr:uid="{F7C36F2D-0639-428A-AB4B-703A3DB24761}"/>
    <cellStyle name="Normal 5 6 3 4" xfId="9485" xr:uid="{6EC9EC06-9544-4328-84D6-B945A963A04D}"/>
    <cellStyle name="Normal 5 6 4" xfId="1359" xr:uid="{00000000-0005-0000-0000-0000B51B0000}"/>
    <cellStyle name="Normal 5 6 4 2" xfId="3589" xr:uid="{00000000-0005-0000-0000-0000B61B0000}"/>
    <cellStyle name="Normal 5 6 4 2 2" xfId="7811" xr:uid="{00000000-0005-0000-0000-0000B71B0000}"/>
    <cellStyle name="Normal 5 6 4 2 2 2" xfId="16261" xr:uid="{15824CFC-1F4F-4DDE-BB7E-3E9D9F3622B4}"/>
    <cellStyle name="Normal 5 6 4 2 3" xfId="12043" xr:uid="{4F2181DA-3E93-4228-A23D-2EA96D1E9D41}"/>
    <cellStyle name="Normal 5 6 4 3" xfId="5666" xr:uid="{00000000-0005-0000-0000-0000B81B0000}"/>
    <cellStyle name="Normal 5 6 4 3 2" xfId="14116" xr:uid="{2EBF12D5-FBFF-4AC9-B1EF-74A2B73836CD}"/>
    <cellStyle name="Normal 5 6 4 4" xfId="9898" xr:uid="{883AAFD0-1713-4618-87D2-AD1EAC8EA279}"/>
    <cellStyle name="Normal 5 6 5" xfId="1772" xr:uid="{00000000-0005-0000-0000-0000B91B0000}"/>
    <cellStyle name="Normal 5 6 5 2" xfId="4002" xr:uid="{00000000-0005-0000-0000-0000BA1B0000}"/>
    <cellStyle name="Normal 5 6 5 2 2" xfId="8224" xr:uid="{00000000-0005-0000-0000-0000BB1B0000}"/>
    <cellStyle name="Normal 5 6 5 2 2 2" xfId="16674" xr:uid="{000F5364-3605-4C1A-A57E-0ADCBA0621A9}"/>
    <cellStyle name="Normal 5 6 5 2 3" xfId="12456" xr:uid="{97F094D1-4CD2-4C24-9229-82E9C80BD66F}"/>
    <cellStyle name="Normal 5 6 5 3" xfId="6079" xr:uid="{00000000-0005-0000-0000-0000BC1B0000}"/>
    <cellStyle name="Normal 5 6 5 3 2" xfId="14529" xr:uid="{ACB12803-C7CA-40C5-9634-EA99064931A1}"/>
    <cellStyle name="Normal 5 6 5 4" xfId="10311" xr:uid="{13615C96-2A9D-479D-BB33-27E21DA15E71}"/>
    <cellStyle name="Normal 5 6 6" xfId="2186" xr:uid="{00000000-0005-0000-0000-0000BD1B0000}"/>
    <cellStyle name="Normal 5 6 6 2" xfId="4415" xr:uid="{00000000-0005-0000-0000-0000BE1B0000}"/>
    <cellStyle name="Normal 5 6 6 2 2" xfId="8637" xr:uid="{00000000-0005-0000-0000-0000BF1B0000}"/>
    <cellStyle name="Normal 5 6 6 2 2 2" xfId="17087" xr:uid="{D76E1A78-F5F1-43F4-B19C-7DDCF39D663A}"/>
    <cellStyle name="Normal 5 6 6 2 3" xfId="12869" xr:uid="{3F833183-17A3-4DE5-97BF-5990188BEA4F}"/>
    <cellStyle name="Normal 5 6 6 3" xfId="6492" xr:uid="{00000000-0005-0000-0000-0000C01B0000}"/>
    <cellStyle name="Normal 5 6 6 3 2" xfId="14942" xr:uid="{ED70FE91-13E8-4795-86B9-6F5E25E1746B}"/>
    <cellStyle name="Normal 5 6 6 4" xfId="10724" xr:uid="{C8E6D797-1839-4C4A-B326-3734AA6CF40D}"/>
    <cellStyle name="Normal 5 6 7" xfId="2622" xr:uid="{00000000-0005-0000-0000-0000C11B0000}"/>
    <cellStyle name="Normal 5 6 7 2" xfId="6905" xr:uid="{00000000-0005-0000-0000-0000C21B0000}"/>
    <cellStyle name="Normal 5 6 7 2 2" xfId="15355" xr:uid="{EA038026-ECB0-489E-ADF0-BA839F719628}"/>
    <cellStyle name="Normal 5 6 7 3" xfId="11137" xr:uid="{A35467F8-D9CC-45CB-93E2-CE3E0A6110B6}"/>
    <cellStyle name="Normal 5 6 8" xfId="4840" xr:uid="{00000000-0005-0000-0000-0000C31B0000}"/>
    <cellStyle name="Normal 5 6 8 2" xfId="13290" xr:uid="{EF3E0CBE-3B7C-4842-93DB-DC9A159F4900}"/>
    <cellStyle name="Normal 5 6 9" xfId="9072" xr:uid="{7A043776-6E57-48D1-9C12-E53F98465542}"/>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82F598E8-6994-4FCB-BFDE-D11B1345609F}"/>
    <cellStyle name="Normal 5 7 2 2 3" xfId="11632" xr:uid="{E0961466-4C78-42E5-86A7-586C0425D4B1}"/>
    <cellStyle name="Normal 5 7 2 3" xfId="5255" xr:uid="{00000000-0005-0000-0000-0000C81B0000}"/>
    <cellStyle name="Normal 5 7 2 3 2" xfId="13705" xr:uid="{D52BF057-9A65-462A-AA13-AC95FFF0449E}"/>
    <cellStyle name="Normal 5 7 2 4" xfId="9487" xr:uid="{307FD28E-AD48-4E94-ACBF-F7BF49A7D2C9}"/>
    <cellStyle name="Normal 5 7 3" xfId="1361" xr:uid="{00000000-0005-0000-0000-0000C91B0000}"/>
    <cellStyle name="Normal 5 7 3 2" xfId="3591" xr:uid="{00000000-0005-0000-0000-0000CA1B0000}"/>
    <cellStyle name="Normal 5 7 3 2 2" xfId="7813" xr:uid="{00000000-0005-0000-0000-0000CB1B0000}"/>
    <cellStyle name="Normal 5 7 3 2 2 2" xfId="16263" xr:uid="{8CF04C01-0106-45BE-9F53-8E461EA09084}"/>
    <cellStyle name="Normal 5 7 3 2 3" xfId="12045" xr:uid="{FAFC524A-7336-4FDE-8284-B586FB3D388C}"/>
    <cellStyle name="Normal 5 7 3 3" xfId="5668" xr:uid="{00000000-0005-0000-0000-0000CC1B0000}"/>
    <cellStyle name="Normal 5 7 3 3 2" xfId="14118" xr:uid="{D0760976-7FBA-4524-964A-91D5647D4ECF}"/>
    <cellStyle name="Normal 5 7 3 4" xfId="9900" xr:uid="{585BC441-8FAE-4A75-A04A-E36B07A767AC}"/>
    <cellStyle name="Normal 5 7 4" xfId="1774" xr:uid="{00000000-0005-0000-0000-0000CD1B0000}"/>
    <cellStyle name="Normal 5 7 4 2" xfId="4004" xr:uid="{00000000-0005-0000-0000-0000CE1B0000}"/>
    <cellStyle name="Normal 5 7 4 2 2" xfId="8226" xr:uid="{00000000-0005-0000-0000-0000CF1B0000}"/>
    <cellStyle name="Normal 5 7 4 2 2 2" xfId="16676" xr:uid="{84D513E0-824A-4BCE-8C76-480FDF386F8B}"/>
    <cellStyle name="Normal 5 7 4 2 3" xfId="12458" xr:uid="{58CD4D67-7B12-4D21-8A14-F207971289C5}"/>
    <cellStyle name="Normal 5 7 4 3" xfId="6081" xr:uid="{00000000-0005-0000-0000-0000D01B0000}"/>
    <cellStyle name="Normal 5 7 4 3 2" xfId="14531" xr:uid="{466C94D3-E599-4B49-B43A-BABA1DFCE4E4}"/>
    <cellStyle name="Normal 5 7 4 4" xfId="10313" xr:uid="{B6412EC0-4E97-4CF2-84B5-DCA6CF76AB53}"/>
    <cellStyle name="Normal 5 7 5" xfId="2188" xr:uid="{00000000-0005-0000-0000-0000D11B0000}"/>
    <cellStyle name="Normal 5 7 5 2" xfId="4417" xr:uid="{00000000-0005-0000-0000-0000D21B0000}"/>
    <cellStyle name="Normal 5 7 5 2 2" xfId="8639" xr:uid="{00000000-0005-0000-0000-0000D31B0000}"/>
    <cellStyle name="Normal 5 7 5 2 2 2" xfId="17089" xr:uid="{F67E49FE-F3E7-4057-8316-920B03FC27C6}"/>
    <cellStyle name="Normal 5 7 5 2 3" xfId="12871" xr:uid="{8BAC7C36-E149-4FE5-8A13-F3729D2792EE}"/>
    <cellStyle name="Normal 5 7 5 3" xfId="6494" xr:uid="{00000000-0005-0000-0000-0000D41B0000}"/>
    <cellStyle name="Normal 5 7 5 3 2" xfId="14944" xr:uid="{4D3AA8C4-D48B-4778-9DC0-B80C9A34E246}"/>
    <cellStyle name="Normal 5 7 5 4" xfId="10726" xr:uid="{C112385A-63FB-45FC-96E2-7ABF2AFDC4B0}"/>
    <cellStyle name="Normal 5 7 6" xfId="2624" xr:uid="{00000000-0005-0000-0000-0000D51B0000}"/>
    <cellStyle name="Normal 5 7 6 2" xfId="6907" xr:uid="{00000000-0005-0000-0000-0000D61B0000}"/>
    <cellStyle name="Normal 5 7 6 2 2" xfId="15357" xr:uid="{EFA72569-5F2C-4AF3-9567-8122B7B95BEC}"/>
    <cellStyle name="Normal 5 7 6 3" xfId="11139" xr:uid="{B65B2C30-E331-4DB0-9141-3A1EF3173F42}"/>
    <cellStyle name="Normal 5 7 7" xfId="4842" xr:uid="{00000000-0005-0000-0000-0000D71B0000}"/>
    <cellStyle name="Normal 5 7 7 2" xfId="13292" xr:uid="{175B1FA1-3C7B-41AA-8130-0FBC00B23811}"/>
    <cellStyle name="Normal 5 7 8" xfId="9074" xr:uid="{9229844D-8672-42F1-832D-3EF0E504E83C}"/>
    <cellStyle name="Normal 5 8" xfId="880" xr:uid="{00000000-0005-0000-0000-0000D81B0000}"/>
    <cellStyle name="Normal 5 8 2" xfId="3115" xr:uid="{00000000-0005-0000-0000-0000D91B0000}"/>
    <cellStyle name="Normal 5 8 2 2" xfId="7337" xr:uid="{00000000-0005-0000-0000-0000DA1B0000}"/>
    <cellStyle name="Normal 5 8 2 2 2" xfId="15787" xr:uid="{1DA966F3-2552-441E-B919-DD3B718BBDD4}"/>
    <cellStyle name="Normal 5 8 2 3" xfId="11569" xr:uid="{27F9BF98-533E-422B-89B4-39E4916806B6}"/>
    <cellStyle name="Normal 5 8 3" xfId="5192" xr:uid="{00000000-0005-0000-0000-0000DB1B0000}"/>
    <cellStyle name="Normal 5 8 3 2" xfId="13642" xr:uid="{8FBB8908-BF39-43EA-AC28-C90AF5D12199}"/>
    <cellStyle name="Normal 5 8 4" xfId="9424" xr:uid="{7CCF1C93-E05B-4DCC-8683-B21F3BD13D32}"/>
    <cellStyle name="Normal 5 9" xfId="1298" xr:uid="{00000000-0005-0000-0000-0000DC1B0000}"/>
    <cellStyle name="Normal 5 9 2" xfId="3528" xr:uid="{00000000-0005-0000-0000-0000DD1B0000}"/>
    <cellStyle name="Normal 5 9 2 2" xfId="7750" xr:uid="{00000000-0005-0000-0000-0000DE1B0000}"/>
    <cellStyle name="Normal 5 9 2 2 2" xfId="16200" xr:uid="{C90EC49A-719D-4F99-BEE3-15F82D63E90C}"/>
    <cellStyle name="Normal 5 9 2 3" xfId="11982" xr:uid="{B646B48B-264F-4FA3-ACC7-9ED6F77628E7}"/>
    <cellStyle name="Normal 5 9 3" xfId="5605" xr:uid="{00000000-0005-0000-0000-0000DF1B0000}"/>
    <cellStyle name="Normal 5 9 3 2" xfId="14055" xr:uid="{465141E9-0262-4684-A0CD-B1A69F07FFF7}"/>
    <cellStyle name="Normal 5 9 4" xfId="9837" xr:uid="{AD835B00-900D-454D-A54F-6AC204A38D8B}"/>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0F30D2BF-4501-4144-9F3B-F92D03978C69}"/>
    <cellStyle name="Normal 8 10 2 3" xfId="12872" xr:uid="{35680C3C-1E53-4D11-955E-744BCBECEBD3}"/>
    <cellStyle name="Normal 8 10 3" xfId="6495" xr:uid="{00000000-0005-0000-0000-0000EB1B0000}"/>
    <cellStyle name="Normal 8 10 3 2" xfId="14945" xr:uid="{B3FC515D-E1CD-44C6-8BB0-981CF10537DC}"/>
    <cellStyle name="Normal 8 10 4" xfId="10727" xr:uid="{F1C6E3C9-5280-46B1-AB77-FA5D530CD536}"/>
    <cellStyle name="Normal 8 11" xfId="2625" xr:uid="{00000000-0005-0000-0000-0000EC1B0000}"/>
    <cellStyle name="Normal 8 11 2" xfId="6908" xr:uid="{00000000-0005-0000-0000-0000ED1B0000}"/>
    <cellStyle name="Normal 8 11 2 2" xfId="15358" xr:uid="{977DA0AA-FD79-4D08-A86F-2CD58E07C673}"/>
    <cellStyle name="Normal 8 11 3" xfId="11140" xr:uid="{76A29EA4-DF7E-4B82-9B41-569ACACAED6A}"/>
    <cellStyle name="Normal 8 12" xfId="4843" xr:uid="{00000000-0005-0000-0000-0000EE1B0000}"/>
    <cellStyle name="Normal 8 12 2" xfId="13293" xr:uid="{FC0F2B82-CEE0-40E4-87DE-A978DFC6116E}"/>
    <cellStyle name="Normal 8 13" xfId="9075" xr:uid="{8942DD1D-A3E4-477C-8795-B880220F1758}"/>
    <cellStyle name="Normal 8 2" xfId="479" xr:uid="{00000000-0005-0000-0000-0000EF1B0000}"/>
    <cellStyle name="Normal 8 2 10" xfId="2626" xr:uid="{00000000-0005-0000-0000-0000F01B0000}"/>
    <cellStyle name="Normal 8 2 10 2" xfId="6909" xr:uid="{00000000-0005-0000-0000-0000F11B0000}"/>
    <cellStyle name="Normal 8 2 10 2 2" xfId="15359" xr:uid="{8F24745A-3542-48E5-B58E-73D2ED211DDD}"/>
    <cellStyle name="Normal 8 2 10 3" xfId="11141" xr:uid="{819244F4-DF9B-4F92-8132-CE634C8D51CA}"/>
    <cellStyle name="Normal 8 2 11" xfId="4844" xr:uid="{00000000-0005-0000-0000-0000F21B0000}"/>
    <cellStyle name="Normal 8 2 11 2" xfId="13294" xr:uid="{747ECA89-04B8-47A8-A900-DDF537040819}"/>
    <cellStyle name="Normal 8 2 12" xfId="9076" xr:uid="{3FAB5E18-5EA0-4912-828D-3E98E8BFB460}"/>
    <cellStyle name="Normal 8 2 2" xfId="480" xr:uid="{00000000-0005-0000-0000-0000F31B0000}"/>
    <cellStyle name="Normal 8 2 2 10" xfId="4845" xr:uid="{00000000-0005-0000-0000-0000F41B0000}"/>
    <cellStyle name="Normal 8 2 2 10 2" xfId="13295" xr:uid="{9585763B-EC8A-486C-A365-FC1EF71BE881}"/>
    <cellStyle name="Normal 8 2 2 11" xfId="9077" xr:uid="{968A477A-19AD-474F-9A71-45A9174D625D}"/>
    <cellStyle name="Normal 8 2 2 2" xfId="481" xr:uid="{00000000-0005-0000-0000-0000F51B0000}"/>
    <cellStyle name="Normal 8 2 2 2 10" xfId="9078" xr:uid="{81A78BAB-17CA-417A-A960-BD311626748D}"/>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A6F7F7C1-C047-47FC-A01C-36CB3C9BC6E3}"/>
    <cellStyle name="Normal 8 2 2 2 2 2 2 2 3" xfId="11638" xr:uid="{A4502C83-3BAB-46FC-A89E-1CCC1437706A}"/>
    <cellStyle name="Normal 8 2 2 2 2 2 2 3" xfId="5261" xr:uid="{00000000-0005-0000-0000-0000FB1B0000}"/>
    <cellStyle name="Normal 8 2 2 2 2 2 2 3 2" xfId="13711" xr:uid="{523C947D-8CE1-41CA-9AA0-CF7AD6778BB8}"/>
    <cellStyle name="Normal 8 2 2 2 2 2 2 4" xfId="9493" xr:uid="{D12BCEC1-BFA7-42BD-B15E-1C6116164F0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61D6CE6F-A151-408F-854D-2A145AF83F90}"/>
    <cellStyle name="Normal 8 2 2 2 2 2 3 2 3" xfId="12051" xr:uid="{0ABE18F9-1E10-4BB1-82BA-AE2B6F78A580}"/>
    <cellStyle name="Normal 8 2 2 2 2 2 3 3" xfId="5674" xr:uid="{00000000-0005-0000-0000-0000FF1B0000}"/>
    <cellStyle name="Normal 8 2 2 2 2 2 3 3 2" xfId="14124" xr:uid="{8D84BDB6-1932-4555-AFED-CFC5FB3A8FC1}"/>
    <cellStyle name="Normal 8 2 2 2 2 2 3 4" xfId="9906" xr:uid="{44F4C15D-A322-423B-A375-25D39C55B51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045CBC72-46DE-4B9E-AE67-B8322B2AEFCD}"/>
    <cellStyle name="Normal 8 2 2 2 2 2 4 2 3" xfId="12464" xr:uid="{C4992B53-CA4F-4EA3-8FB5-87AA667D4BD3}"/>
    <cellStyle name="Normal 8 2 2 2 2 2 4 3" xfId="6087" xr:uid="{00000000-0005-0000-0000-0000031C0000}"/>
    <cellStyle name="Normal 8 2 2 2 2 2 4 3 2" xfId="14537" xr:uid="{5F18BA35-60CC-485B-9B18-1C63898ABB98}"/>
    <cellStyle name="Normal 8 2 2 2 2 2 4 4" xfId="10319" xr:uid="{9F1F81B4-FD60-4371-B90B-18D30BA75B5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5E83DDE9-479A-4498-B03D-69E0FB6584FE}"/>
    <cellStyle name="Normal 8 2 2 2 2 2 5 2 3" xfId="12877" xr:uid="{F423C33E-EBCA-4A3F-AA31-C4FF760729E5}"/>
    <cellStyle name="Normal 8 2 2 2 2 2 5 3" xfId="6500" xr:uid="{00000000-0005-0000-0000-0000071C0000}"/>
    <cellStyle name="Normal 8 2 2 2 2 2 5 3 2" xfId="14950" xr:uid="{90D23185-C2AB-4731-8FE6-585424E977A4}"/>
    <cellStyle name="Normal 8 2 2 2 2 2 5 4" xfId="10732" xr:uid="{58AD47B0-4331-4330-9330-30523FDECB17}"/>
    <cellStyle name="Normal 8 2 2 2 2 2 6" xfId="2630" xr:uid="{00000000-0005-0000-0000-0000081C0000}"/>
    <cellStyle name="Normal 8 2 2 2 2 2 6 2" xfId="6913" xr:uid="{00000000-0005-0000-0000-0000091C0000}"/>
    <cellStyle name="Normal 8 2 2 2 2 2 6 2 2" xfId="15363" xr:uid="{F06A4FD4-7273-4DEF-B17F-3D0F936FBDCC}"/>
    <cellStyle name="Normal 8 2 2 2 2 2 6 3" xfId="11145" xr:uid="{72CFD945-17BF-495E-B6CC-82EB511E53EB}"/>
    <cellStyle name="Normal 8 2 2 2 2 2 7" xfId="4848" xr:uid="{00000000-0005-0000-0000-00000A1C0000}"/>
    <cellStyle name="Normal 8 2 2 2 2 2 7 2" xfId="13298" xr:uid="{21E543AA-8123-4724-872A-2E429B8EF735}"/>
    <cellStyle name="Normal 8 2 2 2 2 2 8" xfId="9080" xr:uid="{3FCA2C66-05A8-4E60-8810-F0A13A48E56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20AE16FD-A372-4C2F-A0C6-36AF0157B14A}"/>
    <cellStyle name="Normal 8 2 2 2 2 3 2 3" xfId="11637" xr:uid="{8CCFDAF7-51C3-42C9-89E8-D0665B57D9BF}"/>
    <cellStyle name="Normal 8 2 2 2 2 3 3" xfId="5260" xr:uid="{00000000-0005-0000-0000-00000E1C0000}"/>
    <cellStyle name="Normal 8 2 2 2 2 3 3 2" xfId="13710" xr:uid="{06021F2B-AA0B-4C86-9906-941E87C82FAA}"/>
    <cellStyle name="Normal 8 2 2 2 2 3 4" xfId="9492" xr:uid="{9351E1FF-BDB6-42E4-8B9D-113E27B9054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485B48CA-4103-45BF-865F-757274A596A8}"/>
    <cellStyle name="Normal 8 2 2 2 2 4 2 3" xfId="12050" xr:uid="{57249F5A-9FA7-4B4A-A6E4-17126FA9F0B4}"/>
    <cellStyle name="Normal 8 2 2 2 2 4 3" xfId="5673" xr:uid="{00000000-0005-0000-0000-0000121C0000}"/>
    <cellStyle name="Normal 8 2 2 2 2 4 3 2" xfId="14123" xr:uid="{55AFE647-D3D2-4211-BB9D-CFEBC5835344}"/>
    <cellStyle name="Normal 8 2 2 2 2 4 4" xfId="9905" xr:uid="{D23DC807-BFA0-4B0C-9804-E761BFB4F8DC}"/>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C7E4608E-2552-42A3-87E0-8379F6BB9C55}"/>
    <cellStyle name="Normal 8 2 2 2 2 5 2 3" xfId="12463" xr:uid="{FE38AD2B-1DEE-4297-BB44-2E99741F4D1A}"/>
    <cellStyle name="Normal 8 2 2 2 2 5 3" xfId="6086" xr:uid="{00000000-0005-0000-0000-0000161C0000}"/>
    <cellStyle name="Normal 8 2 2 2 2 5 3 2" xfId="14536" xr:uid="{29CC7858-347D-4E97-AC8E-B19AE5924A8A}"/>
    <cellStyle name="Normal 8 2 2 2 2 5 4" xfId="10318" xr:uid="{0DE955FB-8B7B-4742-843A-AF5F615F94DA}"/>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0A3ACF95-A941-499E-8775-247D4B6C8955}"/>
    <cellStyle name="Normal 8 2 2 2 2 6 2 3" xfId="12876" xr:uid="{0FBF5A4E-C5C0-4B5C-A6F1-396996FE7B52}"/>
    <cellStyle name="Normal 8 2 2 2 2 6 3" xfId="6499" xr:uid="{00000000-0005-0000-0000-00001A1C0000}"/>
    <cellStyle name="Normal 8 2 2 2 2 6 3 2" xfId="14949" xr:uid="{701E3C14-AF09-49D6-869C-1E732BE1F39C}"/>
    <cellStyle name="Normal 8 2 2 2 2 6 4" xfId="10731" xr:uid="{413D89B1-AEC0-4460-8C2C-572F5B19CC09}"/>
    <cellStyle name="Normal 8 2 2 2 2 7" xfId="2629" xr:uid="{00000000-0005-0000-0000-00001B1C0000}"/>
    <cellStyle name="Normal 8 2 2 2 2 7 2" xfId="6912" xr:uid="{00000000-0005-0000-0000-00001C1C0000}"/>
    <cellStyle name="Normal 8 2 2 2 2 7 2 2" xfId="15362" xr:uid="{8ADAC53E-CE91-4C5F-9611-8F2E4A578D41}"/>
    <cellStyle name="Normal 8 2 2 2 2 7 3" xfId="11144" xr:uid="{B4313219-9F6D-489E-A3CF-B254CA326373}"/>
    <cellStyle name="Normal 8 2 2 2 2 8" xfId="4847" xr:uid="{00000000-0005-0000-0000-00001D1C0000}"/>
    <cellStyle name="Normal 8 2 2 2 2 8 2" xfId="13297" xr:uid="{4EC453EC-A024-4FAF-9038-26CC5574980E}"/>
    <cellStyle name="Normal 8 2 2 2 2 9" xfId="9079" xr:uid="{66903E19-0F07-4749-8846-AACA2CBB5D7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1EE986A3-3D88-4701-9AF8-B838BC640F5C}"/>
    <cellStyle name="Normal 8 2 2 2 3 2 2 3" xfId="11639" xr:uid="{C38FF0E6-5B59-4BED-BA90-E90B58C0EA92}"/>
    <cellStyle name="Normal 8 2 2 2 3 2 3" xfId="5262" xr:uid="{00000000-0005-0000-0000-0000221C0000}"/>
    <cellStyle name="Normal 8 2 2 2 3 2 3 2" xfId="13712" xr:uid="{84729D1B-C63B-4CAF-96DE-36A00236559E}"/>
    <cellStyle name="Normal 8 2 2 2 3 2 4" xfId="9494" xr:uid="{E9598DC7-A06D-4998-BE48-5F8CA9192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D49E40E9-1377-4E20-8F2F-D88B6A6D6FF2}"/>
    <cellStyle name="Normal 8 2 2 2 3 3 2 3" xfId="12052" xr:uid="{27B3C0D0-307D-44B1-87B9-650CCADD52E8}"/>
    <cellStyle name="Normal 8 2 2 2 3 3 3" xfId="5675" xr:uid="{00000000-0005-0000-0000-0000261C0000}"/>
    <cellStyle name="Normal 8 2 2 2 3 3 3 2" xfId="14125" xr:uid="{E0283EAA-15B0-4011-A5D4-32574E1AA057}"/>
    <cellStyle name="Normal 8 2 2 2 3 3 4" xfId="9907" xr:uid="{0B15DE19-FD86-4B10-BAC3-7E0B9F05FE2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8BF555E6-F1B1-4AFA-AA35-C1C2C87559DA}"/>
    <cellStyle name="Normal 8 2 2 2 3 4 2 3" xfId="12465" xr:uid="{D8FA1A14-3EAD-4F0A-9E0F-153136F56757}"/>
    <cellStyle name="Normal 8 2 2 2 3 4 3" xfId="6088" xr:uid="{00000000-0005-0000-0000-00002A1C0000}"/>
    <cellStyle name="Normal 8 2 2 2 3 4 3 2" xfId="14538" xr:uid="{52C9A65F-5994-4F86-A3BB-BDB293DB3E22}"/>
    <cellStyle name="Normal 8 2 2 2 3 4 4" xfId="10320" xr:uid="{2F955B89-444F-4729-8AF7-C4973202A5B1}"/>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60AC8C66-EA9A-409A-850F-37B611774443}"/>
    <cellStyle name="Normal 8 2 2 2 3 5 2 3" xfId="12878" xr:uid="{06690814-C481-4060-8E03-8A964BDAF34F}"/>
    <cellStyle name="Normal 8 2 2 2 3 5 3" xfId="6501" xr:uid="{00000000-0005-0000-0000-00002E1C0000}"/>
    <cellStyle name="Normal 8 2 2 2 3 5 3 2" xfId="14951" xr:uid="{23F5DE11-CCA8-41A8-A64C-74F70FA4B9D9}"/>
    <cellStyle name="Normal 8 2 2 2 3 5 4" xfId="10733" xr:uid="{698AAE3A-5E69-4EBB-B647-B3FA64E4F74E}"/>
    <cellStyle name="Normal 8 2 2 2 3 6" xfId="2631" xr:uid="{00000000-0005-0000-0000-00002F1C0000}"/>
    <cellStyle name="Normal 8 2 2 2 3 6 2" xfId="6914" xr:uid="{00000000-0005-0000-0000-0000301C0000}"/>
    <cellStyle name="Normal 8 2 2 2 3 6 2 2" xfId="15364" xr:uid="{F75BC916-90FF-4F26-990B-FC78B9F5B489}"/>
    <cellStyle name="Normal 8 2 2 2 3 6 3" xfId="11146" xr:uid="{EB03649D-F0AA-4D17-A9DA-809E0A112F7C}"/>
    <cellStyle name="Normal 8 2 2 2 3 7" xfId="4849" xr:uid="{00000000-0005-0000-0000-0000311C0000}"/>
    <cellStyle name="Normal 8 2 2 2 3 7 2" xfId="13299" xr:uid="{C5D6EFE4-9E56-4FEA-B823-139F2408DF26}"/>
    <cellStyle name="Normal 8 2 2 2 3 8" xfId="9081" xr:uid="{DFF3BF3A-876C-466F-8F6B-086935E0CEB9}"/>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79E04833-B2EA-4C59-99DA-6EDD03A57B5A}"/>
    <cellStyle name="Normal 8 2 2 2 4 2 3" xfId="11636" xr:uid="{6ABC9F78-354A-435C-8FA5-DE5B5A417A89}"/>
    <cellStyle name="Normal 8 2 2 2 4 3" xfId="5259" xr:uid="{00000000-0005-0000-0000-0000351C0000}"/>
    <cellStyle name="Normal 8 2 2 2 4 3 2" xfId="13709" xr:uid="{AA28FC62-45CA-471B-BB62-B7B03F6EEEBF}"/>
    <cellStyle name="Normal 8 2 2 2 4 4" xfId="9491" xr:uid="{4ECC95F6-7CA7-4591-BF45-694B598E566E}"/>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9041126F-8252-4F18-934F-EC5F0F30581C}"/>
    <cellStyle name="Normal 8 2 2 2 5 2 3" xfId="12049" xr:uid="{4854604A-1CFB-4DFB-AF9F-2961512935F4}"/>
    <cellStyle name="Normal 8 2 2 2 5 3" xfId="5672" xr:uid="{00000000-0005-0000-0000-0000391C0000}"/>
    <cellStyle name="Normal 8 2 2 2 5 3 2" xfId="14122" xr:uid="{5A6180FC-DED9-488C-8705-ABA98D295EBD}"/>
    <cellStyle name="Normal 8 2 2 2 5 4" xfId="9904" xr:uid="{888A3D52-3DCC-4863-8F32-900F6E6AF4F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0C6B83AC-3310-44C2-A778-7E09610ECE34}"/>
    <cellStyle name="Normal 8 2 2 2 6 2 3" xfId="12462" xr:uid="{49285DC2-3A58-43B0-9A83-171D4FA2AFF9}"/>
    <cellStyle name="Normal 8 2 2 2 6 3" xfId="6085" xr:uid="{00000000-0005-0000-0000-00003D1C0000}"/>
    <cellStyle name="Normal 8 2 2 2 6 3 2" xfId="14535" xr:uid="{202E210C-CBAE-4891-A087-DEA161249DC3}"/>
    <cellStyle name="Normal 8 2 2 2 6 4" xfId="10317" xr:uid="{78FA422D-8F89-4283-8C7F-5F9B02339DC6}"/>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0BA88415-38E7-430F-8201-88F00B836FCB}"/>
    <cellStyle name="Normal 8 2 2 2 7 2 3" xfId="12875" xr:uid="{5B78E674-0D2E-4478-A109-257CA9ADE2E4}"/>
    <cellStyle name="Normal 8 2 2 2 7 3" xfId="6498" xr:uid="{00000000-0005-0000-0000-0000411C0000}"/>
    <cellStyle name="Normal 8 2 2 2 7 3 2" xfId="14948" xr:uid="{AC0A1B21-7DDB-4E3C-AEA8-EF51D954AD32}"/>
    <cellStyle name="Normal 8 2 2 2 7 4" xfId="10730" xr:uid="{F8AC2B41-F0D8-497C-BA0B-8429C4B68CBA}"/>
    <cellStyle name="Normal 8 2 2 2 8" xfId="2628" xr:uid="{00000000-0005-0000-0000-0000421C0000}"/>
    <cellStyle name="Normal 8 2 2 2 8 2" xfId="6911" xr:uid="{00000000-0005-0000-0000-0000431C0000}"/>
    <cellStyle name="Normal 8 2 2 2 8 2 2" xfId="15361" xr:uid="{37675731-5BA3-4E1A-B07E-9CED9661E143}"/>
    <cellStyle name="Normal 8 2 2 2 8 3" xfId="11143" xr:uid="{90300753-02F2-4391-B99F-71FA36EA6DE6}"/>
    <cellStyle name="Normal 8 2 2 2 9" xfId="4846" xr:uid="{00000000-0005-0000-0000-0000441C0000}"/>
    <cellStyle name="Normal 8 2 2 2 9 2" xfId="13296" xr:uid="{909F0D6A-EE8E-45AC-A9CA-CF1389882F04}"/>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3A65288E-7DF2-4059-8D31-97C12F94AB76}"/>
    <cellStyle name="Normal 8 2 2 3 2 2 2 3" xfId="11641" xr:uid="{D1A32611-E90A-4F15-8C3A-D8D13CD0CFDD}"/>
    <cellStyle name="Normal 8 2 2 3 2 2 3" xfId="5264" xr:uid="{00000000-0005-0000-0000-00004A1C0000}"/>
    <cellStyle name="Normal 8 2 2 3 2 2 3 2" xfId="13714" xr:uid="{53C2204C-9606-44A8-B00D-CACE8D4262A2}"/>
    <cellStyle name="Normal 8 2 2 3 2 2 4" xfId="9496" xr:uid="{5893629A-3F72-455A-A9B5-0B6665466C9F}"/>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910741BE-ACE1-4B9C-B932-E7B047DAE1C4}"/>
    <cellStyle name="Normal 8 2 2 3 2 3 2 3" xfId="12054" xr:uid="{00F889DF-197A-430F-A83C-C0DC85C09A1C}"/>
    <cellStyle name="Normal 8 2 2 3 2 3 3" xfId="5677" xr:uid="{00000000-0005-0000-0000-00004E1C0000}"/>
    <cellStyle name="Normal 8 2 2 3 2 3 3 2" xfId="14127" xr:uid="{662BDBE6-930F-4D3C-9122-7B57A8E035E9}"/>
    <cellStyle name="Normal 8 2 2 3 2 3 4" xfId="9909" xr:uid="{B02ADD4D-95AC-4608-9B03-9051867CB9E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8EC28D45-6A20-42AD-BD14-710BADD324CF}"/>
    <cellStyle name="Normal 8 2 2 3 2 4 2 3" xfId="12467" xr:uid="{4AEE15C8-A02A-40AB-BAEC-019DA38C4574}"/>
    <cellStyle name="Normal 8 2 2 3 2 4 3" xfId="6090" xr:uid="{00000000-0005-0000-0000-0000521C0000}"/>
    <cellStyle name="Normal 8 2 2 3 2 4 3 2" xfId="14540" xr:uid="{DDE3D4B0-9F2D-4568-AE3B-BAF532AC5836}"/>
    <cellStyle name="Normal 8 2 2 3 2 4 4" xfId="10322" xr:uid="{E047DED5-0B80-44CA-95A2-4EA76CB2F197}"/>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971749D1-EB35-4C0A-B4B7-747810B9A7C9}"/>
    <cellStyle name="Normal 8 2 2 3 2 5 2 3" xfId="12880" xr:uid="{35927382-288B-417C-A199-68B48927E73E}"/>
    <cellStyle name="Normal 8 2 2 3 2 5 3" xfId="6503" xr:uid="{00000000-0005-0000-0000-0000561C0000}"/>
    <cellStyle name="Normal 8 2 2 3 2 5 3 2" xfId="14953" xr:uid="{937DA7EA-8BF5-441F-808B-0DEDD6FDD303}"/>
    <cellStyle name="Normal 8 2 2 3 2 5 4" xfId="10735" xr:uid="{CD046CD4-B00D-4743-B66B-5CD3AEFA6421}"/>
    <cellStyle name="Normal 8 2 2 3 2 6" xfId="2633" xr:uid="{00000000-0005-0000-0000-0000571C0000}"/>
    <cellStyle name="Normal 8 2 2 3 2 6 2" xfId="6916" xr:uid="{00000000-0005-0000-0000-0000581C0000}"/>
    <cellStyle name="Normal 8 2 2 3 2 6 2 2" xfId="15366" xr:uid="{F2198DE9-0EA7-4EBE-94A2-E38AA3BF7556}"/>
    <cellStyle name="Normal 8 2 2 3 2 6 3" xfId="11148" xr:uid="{C3A2C6C8-1216-42A6-BE54-13B447CEECC4}"/>
    <cellStyle name="Normal 8 2 2 3 2 7" xfId="4851" xr:uid="{00000000-0005-0000-0000-0000591C0000}"/>
    <cellStyle name="Normal 8 2 2 3 2 7 2" xfId="13301" xr:uid="{2FFB6605-9136-4018-82DE-0A9684332847}"/>
    <cellStyle name="Normal 8 2 2 3 2 8" xfId="9083" xr:uid="{CDE741AA-8FB6-460E-BB3A-D1D000CFAF5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E51C0C0D-A8C2-475E-9015-B1749306ED18}"/>
    <cellStyle name="Normal 8 2 2 3 3 2 3" xfId="11640" xr:uid="{D17CD2BC-487B-4A16-87AE-649AAD2205D5}"/>
    <cellStyle name="Normal 8 2 2 3 3 3" xfId="5263" xr:uid="{00000000-0005-0000-0000-00005D1C0000}"/>
    <cellStyle name="Normal 8 2 2 3 3 3 2" xfId="13713" xr:uid="{5DDEF522-530B-4D01-B927-9395B85AB69D}"/>
    <cellStyle name="Normal 8 2 2 3 3 4" xfId="9495" xr:uid="{6873B064-2EDD-48A2-8FA1-A230DB63A23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E2CF9BF6-484D-4F9E-A890-E14C19758785}"/>
    <cellStyle name="Normal 8 2 2 3 4 2 3" xfId="12053" xr:uid="{4466B2A9-DAC4-48F8-81C3-EA573056DF36}"/>
    <cellStyle name="Normal 8 2 2 3 4 3" xfId="5676" xr:uid="{00000000-0005-0000-0000-0000611C0000}"/>
    <cellStyle name="Normal 8 2 2 3 4 3 2" xfId="14126" xr:uid="{A25C42E7-1B3C-4DB3-9AAD-44F6C8A1DD8B}"/>
    <cellStyle name="Normal 8 2 2 3 4 4" xfId="9908" xr:uid="{189CB547-BB86-4A5D-843C-5F788AED43CD}"/>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969B08EA-24E9-4129-83D7-83FDBB4A31A3}"/>
    <cellStyle name="Normal 8 2 2 3 5 2 3" xfId="12466" xr:uid="{9D4BDF00-ADD7-46C1-9D9C-20E8DA2E20C9}"/>
    <cellStyle name="Normal 8 2 2 3 5 3" xfId="6089" xr:uid="{00000000-0005-0000-0000-0000651C0000}"/>
    <cellStyle name="Normal 8 2 2 3 5 3 2" xfId="14539" xr:uid="{FB82E63D-B81A-47F0-ACB8-63A87FE00C3C}"/>
    <cellStyle name="Normal 8 2 2 3 5 4" xfId="10321" xr:uid="{AB96DFFC-2CA8-47A2-BD86-D67F60E7E16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9BB8524D-DD1D-4E6C-87FF-7697708D2FAE}"/>
    <cellStyle name="Normal 8 2 2 3 6 2 3" xfId="12879" xr:uid="{70000605-FFA9-4092-8A26-FDA94DEBB507}"/>
    <cellStyle name="Normal 8 2 2 3 6 3" xfId="6502" xr:uid="{00000000-0005-0000-0000-0000691C0000}"/>
    <cellStyle name="Normal 8 2 2 3 6 3 2" xfId="14952" xr:uid="{8AB112D9-7C03-46A2-9583-47D9428C8456}"/>
    <cellStyle name="Normal 8 2 2 3 6 4" xfId="10734" xr:uid="{143B8691-56DB-4AE8-9BC1-EDAD7AF5C2DF}"/>
    <cellStyle name="Normal 8 2 2 3 7" xfId="2632" xr:uid="{00000000-0005-0000-0000-00006A1C0000}"/>
    <cellStyle name="Normal 8 2 2 3 7 2" xfId="6915" xr:uid="{00000000-0005-0000-0000-00006B1C0000}"/>
    <cellStyle name="Normal 8 2 2 3 7 2 2" xfId="15365" xr:uid="{6EB2AAB1-0166-4DB7-9676-03052F183FA9}"/>
    <cellStyle name="Normal 8 2 2 3 7 3" xfId="11147" xr:uid="{2486AA9E-1554-4878-A073-B6C2729FEDC9}"/>
    <cellStyle name="Normal 8 2 2 3 8" xfId="4850" xr:uid="{00000000-0005-0000-0000-00006C1C0000}"/>
    <cellStyle name="Normal 8 2 2 3 8 2" xfId="13300" xr:uid="{F7D2E354-F743-4133-A0A8-E5454F4C8C8E}"/>
    <cellStyle name="Normal 8 2 2 3 9" xfId="9082" xr:uid="{92826E27-D6B5-4AE8-A400-B3489BB8F487}"/>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AABC9C34-0B97-4404-80A6-ED26B6BB0230}"/>
    <cellStyle name="Normal 8 2 2 4 2 2 3" xfId="11642" xr:uid="{23DF8FB4-ADE3-4991-B3FD-497D6E43206C}"/>
    <cellStyle name="Normal 8 2 2 4 2 3" xfId="5265" xr:uid="{00000000-0005-0000-0000-0000711C0000}"/>
    <cellStyle name="Normal 8 2 2 4 2 3 2" xfId="13715" xr:uid="{DA88F856-A900-4449-A94B-FC04340AC654}"/>
    <cellStyle name="Normal 8 2 2 4 2 4" xfId="9497" xr:uid="{84E3755E-C3D1-4517-8817-9106730F2247}"/>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2BC8899C-746F-45A3-A51F-B3B33285B8A6}"/>
    <cellStyle name="Normal 8 2 2 4 3 2 3" xfId="12055" xr:uid="{D9FCC91D-0E6C-4D39-A466-031E7C11FA05}"/>
    <cellStyle name="Normal 8 2 2 4 3 3" xfId="5678" xr:uid="{00000000-0005-0000-0000-0000751C0000}"/>
    <cellStyle name="Normal 8 2 2 4 3 3 2" xfId="14128" xr:uid="{5EBABFDB-A2EB-4232-A2E4-540954A899DD}"/>
    <cellStyle name="Normal 8 2 2 4 3 4" xfId="9910" xr:uid="{9A5FA590-7405-4B1B-9EC5-CEEAA542481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9BC37B49-FB3F-4EE3-8B87-78CB73F9C5EE}"/>
    <cellStyle name="Normal 8 2 2 4 4 2 3" xfId="12468" xr:uid="{25FE48D3-064C-4421-80B8-A3B1A8AF3D87}"/>
    <cellStyle name="Normal 8 2 2 4 4 3" xfId="6091" xr:uid="{00000000-0005-0000-0000-0000791C0000}"/>
    <cellStyle name="Normal 8 2 2 4 4 3 2" xfId="14541" xr:uid="{84926FF8-7AC3-44E0-8602-DB3E307D488C}"/>
    <cellStyle name="Normal 8 2 2 4 4 4" xfId="10323" xr:uid="{CA1BA1D7-8D4C-49A4-BB43-E1A4178573A8}"/>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2721F2F2-9E20-4A8C-AA31-45660A548915}"/>
    <cellStyle name="Normal 8 2 2 4 5 2 3" xfId="12881" xr:uid="{C43CBF9D-D80E-4508-A7CA-DB70987199E4}"/>
    <cellStyle name="Normal 8 2 2 4 5 3" xfId="6504" xr:uid="{00000000-0005-0000-0000-00007D1C0000}"/>
    <cellStyle name="Normal 8 2 2 4 5 3 2" xfId="14954" xr:uid="{6E699D75-0143-435C-89C2-98380364F16C}"/>
    <cellStyle name="Normal 8 2 2 4 5 4" xfId="10736" xr:uid="{45FAF360-177F-4119-ADFD-E8E3260CE57B}"/>
    <cellStyle name="Normal 8 2 2 4 6" xfId="2634" xr:uid="{00000000-0005-0000-0000-00007E1C0000}"/>
    <cellStyle name="Normal 8 2 2 4 6 2" xfId="6917" xr:uid="{00000000-0005-0000-0000-00007F1C0000}"/>
    <cellStyle name="Normal 8 2 2 4 6 2 2" xfId="15367" xr:uid="{B078BE67-E23C-43DB-AF38-01D432F093F1}"/>
    <cellStyle name="Normal 8 2 2 4 6 3" xfId="11149" xr:uid="{8F9B1B64-4EE6-4CCA-8ADD-5DA376106CE0}"/>
    <cellStyle name="Normal 8 2 2 4 7" xfId="4852" xr:uid="{00000000-0005-0000-0000-0000801C0000}"/>
    <cellStyle name="Normal 8 2 2 4 7 2" xfId="13302" xr:uid="{5DEC13CE-6B2B-414D-868D-AE531CB9E654}"/>
    <cellStyle name="Normal 8 2 2 4 8" xfId="9084" xr:uid="{54EC47E4-5D12-4515-B03E-01DF3C8196FD}"/>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0A7F41AF-7DB6-4F58-BA50-5810E1BD853D}"/>
    <cellStyle name="Normal 8 2 2 5 2 3" xfId="11635" xr:uid="{495C747D-F479-4653-A377-A5154C5B67EE}"/>
    <cellStyle name="Normal 8 2 2 5 3" xfId="5258" xr:uid="{00000000-0005-0000-0000-0000841C0000}"/>
    <cellStyle name="Normal 8 2 2 5 3 2" xfId="13708" xr:uid="{20CF7566-AEB4-46BC-BBC6-C80CD30393C0}"/>
    <cellStyle name="Normal 8 2 2 5 4" xfId="9490" xr:uid="{02DC45D8-B920-4804-AC0B-5BA1488C35B7}"/>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73125CEF-E3B5-4A13-8B00-89AF186C232B}"/>
    <cellStyle name="Normal 8 2 2 6 2 3" xfId="12048" xr:uid="{96925968-B045-48F2-B640-6D5414CE5D36}"/>
    <cellStyle name="Normal 8 2 2 6 3" xfId="5671" xr:uid="{00000000-0005-0000-0000-0000881C0000}"/>
    <cellStyle name="Normal 8 2 2 6 3 2" xfId="14121" xr:uid="{0A7F6BE7-278D-49D9-8DBD-4D201F0CD9FF}"/>
    <cellStyle name="Normal 8 2 2 6 4" xfId="9903" xr:uid="{0182C1F5-ED65-44CC-9261-A2FCC0032E20}"/>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8DF40B4E-DD40-4805-B7CE-7C6F49AE481B}"/>
    <cellStyle name="Normal 8 2 2 7 2 3" xfId="12461" xr:uid="{9E078E07-F761-47D3-BAD7-7B431D235C7C}"/>
    <cellStyle name="Normal 8 2 2 7 3" xfId="6084" xr:uid="{00000000-0005-0000-0000-00008C1C0000}"/>
    <cellStyle name="Normal 8 2 2 7 3 2" xfId="14534" xr:uid="{15D31993-8973-4838-92B6-9DD29845CE53}"/>
    <cellStyle name="Normal 8 2 2 7 4" xfId="10316" xr:uid="{26F588D1-66E6-4564-B6BB-C0584D6C896A}"/>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3E418FB0-E2E4-49FA-A7CF-E4E219D26EF5}"/>
    <cellStyle name="Normal 8 2 2 8 2 3" xfId="12874" xr:uid="{1BBD473C-885C-47D0-B37C-18717C7672CB}"/>
    <cellStyle name="Normal 8 2 2 8 3" xfId="6497" xr:uid="{00000000-0005-0000-0000-0000901C0000}"/>
    <cellStyle name="Normal 8 2 2 8 3 2" xfId="14947" xr:uid="{90D5E8F5-4991-448F-A3A9-27F2344BBF8D}"/>
    <cellStyle name="Normal 8 2 2 8 4" xfId="10729" xr:uid="{78333B2B-1352-4076-8422-33D611D4733D}"/>
    <cellStyle name="Normal 8 2 2 9" xfId="2627" xr:uid="{00000000-0005-0000-0000-0000911C0000}"/>
    <cellStyle name="Normal 8 2 2 9 2" xfId="6910" xr:uid="{00000000-0005-0000-0000-0000921C0000}"/>
    <cellStyle name="Normal 8 2 2 9 2 2" xfId="15360" xr:uid="{2B810078-1382-4564-BD66-BF568614A29F}"/>
    <cellStyle name="Normal 8 2 2 9 3" xfId="11142" xr:uid="{3B9E1F89-325F-4239-8EF6-FE72E792D5CA}"/>
    <cellStyle name="Normal 8 2 3" xfId="488" xr:uid="{00000000-0005-0000-0000-0000931C0000}"/>
    <cellStyle name="Normal 8 2 3 10" xfId="9085" xr:uid="{4B654006-4DBA-4486-BB9A-A8E79B669DA5}"/>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FE241C14-75EC-4A37-AB48-5E4007BEAE69}"/>
    <cellStyle name="Normal 8 2 3 2 2 2 2 3" xfId="11645" xr:uid="{0AF80606-126D-4979-A044-CEE75935A9AD}"/>
    <cellStyle name="Normal 8 2 3 2 2 2 3" xfId="5268" xr:uid="{00000000-0005-0000-0000-0000991C0000}"/>
    <cellStyle name="Normal 8 2 3 2 2 2 3 2" xfId="13718" xr:uid="{AC8E9DB2-ED76-47CF-BF7E-D4E27437B735}"/>
    <cellStyle name="Normal 8 2 3 2 2 2 4" xfId="9500" xr:uid="{75245507-CD2E-4DC8-94A4-278B695B9BDB}"/>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B905E81E-7D30-44F1-8B94-3142BC624C01}"/>
    <cellStyle name="Normal 8 2 3 2 2 3 2 3" xfId="12058" xr:uid="{196C913A-C301-44C3-9F53-161C4A170F0E}"/>
    <cellStyle name="Normal 8 2 3 2 2 3 3" xfId="5681" xr:uid="{00000000-0005-0000-0000-00009D1C0000}"/>
    <cellStyle name="Normal 8 2 3 2 2 3 3 2" xfId="14131" xr:uid="{8CCBF50D-AD50-47F1-8D5D-5A02C1503A76}"/>
    <cellStyle name="Normal 8 2 3 2 2 3 4" xfId="9913" xr:uid="{F332B207-15EE-4F3B-B37D-C594800A13A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281B6A65-8387-4C0D-8F97-97CB00F38993}"/>
    <cellStyle name="Normal 8 2 3 2 2 4 2 3" xfId="12471" xr:uid="{FF603C68-168F-4980-AAB4-041EB81E694E}"/>
    <cellStyle name="Normal 8 2 3 2 2 4 3" xfId="6094" xr:uid="{00000000-0005-0000-0000-0000A11C0000}"/>
    <cellStyle name="Normal 8 2 3 2 2 4 3 2" xfId="14544" xr:uid="{F3EFA04F-DB7C-430A-93EE-9CDF5D7EFB21}"/>
    <cellStyle name="Normal 8 2 3 2 2 4 4" xfId="10326" xr:uid="{C5EFFCA1-CCAC-432F-8B44-F621EB4975B5}"/>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B9727B11-C425-4574-ABC0-09753D69C64F}"/>
    <cellStyle name="Normal 8 2 3 2 2 5 2 3" xfId="12884" xr:uid="{F75F19CF-8B54-43CE-90AA-CCFF6ECD457C}"/>
    <cellStyle name="Normal 8 2 3 2 2 5 3" xfId="6507" xr:uid="{00000000-0005-0000-0000-0000A51C0000}"/>
    <cellStyle name="Normal 8 2 3 2 2 5 3 2" xfId="14957" xr:uid="{D5B85673-7B6C-430B-914A-F028AC34E620}"/>
    <cellStyle name="Normal 8 2 3 2 2 5 4" xfId="10739" xr:uid="{73A40AC3-D410-4FC5-B298-3BCB4F0C35FA}"/>
    <cellStyle name="Normal 8 2 3 2 2 6" xfId="2637" xr:uid="{00000000-0005-0000-0000-0000A61C0000}"/>
    <cellStyle name="Normal 8 2 3 2 2 6 2" xfId="6920" xr:uid="{00000000-0005-0000-0000-0000A71C0000}"/>
    <cellStyle name="Normal 8 2 3 2 2 6 2 2" xfId="15370" xr:uid="{50715BC7-DB81-4FD2-B188-BD5BB3BD04A1}"/>
    <cellStyle name="Normal 8 2 3 2 2 6 3" xfId="11152" xr:uid="{492CF220-0BCC-44C7-A6E1-D909C88DF0E4}"/>
    <cellStyle name="Normal 8 2 3 2 2 7" xfId="4855" xr:uid="{00000000-0005-0000-0000-0000A81C0000}"/>
    <cellStyle name="Normal 8 2 3 2 2 7 2" xfId="13305" xr:uid="{5F072461-56CB-41F0-A01A-5CA79E51677C}"/>
    <cellStyle name="Normal 8 2 3 2 2 8" xfId="9087" xr:uid="{924AB6C5-28D4-4866-A217-BC9E22AA24D5}"/>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624A19AB-3CA4-45C8-8746-4511467947AF}"/>
    <cellStyle name="Normal 8 2 3 2 3 2 3" xfId="11644" xr:uid="{8156FEB0-D6D5-4A83-ACEB-2F12FE4B229C}"/>
    <cellStyle name="Normal 8 2 3 2 3 3" xfId="5267" xr:uid="{00000000-0005-0000-0000-0000AC1C0000}"/>
    <cellStyle name="Normal 8 2 3 2 3 3 2" xfId="13717" xr:uid="{BED827B4-8267-48AC-85E0-53F45C3A3E84}"/>
    <cellStyle name="Normal 8 2 3 2 3 4" xfId="9499" xr:uid="{16EB2457-980C-4B31-9CEA-D4363A25CD81}"/>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EE76E2C0-A900-46B9-860E-CF7AC89E4A95}"/>
    <cellStyle name="Normal 8 2 3 2 4 2 3" xfId="12057" xr:uid="{61674F8E-5ECD-4973-A09D-7BA1165A8611}"/>
    <cellStyle name="Normal 8 2 3 2 4 3" xfId="5680" xr:uid="{00000000-0005-0000-0000-0000B01C0000}"/>
    <cellStyle name="Normal 8 2 3 2 4 3 2" xfId="14130" xr:uid="{34A0638A-87EA-487A-B32B-7F59A80DE62C}"/>
    <cellStyle name="Normal 8 2 3 2 4 4" xfId="9912" xr:uid="{33D97494-5E9E-4AF9-A13C-4BB4D2167F2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5DBC4F40-29CC-410D-8B05-472BD305D205}"/>
    <cellStyle name="Normal 8 2 3 2 5 2 3" xfId="12470" xr:uid="{AAB39E01-258E-4779-AFC3-F9EFF20E889F}"/>
    <cellStyle name="Normal 8 2 3 2 5 3" xfId="6093" xr:uid="{00000000-0005-0000-0000-0000B41C0000}"/>
    <cellStyle name="Normal 8 2 3 2 5 3 2" xfId="14543" xr:uid="{F898FF79-064F-427F-B0C8-75D3A9A757D9}"/>
    <cellStyle name="Normal 8 2 3 2 5 4" xfId="10325" xr:uid="{561E47C2-3C20-46A8-BF56-1A69830D479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07B6E586-55C7-49E3-8393-2D18EB196E4E}"/>
    <cellStyle name="Normal 8 2 3 2 6 2 3" xfId="12883" xr:uid="{8A8D7F9E-607D-480A-8698-8F0A9FB9703D}"/>
    <cellStyle name="Normal 8 2 3 2 6 3" xfId="6506" xr:uid="{00000000-0005-0000-0000-0000B81C0000}"/>
    <cellStyle name="Normal 8 2 3 2 6 3 2" xfId="14956" xr:uid="{A4C43987-96D0-4362-A98E-F5235128125C}"/>
    <cellStyle name="Normal 8 2 3 2 6 4" xfId="10738" xr:uid="{9AD77245-97C5-4AD9-BEA4-F8FBA861C989}"/>
    <cellStyle name="Normal 8 2 3 2 7" xfId="2636" xr:uid="{00000000-0005-0000-0000-0000B91C0000}"/>
    <cellStyle name="Normal 8 2 3 2 7 2" xfId="6919" xr:uid="{00000000-0005-0000-0000-0000BA1C0000}"/>
    <cellStyle name="Normal 8 2 3 2 7 2 2" xfId="15369" xr:uid="{3B370B60-DC8D-4A63-BB51-2E738F2EA566}"/>
    <cellStyle name="Normal 8 2 3 2 7 3" xfId="11151" xr:uid="{6C53DB2B-FE19-42AD-A0C7-3EBBEBB25C98}"/>
    <cellStyle name="Normal 8 2 3 2 8" xfId="4854" xr:uid="{00000000-0005-0000-0000-0000BB1C0000}"/>
    <cellStyle name="Normal 8 2 3 2 8 2" xfId="13304" xr:uid="{A41BF39B-F67D-4FC5-A3FB-33A98748208B}"/>
    <cellStyle name="Normal 8 2 3 2 9" xfId="9086" xr:uid="{3BC70EAC-3521-4CA9-968B-DC5A98D1D98D}"/>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E97DF3A7-B389-4141-939A-32D608B284B4}"/>
    <cellStyle name="Normal 8 2 3 3 2 2 3" xfId="11646" xr:uid="{45D74DF7-10EB-4327-AE51-40D1F725F9B0}"/>
    <cellStyle name="Normal 8 2 3 3 2 3" xfId="5269" xr:uid="{00000000-0005-0000-0000-0000C01C0000}"/>
    <cellStyle name="Normal 8 2 3 3 2 3 2" xfId="13719" xr:uid="{E7B4853B-432C-4064-9793-89A019BEBEDD}"/>
    <cellStyle name="Normal 8 2 3 3 2 4" xfId="9501" xr:uid="{EB248514-874C-4CAC-BFC6-65EE704A7EFC}"/>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E72F0BA6-2009-4CBF-A4FC-18F8F019F2C5}"/>
    <cellStyle name="Normal 8 2 3 3 3 2 3" xfId="12059" xr:uid="{96AF5619-A8B7-4C3E-8FA9-27914D8EFF51}"/>
    <cellStyle name="Normal 8 2 3 3 3 3" xfId="5682" xr:uid="{00000000-0005-0000-0000-0000C41C0000}"/>
    <cellStyle name="Normal 8 2 3 3 3 3 2" xfId="14132" xr:uid="{4F6AC44F-BA36-43DF-8A3D-0F3C66A2CEEB}"/>
    <cellStyle name="Normal 8 2 3 3 3 4" xfId="9914" xr:uid="{FEEBE1A7-21F4-41F7-82A0-AF224DFAE25B}"/>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8E06A00E-AE8E-467D-A2E7-284BC117717B}"/>
    <cellStyle name="Normal 8 2 3 3 4 2 3" xfId="12472" xr:uid="{4764BCB1-6AD5-4621-B8F5-0D6320048945}"/>
    <cellStyle name="Normal 8 2 3 3 4 3" xfId="6095" xr:uid="{00000000-0005-0000-0000-0000C81C0000}"/>
    <cellStyle name="Normal 8 2 3 3 4 3 2" xfId="14545" xr:uid="{AF966390-FDC8-4181-B63C-C9963B6D12A3}"/>
    <cellStyle name="Normal 8 2 3 3 4 4" xfId="10327" xr:uid="{DC2C9FDF-E4DD-48E1-8E71-02241E1EEB1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043DBD82-F5EF-41DA-BB69-3BF5F369D0B6}"/>
    <cellStyle name="Normal 8 2 3 3 5 2 3" xfId="12885" xr:uid="{92BA3186-3984-4BC8-900D-2D5E0F9E6286}"/>
    <cellStyle name="Normal 8 2 3 3 5 3" xfId="6508" xr:uid="{00000000-0005-0000-0000-0000CC1C0000}"/>
    <cellStyle name="Normal 8 2 3 3 5 3 2" xfId="14958" xr:uid="{5414BD8C-0030-4E27-B2D2-3432A2BF194E}"/>
    <cellStyle name="Normal 8 2 3 3 5 4" xfId="10740" xr:uid="{303CD096-39D6-4097-9970-74C5FBF0441A}"/>
    <cellStyle name="Normal 8 2 3 3 6" xfId="2638" xr:uid="{00000000-0005-0000-0000-0000CD1C0000}"/>
    <cellStyle name="Normal 8 2 3 3 6 2" xfId="6921" xr:uid="{00000000-0005-0000-0000-0000CE1C0000}"/>
    <cellStyle name="Normal 8 2 3 3 6 2 2" xfId="15371" xr:uid="{454B5681-4B8D-46BE-842A-F52B22A31E41}"/>
    <cellStyle name="Normal 8 2 3 3 6 3" xfId="11153" xr:uid="{ED79B9C3-CD22-4DAC-962B-B1D96F9AAA7F}"/>
    <cellStyle name="Normal 8 2 3 3 7" xfId="4856" xr:uid="{00000000-0005-0000-0000-0000CF1C0000}"/>
    <cellStyle name="Normal 8 2 3 3 7 2" xfId="13306" xr:uid="{57179A15-7B3E-4B27-9BAE-F3FE0D8C832C}"/>
    <cellStyle name="Normal 8 2 3 3 8" xfId="9088" xr:uid="{01AEBB7D-583C-474B-AE5C-6D222381E16B}"/>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7EEF2A66-24DD-4E43-929F-F101823F9ACD}"/>
    <cellStyle name="Normal 8 2 3 4 2 3" xfId="11643" xr:uid="{5486584C-1C9E-457F-900F-F5D9985A7D1B}"/>
    <cellStyle name="Normal 8 2 3 4 3" xfId="5266" xr:uid="{00000000-0005-0000-0000-0000D31C0000}"/>
    <cellStyle name="Normal 8 2 3 4 3 2" xfId="13716" xr:uid="{ED565907-14B9-4A6C-82AD-2E174E7922AB}"/>
    <cellStyle name="Normal 8 2 3 4 4" xfId="9498" xr:uid="{FA944647-7CBA-4090-83DF-E6C5903C51C4}"/>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0CF4AD2B-05CC-4514-840A-9594C1731F19}"/>
    <cellStyle name="Normal 8 2 3 5 2 3" xfId="12056" xr:uid="{32EC1F28-358E-4586-ABBF-6CE676110220}"/>
    <cellStyle name="Normal 8 2 3 5 3" xfId="5679" xr:uid="{00000000-0005-0000-0000-0000D71C0000}"/>
    <cellStyle name="Normal 8 2 3 5 3 2" xfId="14129" xr:uid="{6AF83E76-BAC6-43F4-B33F-E7D117E15F11}"/>
    <cellStyle name="Normal 8 2 3 5 4" xfId="9911" xr:uid="{57FD216B-4B77-48F1-80BE-C884EDA55384}"/>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EBF51E5D-1078-4E1B-BAAE-AC2F4CAEA288}"/>
    <cellStyle name="Normal 8 2 3 6 2 3" xfId="12469" xr:uid="{E79064A4-F790-4E70-A357-1D3CB2EB1D4E}"/>
    <cellStyle name="Normal 8 2 3 6 3" xfId="6092" xr:uid="{00000000-0005-0000-0000-0000DB1C0000}"/>
    <cellStyle name="Normal 8 2 3 6 3 2" xfId="14542" xr:uid="{781E364D-1234-4268-9F53-8351DEFA531D}"/>
    <cellStyle name="Normal 8 2 3 6 4" xfId="10324" xr:uid="{2EEA7E81-F789-4921-9F13-5B3F20E50AE5}"/>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46C95700-1DBB-4107-8EDB-BA196C807093}"/>
    <cellStyle name="Normal 8 2 3 7 2 3" xfId="12882" xr:uid="{475D1FB7-580A-420A-A6E6-726DEAE026B8}"/>
    <cellStyle name="Normal 8 2 3 7 3" xfId="6505" xr:uid="{00000000-0005-0000-0000-0000DF1C0000}"/>
    <cellStyle name="Normal 8 2 3 7 3 2" xfId="14955" xr:uid="{397F976D-BA85-4585-81E1-038377EC4662}"/>
    <cellStyle name="Normal 8 2 3 7 4" xfId="10737" xr:uid="{603818D6-27A0-495A-A856-8B0F8BB8968E}"/>
    <cellStyle name="Normal 8 2 3 8" xfId="2635" xr:uid="{00000000-0005-0000-0000-0000E01C0000}"/>
    <cellStyle name="Normal 8 2 3 8 2" xfId="6918" xr:uid="{00000000-0005-0000-0000-0000E11C0000}"/>
    <cellStyle name="Normal 8 2 3 8 2 2" xfId="15368" xr:uid="{0AE02EE5-834C-4969-928C-01326B5FB532}"/>
    <cellStyle name="Normal 8 2 3 8 3" xfId="11150" xr:uid="{B678A51D-2AC3-4A79-B9F2-42733BD48360}"/>
    <cellStyle name="Normal 8 2 3 9" xfId="4853" xr:uid="{00000000-0005-0000-0000-0000E21C0000}"/>
    <cellStyle name="Normal 8 2 3 9 2" xfId="13303" xr:uid="{A7FE226F-E79C-45FF-9527-1DE264B414A6}"/>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DDB4644B-66CB-42C4-9301-7ECB0DA8B050}"/>
    <cellStyle name="Normal 8 2 4 2 2 2 3" xfId="11648" xr:uid="{DEDE4E9F-F401-477C-92FB-51C85D27D2B5}"/>
    <cellStyle name="Normal 8 2 4 2 2 3" xfId="5271" xr:uid="{00000000-0005-0000-0000-0000E81C0000}"/>
    <cellStyle name="Normal 8 2 4 2 2 3 2" xfId="13721" xr:uid="{761CAA1D-41F9-4BBC-A7FB-74CC423B18AF}"/>
    <cellStyle name="Normal 8 2 4 2 2 4" xfId="9503" xr:uid="{9F9913C0-CFC1-4B64-9757-19F26146847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B36F5174-FAE8-4A3E-ABE6-14B678150AC4}"/>
    <cellStyle name="Normal 8 2 4 2 3 2 3" xfId="12061" xr:uid="{682751CE-4EB8-410D-8627-413F83D89EB7}"/>
    <cellStyle name="Normal 8 2 4 2 3 3" xfId="5684" xr:uid="{00000000-0005-0000-0000-0000EC1C0000}"/>
    <cellStyle name="Normal 8 2 4 2 3 3 2" xfId="14134" xr:uid="{6A646A1D-FD6F-4F2A-8C3D-E471E2FB3421}"/>
    <cellStyle name="Normal 8 2 4 2 3 4" xfId="9916" xr:uid="{96ABCECA-D29D-4234-B7B0-1C76D2D9492D}"/>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03846A1E-0F3F-4AC5-B692-3F2DE8B5D45A}"/>
    <cellStyle name="Normal 8 2 4 2 4 2 3" xfId="12474" xr:uid="{088AA206-61BC-47B5-AA4C-210D0BD73081}"/>
    <cellStyle name="Normal 8 2 4 2 4 3" xfId="6097" xr:uid="{00000000-0005-0000-0000-0000F01C0000}"/>
    <cellStyle name="Normal 8 2 4 2 4 3 2" xfId="14547" xr:uid="{3F7988BE-5C23-4EA9-898C-030E5ACAAD0A}"/>
    <cellStyle name="Normal 8 2 4 2 4 4" xfId="10329" xr:uid="{251EB63D-8A0E-4F3B-96E6-05C825E7106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5039BD10-6153-49A6-96E0-98BEF3514188}"/>
    <cellStyle name="Normal 8 2 4 2 5 2 3" xfId="12887" xr:uid="{78ACBB04-D357-429E-95F8-DFCE88BD5762}"/>
    <cellStyle name="Normal 8 2 4 2 5 3" xfId="6510" xr:uid="{00000000-0005-0000-0000-0000F41C0000}"/>
    <cellStyle name="Normal 8 2 4 2 5 3 2" xfId="14960" xr:uid="{0C1EADCD-9B9C-428B-A40D-7F91B114B799}"/>
    <cellStyle name="Normal 8 2 4 2 5 4" xfId="10742" xr:uid="{E62FC039-1ABF-4803-9866-14894133FDCB}"/>
    <cellStyle name="Normal 8 2 4 2 6" xfId="2640" xr:uid="{00000000-0005-0000-0000-0000F51C0000}"/>
    <cellStyle name="Normal 8 2 4 2 6 2" xfId="6923" xr:uid="{00000000-0005-0000-0000-0000F61C0000}"/>
    <cellStyle name="Normal 8 2 4 2 6 2 2" xfId="15373" xr:uid="{E2D0BE60-2E25-4AD7-AFDF-10D3612E4834}"/>
    <cellStyle name="Normal 8 2 4 2 6 3" xfId="11155" xr:uid="{1F634F1D-863C-4648-A28A-B504C8BB4AE8}"/>
    <cellStyle name="Normal 8 2 4 2 7" xfId="4858" xr:uid="{00000000-0005-0000-0000-0000F71C0000}"/>
    <cellStyle name="Normal 8 2 4 2 7 2" xfId="13308" xr:uid="{75EB3588-49DA-4F29-9F6F-B57503FB1604}"/>
    <cellStyle name="Normal 8 2 4 2 8" xfId="9090" xr:uid="{117E8DB7-8692-43F1-8B84-F06BEDF4B672}"/>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D16D0244-D9E9-4837-86CA-BD36383D5870}"/>
    <cellStyle name="Normal 8 2 4 3 2 3" xfId="11647" xr:uid="{145C3FE8-E231-4F58-B109-8CC204711EEC}"/>
    <cellStyle name="Normal 8 2 4 3 3" xfId="5270" xr:uid="{00000000-0005-0000-0000-0000FB1C0000}"/>
    <cellStyle name="Normal 8 2 4 3 3 2" xfId="13720" xr:uid="{C34F5C09-51DD-428F-94C3-97E9F0D52442}"/>
    <cellStyle name="Normal 8 2 4 3 4" xfId="9502" xr:uid="{B1FCFC5D-F87E-4ADD-9633-74788D0B2E52}"/>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09263665-360B-4B5E-AB8D-365F1D2B7945}"/>
    <cellStyle name="Normal 8 2 4 4 2 3" xfId="12060" xr:uid="{F37AD313-1644-4834-878A-AF881751E1FD}"/>
    <cellStyle name="Normal 8 2 4 4 3" xfId="5683" xr:uid="{00000000-0005-0000-0000-0000FF1C0000}"/>
    <cellStyle name="Normal 8 2 4 4 3 2" xfId="14133" xr:uid="{15220622-1F40-437B-8D51-81442DA3206C}"/>
    <cellStyle name="Normal 8 2 4 4 4" xfId="9915" xr:uid="{AA2AA42D-D1AF-4B59-B473-821FBC5460B3}"/>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697627D9-BB6C-4681-BBB2-FF370F22CD78}"/>
    <cellStyle name="Normal 8 2 4 5 2 3" xfId="12473" xr:uid="{A40B3B8E-A021-43FD-8D48-4087E0E6586A}"/>
    <cellStyle name="Normal 8 2 4 5 3" xfId="6096" xr:uid="{00000000-0005-0000-0000-0000031D0000}"/>
    <cellStyle name="Normal 8 2 4 5 3 2" xfId="14546" xr:uid="{B03B9EB3-8B96-4CAB-A106-F825500208F0}"/>
    <cellStyle name="Normal 8 2 4 5 4" xfId="10328" xr:uid="{B863B590-0F83-4CAA-B255-E04D1FDB7827}"/>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1E7883A4-CD60-4230-9EEE-D1348B0F849A}"/>
    <cellStyle name="Normal 8 2 4 6 2 3" xfId="12886" xr:uid="{FDC60FC6-CD82-4C4A-9458-860E3BDE8B9F}"/>
    <cellStyle name="Normal 8 2 4 6 3" xfId="6509" xr:uid="{00000000-0005-0000-0000-0000071D0000}"/>
    <cellStyle name="Normal 8 2 4 6 3 2" xfId="14959" xr:uid="{FC65F081-4552-4AAC-ACF5-D43C993B1503}"/>
    <cellStyle name="Normal 8 2 4 6 4" xfId="10741" xr:uid="{7394537C-77DF-41F2-A3F0-E950F3C87764}"/>
    <cellStyle name="Normal 8 2 4 7" xfId="2639" xr:uid="{00000000-0005-0000-0000-0000081D0000}"/>
    <cellStyle name="Normal 8 2 4 7 2" xfId="6922" xr:uid="{00000000-0005-0000-0000-0000091D0000}"/>
    <cellStyle name="Normal 8 2 4 7 2 2" xfId="15372" xr:uid="{E2BB5D40-147E-4E41-A5D9-C1634E8DA8A8}"/>
    <cellStyle name="Normal 8 2 4 7 3" xfId="11154" xr:uid="{0F5E8219-DED7-4F18-A84E-D5F6582A6DD1}"/>
    <cellStyle name="Normal 8 2 4 8" xfId="4857" xr:uid="{00000000-0005-0000-0000-00000A1D0000}"/>
    <cellStyle name="Normal 8 2 4 8 2" xfId="13307" xr:uid="{DFA523A7-DCCE-4134-A057-0EEDD3366A68}"/>
    <cellStyle name="Normal 8 2 4 9" xfId="9089" xr:uid="{E241AF42-0983-46A8-8779-CA556417A89F}"/>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3D17A303-000B-4746-8F51-690F6A796319}"/>
    <cellStyle name="Normal 8 2 5 2 2 3" xfId="11649" xr:uid="{C93D05C2-56DF-4F8B-A05B-AD9DE3FED1A8}"/>
    <cellStyle name="Normal 8 2 5 2 3" xfId="5272" xr:uid="{00000000-0005-0000-0000-00000F1D0000}"/>
    <cellStyle name="Normal 8 2 5 2 3 2" xfId="13722" xr:uid="{BBD31B1B-C82B-4BED-B04E-9665A98DD2B3}"/>
    <cellStyle name="Normal 8 2 5 2 4" xfId="9504" xr:uid="{83C74CDD-6538-48CE-A6F5-78921DD72F0C}"/>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B7A74E1D-9DA8-484A-BCF1-9C0F0E17A94F}"/>
    <cellStyle name="Normal 8 2 5 3 2 3" xfId="12062" xr:uid="{991C9C59-F159-41B8-A28D-5E3DD7DF5DFC}"/>
    <cellStyle name="Normal 8 2 5 3 3" xfId="5685" xr:uid="{00000000-0005-0000-0000-0000131D0000}"/>
    <cellStyle name="Normal 8 2 5 3 3 2" xfId="14135" xr:uid="{2E347984-F5E2-4E18-837C-60A85DC1CBFD}"/>
    <cellStyle name="Normal 8 2 5 3 4" xfId="9917" xr:uid="{B7DF4A4D-B66D-4273-A0F0-59701CDD4500}"/>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E1CC1EB1-03D1-4F28-98DA-EDB5CFDD69EE}"/>
    <cellStyle name="Normal 8 2 5 4 2 3" xfId="12475" xr:uid="{3492542F-3A1D-4BAF-9B07-E297A99127B9}"/>
    <cellStyle name="Normal 8 2 5 4 3" xfId="6098" xr:uid="{00000000-0005-0000-0000-0000171D0000}"/>
    <cellStyle name="Normal 8 2 5 4 3 2" xfId="14548" xr:uid="{83266E16-479A-4FA2-B093-9A8421EA3029}"/>
    <cellStyle name="Normal 8 2 5 4 4" xfId="10330" xr:uid="{BAB40EED-23B2-4627-85E0-E34F9A6FACCB}"/>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10D0C1E2-0B0E-4816-82E3-A4051F08FE3F}"/>
    <cellStyle name="Normal 8 2 5 5 2 3" xfId="12888" xr:uid="{27BFE00B-E817-462E-9426-4181579667CD}"/>
    <cellStyle name="Normal 8 2 5 5 3" xfId="6511" xr:uid="{00000000-0005-0000-0000-00001B1D0000}"/>
    <cellStyle name="Normal 8 2 5 5 3 2" xfId="14961" xr:uid="{4B4D8B8E-069A-4A0B-B6F3-7640424B85C7}"/>
    <cellStyle name="Normal 8 2 5 5 4" xfId="10743" xr:uid="{92723A43-37BD-4135-827C-4E2AF8B6CB13}"/>
    <cellStyle name="Normal 8 2 5 6" xfId="2641" xr:uid="{00000000-0005-0000-0000-00001C1D0000}"/>
    <cellStyle name="Normal 8 2 5 6 2" xfId="6924" xr:uid="{00000000-0005-0000-0000-00001D1D0000}"/>
    <cellStyle name="Normal 8 2 5 6 2 2" xfId="15374" xr:uid="{B9902AE1-6730-4AC5-A55D-BF2454B531F9}"/>
    <cellStyle name="Normal 8 2 5 6 3" xfId="11156" xr:uid="{295D88C3-CAD9-4110-B104-1784B4F14D3B}"/>
    <cellStyle name="Normal 8 2 5 7" xfId="4859" xr:uid="{00000000-0005-0000-0000-00001E1D0000}"/>
    <cellStyle name="Normal 8 2 5 7 2" xfId="13309" xr:uid="{96D0069F-3C3D-4D32-ABDF-38DB6FBFE11F}"/>
    <cellStyle name="Normal 8 2 5 8" xfId="9091" xr:uid="{6CF9788C-DEF5-4347-BE05-033F7CBE9128}"/>
    <cellStyle name="Normal 8 2 6" xfId="946" xr:uid="{00000000-0005-0000-0000-00001F1D0000}"/>
    <cellStyle name="Normal 8 2 6 2" xfId="3180" xr:uid="{00000000-0005-0000-0000-0000201D0000}"/>
    <cellStyle name="Normal 8 2 6 2 2" xfId="7402" xr:uid="{00000000-0005-0000-0000-0000211D0000}"/>
    <cellStyle name="Normal 8 2 6 2 2 2" xfId="15852" xr:uid="{E60A21B8-D03F-4DFE-8902-3FA03DA7EE13}"/>
    <cellStyle name="Normal 8 2 6 2 3" xfId="11634" xr:uid="{6F279DD8-9A5D-4932-82B9-1DBC660E4C17}"/>
    <cellStyle name="Normal 8 2 6 3" xfId="5257" xr:uid="{00000000-0005-0000-0000-0000221D0000}"/>
    <cellStyle name="Normal 8 2 6 3 2" xfId="13707" xr:uid="{A5067182-BC2B-4F63-B0C7-7D12BB52D855}"/>
    <cellStyle name="Normal 8 2 6 4" xfId="9489" xr:uid="{B94CC381-C895-4CE9-800D-86EFA911897A}"/>
    <cellStyle name="Normal 8 2 7" xfId="1363" xr:uid="{00000000-0005-0000-0000-0000231D0000}"/>
    <cellStyle name="Normal 8 2 7 2" xfId="3593" xr:uid="{00000000-0005-0000-0000-0000241D0000}"/>
    <cellStyle name="Normal 8 2 7 2 2" xfId="7815" xr:uid="{00000000-0005-0000-0000-0000251D0000}"/>
    <cellStyle name="Normal 8 2 7 2 2 2" xfId="16265" xr:uid="{C5D90A67-583C-4A12-9094-BC4E7368D6CC}"/>
    <cellStyle name="Normal 8 2 7 2 3" xfId="12047" xr:uid="{829AE917-1FAE-4849-840D-D5AE22550BD9}"/>
    <cellStyle name="Normal 8 2 7 3" xfId="5670" xr:uid="{00000000-0005-0000-0000-0000261D0000}"/>
    <cellStyle name="Normal 8 2 7 3 2" xfId="14120" xr:uid="{8076AED0-FBE2-4485-BAEB-38D25C9D51D6}"/>
    <cellStyle name="Normal 8 2 7 4" xfId="9902" xr:uid="{03C3E647-D1B4-45D3-AEDA-DEE123150634}"/>
    <cellStyle name="Normal 8 2 8" xfId="1776" xr:uid="{00000000-0005-0000-0000-0000271D0000}"/>
    <cellStyle name="Normal 8 2 8 2" xfId="4006" xr:uid="{00000000-0005-0000-0000-0000281D0000}"/>
    <cellStyle name="Normal 8 2 8 2 2" xfId="8228" xr:uid="{00000000-0005-0000-0000-0000291D0000}"/>
    <cellStyle name="Normal 8 2 8 2 2 2" xfId="16678" xr:uid="{ED2A2473-414D-489E-A39E-DC014F64FAC8}"/>
    <cellStyle name="Normal 8 2 8 2 3" xfId="12460" xr:uid="{A9EE4CD1-E92A-432B-B75F-137035F4D6FB}"/>
    <cellStyle name="Normal 8 2 8 3" xfId="6083" xr:uid="{00000000-0005-0000-0000-00002A1D0000}"/>
    <cellStyle name="Normal 8 2 8 3 2" xfId="14533" xr:uid="{19582D0F-F5BD-4978-8A7A-ECD42B9FC316}"/>
    <cellStyle name="Normal 8 2 8 4" xfId="10315" xr:uid="{44877CB3-D153-44AC-B439-765DA7F47D87}"/>
    <cellStyle name="Normal 8 2 9" xfId="2190" xr:uid="{00000000-0005-0000-0000-00002B1D0000}"/>
    <cellStyle name="Normal 8 2 9 2" xfId="4419" xr:uid="{00000000-0005-0000-0000-00002C1D0000}"/>
    <cellStyle name="Normal 8 2 9 2 2" xfId="8641" xr:uid="{00000000-0005-0000-0000-00002D1D0000}"/>
    <cellStyle name="Normal 8 2 9 2 2 2" xfId="17091" xr:uid="{10AA7853-E515-43D5-AD2D-48171A8E4291}"/>
    <cellStyle name="Normal 8 2 9 2 3" xfId="12873" xr:uid="{8A38C45A-468D-41C4-90F3-563DF57A798D}"/>
    <cellStyle name="Normal 8 2 9 3" xfId="6496" xr:uid="{00000000-0005-0000-0000-00002E1D0000}"/>
    <cellStyle name="Normal 8 2 9 3 2" xfId="14946" xr:uid="{5113B79A-D25C-4CD3-89B1-BBAE582DF42A}"/>
    <cellStyle name="Normal 8 2 9 4" xfId="10728" xr:uid="{3D243B88-C567-4A3B-A2D5-4D93610802E5}"/>
    <cellStyle name="Normal 8 3" xfId="495" xr:uid="{00000000-0005-0000-0000-00002F1D0000}"/>
    <cellStyle name="Normal 8 3 10" xfId="4860" xr:uid="{00000000-0005-0000-0000-0000301D0000}"/>
    <cellStyle name="Normal 8 3 10 2" xfId="13310" xr:uid="{7DE5BA9C-490D-4E07-AF1B-576BA851BD1C}"/>
    <cellStyle name="Normal 8 3 11" xfId="9092" xr:uid="{1B8CCB3A-9EFB-47C3-82A8-54325F5BAF0C}"/>
    <cellStyle name="Normal 8 3 2" xfId="496" xr:uid="{00000000-0005-0000-0000-0000311D0000}"/>
    <cellStyle name="Normal 8 3 2 10" xfId="9093" xr:uid="{7B03C110-2DE5-4FC4-A1C3-AAB6D546325F}"/>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26A597FD-6338-49A7-B648-7D689E652EEA}"/>
    <cellStyle name="Normal 8 3 2 2 2 2 2 3" xfId="11653" xr:uid="{227C2533-4F8F-46B4-AAFC-9EFA7D5D8D80}"/>
    <cellStyle name="Normal 8 3 2 2 2 2 3" xfId="5276" xr:uid="{00000000-0005-0000-0000-0000371D0000}"/>
    <cellStyle name="Normal 8 3 2 2 2 2 3 2" xfId="13726" xr:uid="{207AACC7-C3B8-4CB4-A569-D99197D0F37C}"/>
    <cellStyle name="Normal 8 3 2 2 2 2 4" xfId="9508" xr:uid="{FCC12452-734D-49F2-87DE-C103A9466512}"/>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E2EF1005-2B15-41B1-8F0D-57C424FFE669}"/>
    <cellStyle name="Normal 8 3 2 2 2 3 2 3" xfId="12066" xr:uid="{A32C7980-C27F-4B61-803C-474FCAD772E0}"/>
    <cellStyle name="Normal 8 3 2 2 2 3 3" xfId="5689" xr:uid="{00000000-0005-0000-0000-00003B1D0000}"/>
    <cellStyle name="Normal 8 3 2 2 2 3 3 2" xfId="14139" xr:uid="{60737D6D-2177-41D0-AAB8-0849722F00B1}"/>
    <cellStyle name="Normal 8 3 2 2 2 3 4" xfId="9921" xr:uid="{86DD42BC-F814-406B-86C2-854DC45CC357}"/>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1A601754-7BEB-4608-A2AA-8F2F42DCEB27}"/>
    <cellStyle name="Normal 8 3 2 2 2 4 2 3" xfId="12479" xr:uid="{06C89B75-BABF-4421-9270-828B0DA0200D}"/>
    <cellStyle name="Normal 8 3 2 2 2 4 3" xfId="6102" xr:uid="{00000000-0005-0000-0000-00003F1D0000}"/>
    <cellStyle name="Normal 8 3 2 2 2 4 3 2" xfId="14552" xr:uid="{06FC9AF0-A8D8-4BF6-BA8A-26BAA2B5D791}"/>
    <cellStyle name="Normal 8 3 2 2 2 4 4" xfId="10334" xr:uid="{25E3DA58-61BA-4D51-BBA6-FF4D115B26B8}"/>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8CE9E61A-6B02-4DC8-9871-B15FA9A4EA5E}"/>
    <cellStyle name="Normal 8 3 2 2 2 5 2 3" xfId="12892" xr:uid="{97EA2897-5DE3-4BD8-A4B9-4D95842F7557}"/>
    <cellStyle name="Normal 8 3 2 2 2 5 3" xfId="6515" xr:uid="{00000000-0005-0000-0000-0000431D0000}"/>
    <cellStyle name="Normal 8 3 2 2 2 5 3 2" xfId="14965" xr:uid="{5017963C-73DC-422B-8235-B111DF990F59}"/>
    <cellStyle name="Normal 8 3 2 2 2 5 4" xfId="10747" xr:uid="{BB7494D1-0DE5-4956-A326-C74465B543E0}"/>
    <cellStyle name="Normal 8 3 2 2 2 6" xfId="2645" xr:uid="{00000000-0005-0000-0000-0000441D0000}"/>
    <cellStyle name="Normal 8 3 2 2 2 6 2" xfId="6928" xr:uid="{00000000-0005-0000-0000-0000451D0000}"/>
    <cellStyle name="Normal 8 3 2 2 2 6 2 2" xfId="15378" xr:uid="{75098E13-2F11-4587-A989-2EC3CDC91438}"/>
    <cellStyle name="Normal 8 3 2 2 2 6 3" xfId="11160" xr:uid="{5AAFA44A-ABB8-43E8-989D-6BD811C9CB8D}"/>
    <cellStyle name="Normal 8 3 2 2 2 7" xfId="4863" xr:uid="{00000000-0005-0000-0000-0000461D0000}"/>
    <cellStyle name="Normal 8 3 2 2 2 7 2" xfId="13313" xr:uid="{2872AABB-1C9F-4DA7-AD8A-445D9A6BC8F7}"/>
    <cellStyle name="Normal 8 3 2 2 2 8" xfId="9095" xr:uid="{D6706E10-8B6F-4CED-926D-A5AACB0B74D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B553A11B-E4B9-4853-B74F-8A5FDFAFA01A}"/>
    <cellStyle name="Normal 8 3 2 2 3 2 3" xfId="11652" xr:uid="{EC512ABD-0D7D-41A5-836E-3B27B565BB9C}"/>
    <cellStyle name="Normal 8 3 2 2 3 3" xfId="5275" xr:uid="{00000000-0005-0000-0000-00004A1D0000}"/>
    <cellStyle name="Normal 8 3 2 2 3 3 2" xfId="13725" xr:uid="{A32E1A81-4B47-41C5-8BEF-74BA8148CE96}"/>
    <cellStyle name="Normal 8 3 2 2 3 4" xfId="9507" xr:uid="{AA9C70DC-7683-457F-B4A2-BAEAFDC06E95}"/>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EB908DF6-1C61-410C-BC71-758AA89518AE}"/>
    <cellStyle name="Normal 8 3 2 2 4 2 3" xfId="12065" xr:uid="{6938C2BB-7C14-45AD-8641-035A110F85BF}"/>
    <cellStyle name="Normal 8 3 2 2 4 3" xfId="5688" xr:uid="{00000000-0005-0000-0000-00004E1D0000}"/>
    <cellStyle name="Normal 8 3 2 2 4 3 2" xfId="14138" xr:uid="{550C1DF3-7349-4CBF-9A15-8E8CBF7F05DA}"/>
    <cellStyle name="Normal 8 3 2 2 4 4" xfId="9920" xr:uid="{B3BE2D8C-AC2E-4B1D-A020-2CFB48080A43}"/>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8FF14B89-2DC5-4371-BA03-DB795400B80F}"/>
    <cellStyle name="Normal 8 3 2 2 5 2 3" xfId="12478" xr:uid="{8195CD9A-73CF-4AE9-929B-E9528F0F0153}"/>
    <cellStyle name="Normal 8 3 2 2 5 3" xfId="6101" xr:uid="{00000000-0005-0000-0000-0000521D0000}"/>
    <cellStyle name="Normal 8 3 2 2 5 3 2" xfId="14551" xr:uid="{99E7CF82-587F-45BB-AF86-10AFB8EDFA13}"/>
    <cellStyle name="Normal 8 3 2 2 5 4" xfId="10333" xr:uid="{14B1B7FA-21ED-481B-8CB5-91415D2E0BF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EA8ABFA9-4D8D-463C-91C3-4EF321A170AB}"/>
    <cellStyle name="Normal 8 3 2 2 6 2 3" xfId="12891" xr:uid="{A9A9B03E-CB5E-4058-BEB6-95DC4D9E2FBD}"/>
    <cellStyle name="Normal 8 3 2 2 6 3" xfId="6514" xr:uid="{00000000-0005-0000-0000-0000561D0000}"/>
    <cellStyle name="Normal 8 3 2 2 6 3 2" xfId="14964" xr:uid="{377DF966-5097-4ED9-8F1B-A217009FF24F}"/>
    <cellStyle name="Normal 8 3 2 2 6 4" xfId="10746" xr:uid="{0DD751F4-5F68-42F6-A835-74CA191B937C}"/>
    <cellStyle name="Normal 8 3 2 2 7" xfId="2644" xr:uid="{00000000-0005-0000-0000-0000571D0000}"/>
    <cellStyle name="Normal 8 3 2 2 7 2" xfId="6927" xr:uid="{00000000-0005-0000-0000-0000581D0000}"/>
    <cellStyle name="Normal 8 3 2 2 7 2 2" xfId="15377" xr:uid="{E38904B0-290B-4825-8C92-8CD4B08B1C61}"/>
    <cellStyle name="Normal 8 3 2 2 7 3" xfId="11159" xr:uid="{9F3F4FD7-3E40-49AA-9E5F-1ABD12AB272D}"/>
    <cellStyle name="Normal 8 3 2 2 8" xfId="4862" xr:uid="{00000000-0005-0000-0000-0000591D0000}"/>
    <cellStyle name="Normal 8 3 2 2 8 2" xfId="13312" xr:uid="{87A08B04-AEE7-4DF2-8EE5-7DBA60D455B4}"/>
    <cellStyle name="Normal 8 3 2 2 9" xfId="9094" xr:uid="{A4B4DF3B-CBF9-46F0-8EF3-7A96258A2768}"/>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91C6FC1F-2EC4-4185-B313-B8AC15452D96}"/>
    <cellStyle name="Normal 8 3 2 3 2 2 3" xfId="11654" xr:uid="{8607517D-FA42-4C94-8CAB-2C955E35FE20}"/>
    <cellStyle name="Normal 8 3 2 3 2 3" xfId="5277" xr:uid="{00000000-0005-0000-0000-00005E1D0000}"/>
    <cellStyle name="Normal 8 3 2 3 2 3 2" xfId="13727" xr:uid="{2311ABF0-E595-407C-93B0-987B6DAB49EE}"/>
    <cellStyle name="Normal 8 3 2 3 2 4" xfId="9509" xr:uid="{8F648369-3DF6-4654-BC0F-13D805F551E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A0BC8B97-BEDB-46A8-B9B7-EC2DE9ED6672}"/>
    <cellStyle name="Normal 8 3 2 3 3 2 3" xfId="12067" xr:uid="{081176F6-FDD9-4DE7-BE36-B691CC747C9F}"/>
    <cellStyle name="Normal 8 3 2 3 3 3" xfId="5690" xr:uid="{00000000-0005-0000-0000-0000621D0000}"/>
    <cellStyle name="Normal 8 3 2 3 3 3 2" xfId="14140" xr:uid="{6612E1FD-69E1-4186-8FC1-011ACE8D2D2E}"/>
    <cellStyle name="Normal 8 3 2 3 3 4" xfId="9922" xr:uid="{4F2BA33F-5223-4F1E-879A-A3FAB807CF97}"/>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D4B82628-6EB7-4041-8303-D7F5B0340660}"/>
    <cellStyle name="Normal 8 3 2 3 4 2 3" xfId="12480" xr:uid="{1D401E78-87F5-4D88-8A48-7C81167E42CE}"/>
    <cellStyle name="Normal 8 3 2 3 4 3" xfId="6103" xr:uid="{00000000-0005-0000-0000-0000661D0000}"/>
    <cellStyle name="Normal 8 3 2 3 4 3 2" xfId="14553" xr:uid="{0FF38BA2-9072-4D4A-B080-53840A251ADB}"/>
    <cellStyle name="Normal 8 3 2 3 4 4" xfId="10335" xr:uid="{657CBC61-9D2B-46A2-8DD6-7796BBCDD8B0}"/>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7D540C5B-D537-466B-A637-41FBE058461C}"/>
    <cellStyle name="Normal 8 3 2 3 5 2 3" xfId="12893" xr:uid="{139A7C50-BDCD-4DAC-83C3-8159355DAA13}"/>
    <cellStyle name="Normal 8 3 2 3 5 3" xfId="6516" xr:uid="{00000000-0005-0000-0000-00006A1D0000}"/>
    <cellStyle name="Normal 8 3 2 3 5 3 2" xfId="14966" xr:uid="{AE4F2B6F-52BB-4E03-A649-4FB3C01473E0}"/>
    <cellStyle name="Normal 8 3 2 3 5 4" xfId="10748" xr:uid="{55505573-E494-4F2A-A538-31596C385A23}"/>
    <cellStyle name="Normal 8 3 2 3 6" xfId="2646" xr:uid="{00000000-0005-0000-0000-00006B1D0000}"/>
    <cellStyle name="Normal 8 3 2 3 6 2" xfId="6929" xr:uid="{00000000-0005-0000-0000-00006C1D0000}"/>
    <cellStyle name="Normal 8 3 2 3 6 2 2" xfId="15379" xr:uid="{2B0B664D-5B68-4FF1-A566-64C38F713C3D}"/>
    <cellStyle name="Normal 8 3 2 3 6 3" xfId="11161" xr:uid="{11541883-7048-433A-8553-09E2B3D4060C}"/>
    <cellStyle name="Normal 8 3 2 3 7" xfId="4864" xr:uid="{00000000-0005-0000-0000-00006D1D0000}"/>
    <cellStyle name="Normal 8 3 2 3 7 2" xfId="13314" xr:uid="{DFE66567-A08A-4F66-9628-3257CF78B2A0}"/>
    <cellStyle name="Normal 8 3 2 3 8" xfId="9096" xr:uid="{0568EAE0-F979-4B80-850C-ECE3CB696E14}"/>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5C6ADDB4-C25F-4720-871C-011ADDBA9A76}"/>
    <cellStyle name="Normal 8 3 2 4 2 3" xfId="11651" xr:uid="{94D9A1BA-5B23-4B9D-9573-A4CB416ED48E}"/>
    <cellStyle name="Normal 8 3 2 4 3" xfId="5274" xr:uid="{00000000-0005-0000-0000-0000711D0000}"/>
    <cellStyle name="Normal 8 3 2 4 3 2" xfId="13724" xr:uid="{79C3296B-A4AF-45F8-8BFA-26EF76CC33A4}"/>
    <cellStyle name="Normal 8 3 2 4 4" xfId="9506" xr:uid="{C47BAA9D-DA17-48F7-947E-AA8960CA84BD}"/>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E4446AE1-E22C-493A-92F1-1C530F07D1F0}"/>
    <cellStyle name="Normal 8 3 2 5 2 3" xfId="12064" xr:uid="{81A7613D-BABF-4F51-B0B2-9AA39B93E790}"/>
    <cellStyle name="Normal 8 3 2 5 3" xfId="5687" xr:uid="{00000000-0005-0000-0000-0000751D0000}"/>
    <cellStyle name="Normal 8 3 2 5 3 2" xfId="14137" xr:uid="{020D3893-103A-46FD-B4F7-F5517BC45ABD}"/>
    <cellStyle name="Normal 8 3 2 5 4" xfId="9919" xr:uid="{AE244189-8271-4BB4-9D55-3FCD152C2EF3}"/>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4A025EE6-A8ED-483C-A035-5711CE453441}"/>
    <cellStyle name="Normal 8 3 2 6 2 3" xfId="12477" xr:uid="{06865174-F340-455D-B6B3-6032E0FAD25F}"/>
    <cellStyle name="Normal 8 3 2 6 3" xfId="6100" xr:uid="{00000000-0005-0000-0000-0000791D0000}"/>
    <cellStyle name="Normal 8 3 2 6 3 2" xfId="14550" xr:uid="{E2DA6622-07D0-4671-8F76-DA41403D3E46}"/>
    <cellStyle name="Normal 8 3 2 6 4" xfId="10332" xr:uid="{5E437370-0C26-4C09-9049-A0859486D4EF}"/>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3E7FB98E-AEB4-4472-B271-FB1017F6742F}"/>
    <cellStyle name="Normal 8 3 2 7 2 3" xfId="12890" xr:uid="{09FFDE5C-B64B-4C8E-A525-D0DC43D3F694}"/>
    <cellStyle name="Normal 8 3 2 7 3" xfId="6513" xr:uid="{00000000-0005-0000-0000-00007D1D0000}"/>
    <cellStyle name="Normal 8 3 2 7 3 2" xfId="14963" xr:uid="{CDE4CF41-AC62-4709-99FF-67D51E7FEB0D}"/>
    <cellStyle name="Normal 8 3 2 7 4" xfId="10745" xr:uid="{86D47E90-DD4C-4A6C-9F78-35610067ADC2}"/>
    <cellStyle name="Normal 8 3 2 8" xfId="2643" xr:uid="{00000000-0005-0000-0000-00007E1D0000}"/>
    <cellStyle name="Normal 8 3 2 8 2" xfId="6926" xr:uid="{00000000-0005-0000-0000-00007F1D0000}"/>
    <cellStyle name="Normal 8 3 2 8 2 2" xfId="15376" xr:uid="{8C2EDE2C-1177-4951-A6E8-79A84DB37D4C}"/>
    <cellStyle name="Normal 8 3 2 8 3" xfId="11158" xr:uid="{00984956-DAB8-4F35-B4BD-D8387165EF3D}"/>
    <cellStyle name="Normal 8 3 2 9" xfId="4861" xr:uid="{00000000-0005-0000-0000-0000801D0000}"/>
    <cellStyle name="Normal 8 3 2 9 2" xfId="13311" xr:uid="{64E6695C-5CA2-41FB-9A45-FC600B568FCE}"/>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4F97E384-F4A7-4157-8E48-D7A5DB4AB42F}"/>
    <cellStyle name="Normal 8 3 3 2 2 2 3" xfId="11656" xr:uid="{232016C2-6E2B-44B4-BD7D-8D7A1ED307EB}"/>
    <cellStyle name="Normal 8 3 3 2 2 3" xfId="5279" xr:uid="{00000000-0005-0000-0000-0000861D0000}"/>
    <cellStyle name="Normal 8 3 3 2 2 3 2" xfId="13729" xr:uid="{1BAB3F1C-D303-4DBD-8609-C8DD371EC19E}"/>
    <cellStyle name="Normal 8 3 3 2 2 4" xfId="9511" xr:uid="{7C3B2726-0B62-48D6-B8C0-7523D2496AC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57DDCCF4-4DED-4F78-A988-FC8E6F341EDD}"/>
    <cellStyle name="Normal 8 3 3 2 3 2 3" xfId="12069" xr:uid="{2CE4413C-0117-4A12-81D4-226DF0E57F52}"/>
    <cellStyle name="Normal 8 3 3 2 3 3" xfId="5692" xr:uid="{00000000-0005-0000-0000-00008A1D0000}"/>
    <cellStyle name="Normal 8 3 3 2 3 3 2" xfId="14142" xr:uid="{C908FCEE-05F9-4A31-A2C6-DD76FEF846EF}"/>
    <cellStyle name="Normal 8 3 3 2 3 4" xfId="9924" xr:uid="{16D78262-C283-416F-90A2-7309CC595C7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B5B55230-4F81-499D-B407-3E0DF1E7B099}"/>
    <cellStyle name="Normal 8 3 3 2 4 2 3" xfId="12482" xr:uid="{A4459B47-0932-4503-9F19-CE8A2C1C23A4}"/>
    <cellStyle name="Normal 8 3 3 2 4 3" xfId="6105" xr:uid="{00000000-0005-0000-0000-00008E1D0000}"/>
    <cellStyle name="Normal 8 3 3 2 4 3 2" xfId="14555" xr:uid="{56E39784-F545-4057-BC16-A2BDB9B698C5}"/>
    <cellStyle name="Normal 8 3 3 2 4 4" xfId="10337" xr:uid="{8F700E91-F4C5-4C58-80A2-C3B580EBAAA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E4682AA7-5746-4115-91C5-6C99244E6A4B}"/>
    <cellStyle name="Normal 8 3 3 2 5 2 3" xfId="12895" xr:uid="{B67D2346-83A0-445D-A74C-C3B7E5254FA3}"/>
    <cellStyle name="Normal 8 3 3 2 5 3" xfId="6518" xr:uid="{00000000-0005-0000-0000-0000921D0000}"/>
    <cellStyle name="Normal 8 3 3 2 5 3 2" xfId="14968" xr:uid="{71655D42-9C47-4FFA-B54E-32B362529E23}"/>
    <cellStyle name="Normal 8 3 3 2 5 4" xfId="10750" xr:uid="{E39B535C-C505-4247-93EA-8F82CB08CE20}"/>
    <cellStyle name="Normal 8 3 3 2 6" xfId="2648" xr:uid="{00000000-0005-0000-0000-0000931D0000}"/>
    <cellStyle name="Normal 8 3 3 2 6 2" xfId="6931" xr:uid="{00000000-0005-0000-0000-0000941D0000}"/>
    <cellStyle name="Normal 8 3 3 2 6 2 2" xfId="15381" xr:uid="{99C26C54-AE89-4714-89AC-4536A81F158E}"/>
    <cellStyle name="Normal 8 3 3 2 6 3" xfId="11163" xr:uid="{41D32E1C-D9C6-4DFD-BBF2-0A7AD2BE69F3}"/>
    <cellStyle name="Normal 8 3 3 2 7" xfId="4866" xr:uid="{00000000-0005-0000-0000-0000951D0000}"/>
    <cellStyle name="Normal 8 3 3 2 7 2" xfId="13316" xr:uid="{76CAD973-978D-489F-86F9-E297474EFA66}"/>
    <cellStyle name="Normal 8 3 3 2 8" xfId="9098" xr:uid="{DCC3221B-5AB5-43B1-99E2-7BA60C0A1D54}"/>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66C7EF27-CCA9-450E-BE6F-022686612C0A}"/>
    <cellStyle name="Normal 8 3 3 3 2 3" xfId="11655" xr:uid="{EDCEF3EE-7A25-4169-BDEA-1E345251719F}"/>
    <cellStyle name="Normal 8 3 3 3 3" xfId="5278" xr:uid="{00000000-0005-0000-0000-0000991D0000}"/>
    <cellStyle name="Normal 8 3 3 3 3 2" xfId="13728" xr:uid="{66B4288E-E706-48DB-BB46-8CAE4C654182}"/>
    <cellStyle name="Normal 8 3 3 3 4" xfId="9510" xr:uid="{47160F46-35E9-432B-B782-B047151FF568}"/>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0C2F49BE-78E5-4799-9C10-D6D052502C32}"/>
    <cellStyle name="Normal 8 3 3 4 2 3" xfId="12068" xr:uid="{BCA83268-E55D-4194-BBED-40F29C1E79E8}"/>
    <cellStyle name="Normal 8 3 3 4 3" xfId="5691" xr:uid="{00000000-0005-0000-0000-00009D1D0000}"/>
    <cellStyle name="Normal 8 3 3 4 3 2" xfId="14141" xr:uid="{DEB62BE0-44D8-4B15-BE6D-780899C74361}"/>
    <cellStyle name="Normal 8 3 3 4 4" xfId="9923" xr:uid="{C61881A6-8B62-447E-A4E2-5F481E6489E2}"/>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C0BD341C-AC6A-477E-8A9A-7DC6D46FA56C}"/>
    <cellStyle name="Normal 8 3 3 5 2 3" xfId="12481" xr:uid="{E4AFF3CB-DD6C-436C-9F59-12FF63AAD744}"/>
    <cellStyle name="Normal 8 3 3 5 3" xfId="6104" xr:uid="{00000000-0005-0000-0000-0000A11D0000}"/>
    <cellStyle name="Normal 8 3 3 5 3 2" xfId="14554" xr:uid="{EB3BC30C-ED2D-4AA1-BB7B-574A98AB39AA}"/>
    <cellStyle name="Normal 8 3 3 5 4" xfId="10336" xr:uid="{02E38209-3942-4B40-B0DD-300FC1CB414F}"/>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A3A7AA0C-CA59-4A6A-A9BB-F087400B673A}"/>
    <cellStyle name="Normal 8 3 3 6 2 3" xfId="12894" xr:uid="{FB214B63-1F94-49A8-9160-D2A62AFA9711}"/>
    <cellStyle name="Normal 8 3 3 6 3" xfId="6517" xr:uid="{00000000-0005-0000-0000-0000A51D0000}"/>
    <cellStyle name="Normal 8 3 3 6 3 2" xfId="14967" xr:uid="{5E1E1767-577F-49D2-BE66-E0D633111336}"/>
    <cellStyle name="Normal 8 3 3 6 4" xfId="10749" xr:uid="{1F0FC938-038A-494F-9F70-B1560DAC3EEA}"/>
    <cellStyle name="Normal 8 3 3 7" xfId="2647" xr:uid="{00000000-0005-0000-0000-0000A61D0000}"/>
    <cellStyle name="Normal 8 3 3 7 2" xfId="6930" xr:uid="{00000000-0005-0000-0000-0000A71D0000}"/>
    <cellStyle name="Normal 8 3 3 7 2 2" xfId="15380" xr:uid="{ACCEF64D-1DA0-49C0-AC2F-3B8D1AE1FF27}"/>
    <cellStyle name="Normal 8 3 3 7 3" xfId="11162" xr:uid="{78487856-EA56-4095-9A02-985BDDEE91FC}"/>
    <cellStyle name="Normal 8 3 3 8" xfId="4865" xr:uid="{00000000-0005-0000-0000-0000A81D0000}"/>
    <cellStyle name="Normal 8 3 3 8 2" xfId="13315" xr:uid="{D8F09041-9D61-4EBD-BC39-83BD0A74A360}"/>
    <cellStyle name="Normal 8 3 3 9" xfId="9097" xr:uid="{94FA71A3-2CEE-4714-A12A-4528F7FFE40B}"/>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4BA9CE9B-DEBC-49D9-B9D5-9E467F761F69}"/>
    <cellStyle name="Normal 8 3 4 2 2 3" xfId="11657" xr:uid="{92BDD8AF-1B98-47F4-87FC-CD1238F7C60B}"/>
    <cellStyle name="Normal 8 3 4 2 3" xfId="5280" xr:uid="{00000000-0005-0000-0000-0000AD1D0000}"/>
    <cellStyle name="Normal 8 3 4 2 3 2" xfId="13730" xr:uid="{D7C8B3BD-F008-4114-B36D-A9897B8513CA}"/>
    <cellStyle name="Normal 8 3 4 2 4" xfId="9512" xr:uid="{60FC7DA7-D9A9-41F3-93FB-24B631141196}"/>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7EAF74EA-7CA6-4A8A-8992-F75C7E9D12FE}"/>
    <cellStyle name="Normal 8 3 4 3 2 3" xfId="12070" xr:uid="{A42DE8B8-01FE-4C71-A98F-111856B81876}"/>
    <cellStyle name="Normal 8 3 4 3 3" xfId="5693" xr:uid="{00000000-0005-0000-0000-0000B11D0000}"/>
    <cellStyle name="Normal 8 3 4 3 3 2" xfId="14143" xr:uid="{6C8BFCB6-6AB0-4A4E-9364-8F5797682446}"/>
    <cellStyle name="Normal 8 3 4 3 4" xfId="9925" xr:uid="{CB36260F-F045-4220-BB66-10E727972940}"/>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30D0BA8F-E838-4BC2-9937-D7837EB0B2E1}"/>
    <cellStyle name="Normal 8 3 4 4 2 3" xfId="12483" xr:uid="{43D747DE-302D-49E4-BB70-9C0B9EC467DA}"/>
    <cellStyle name="Normal 8 3 4 4 3" xfId="6106" xr:uid="{00000000-0005-0000-0000-0000B51D0000}"/>
    <cellStyle name="Normal 8 3 4 4 3 2" xfId="14556" xr:uid="{BE3766B7-B8A5-4FC0-88F4-CD700190DEEF}"/>
    <cellStyle name="Normal 8 3 4 4 4" xfId="10338" xr:uid="{D1A8E5A2-41CE-4DCB-9B5C-3A5433CBD7D9}"/>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4F795584-0D6B-4AE0-A9C3-DB67EB615E43}"/>
    <cellStyle name="Normal 8 3 4 5 2 3" xfId="12896" xr:uid="{C33D154E-48F2-454A-BC7E-766D994618A1}"/>
    <cellStyle name="Normal 8 3 4 5 3" xfId="6519" xr:uid="{00000000-0005-0000-0000-0000B91D0000}"/>
    <cellStyle name="Normal 8 3 4 5 3 2" xfId="14969" xr:uid="{50FC7F23-FAED-4B0A-A7B3-52FEA5A28699}"/>
    <cellStyle name="Normal 8 3 4 5 4" xfId="10751" xr:uid="{AC3D9F04-5F73-4378-BD97-C297E305AA1A}"/>
    <cellStyle name="Normal 8 3 4 6" xfId="2649" xr:uid="{00000000-0005-0000-0000-0000BA1D0000}"/>
    <cellStyle name="Normal 8 3 4 6 2" xfId="6932" xr:uid="{00000000-0005-0000-0000-0000BB1D0000}"/>
    <cellStyle name="Normal 8 3 4 6 2 2" xfId="15382" xr:uid="{14A236AC-6693-4A5C-9378-7C2F33E286A5}"/>
    <cellStyle name="Normal 8 3 4 6 3" xfId="11164" xr:uid="{8B1BDB48-374C-44F9-9F32-C564FB11EFC4}"/>
    <cellStyle name="Normal 8 3 4 7" xfId="4867" xr:uid="{00000000-0005-0000-0000-0000BC1D0000}"/>
    <cellStyle name="Normal 8 3 4 7 2" xfId="13317" xr:uid="{8479A66B-90DA-48D6-B61D-38A76198DABA}"/>
    <cellStyle name="Normal 8 3 4 8" xfId="9099" xr:uid="{E8CD5E63-79AE-4529-8AA0-5F18FEDEFF92}"/>
    <cellStyle name="Normal 8 3 5" xfId="962" xr:uid="{00000000-0005-0000-0000-0000BD1D0000}"/>
    <cellStyle name="Normal 8 3 5 2" xfId="3196" xr:uid="{00000000-0005-0000-0000-0000BE1D0000}"/>
    <cellStyle name="Normal 8 3 5 2 2" xfId="7418" xr:uid="{00000000-0005-0000-0000-0000BF1D0000}"/>
    <cellStyle name="Normal 8 3 5 2 2 2" xfId="15868" xr:uid="{46C7A7BE-7F3C-4F93-834B-0572A062B881}"/>
    <cellStyle name="Normal 8 3 5 2 3" xfId="11650" xr:uid="{FCF5717A-08B3-42E9-ABA6-C670E18814E2}"/>
    <cellStyle name="Normal 8 3 5 3" xfId="5273" xr:uid="{00000000-0005-0000-0000-0000C01D0000}"/>
    <cellStyle name="Normal 8 3 5 3 2" xfId="13723" xr:uid="{53B4F2F9-ABA8-443D-82E5-9CEA5192AEE0}"/>
    <cellStyle name="Normal 8 3 5 4" xfId="9505" xr:uid="{0B139A5F-EA21-4EF7-A875-A8558826C1AB}"/>
    <cellStyle name="Normal 8 3 6" xfId="1379" xr:uid="{00000000-0005-0000-0000-0000C11D0000}"/>
    <cellStyle name="Normal 8 3 6 2" xfId="3609" xr:uid="{00000000-0005-0000-0000-0000C21D0000}"/>
    <cellStyle name="Normal 8 3 6 2 2" xfId="7831" xr:uid="{00000000-0005-0000-0000-0000C31D0000}"/>
    <cellStyle name="Normal 8 3 6 2 2 2" xfId="16281" xr:uid="{7DC1B07D-D31C-4555-B0A1-BEF03DBE3E6F}"/>
    <cellStyle name="Normal 8 3 6 2 3" xfId="12063" xr:uid="{B945213F-7A39-49CA-8548-6E71000F62EF}"/>
    <cellStyle name="Normal 8 3 6 3" xfId="5686" xr:uid="{00000000-0005-0000-0000-0000C41D0000}"/>
    <cellStyle name="Normal 8 3 6 3 2" xfId="14136" xr:uid="{F53381CC-10C7-43B0-835D-49E2770DA995}"/>
    <cellStyle name="Normal 8 3 6 4" xfId="9918" xr:uid="{7904DD6C-372B-4685-9583-D9A8D036A423}"/>
    <cellStyle name="Normal 8 3 7" xfId="1792" xr:uid="{00000000-0005-0000-0000-0000C51D0000}"/>
    <cellStyle name="Normal 8 3 7 2" xfId="4022" xr:uid="{00000000-0005-0000-0000-0000C61D0000}"/>
    <cellStyle name="Normal 8 3 7 2 2" xfId="8244" xr:uid="{00000000-0005-0000-0000-0000C71D0000}"/>
    <cellStyle name="Normal 8 3 7 2 2 2" xfId="16694" xr:uid="{D9C852A8-FFC6-4458-B070-88FDB55F7A85}"/>
    <cellStyle name="Normal 8 3 7 2 3" xfId="12476" xr:uid="{1B007F81-B36D-42BD-AF73-012E33B2F178}"/>
    <cellStyle name="Normal 8 3 7 3" xfId="6099" xr:uid="{00000000-0005-0000-0000-0000C81D0000}"/>
    <cellStyle name="Normal 8 3 7 3 2" xfId="14549" xr:uid="{1CD0BC5F-E746-44BB-A2B2-72AEDCBE9C25}"/>
    <cellStyle name="Normal 8 3 7 4" xfId="10331" xr:uid="{C6CC0C0D-3EAA-4C3C-84D1-14955A1ADC8D}"/>
    <cellStyle name="Normal 8 3 8" xfId="2206" xr:uid="{00000000-0005-0000-0000-0000C91D0000}"/>
    <cellStyle name="Normal 8 3 8 2" xfId="4435" xr:uid="{00000000-0005-0000-0000-0000CA1D0000}"/>
    <cellStyle name="Normal 8 3 8 2 2" xfId="8657" xr:uid="{00000000-0005-0000-0000-0000CB1D0000}"/>
    <cellStyle name="Normal 8 3 8 2 2 2" xfId="17107" xr:uid="{5986D60F-749D-4F79-8776-0890BA29AD78}"/>
    <cellStyle name="Normal 8 3 8 2 3" xfId="12889" xr:uid="{FAA481A3-7B0A-45BE-8CA6-5C6B0B1EA175}"/>
    <cellStyle name="Normal 8 3 8 3" xfId="6512" xr:uid="{00000000-0005-0000-0000-0000CC1D0000}"/>
    <cellStyle name="Normal 8 3 8 3 2" xfId="14962" xr:uid="{5832A2C9-CA62-45B9-917C-314E34164677}"/>
    <cellStyle name="Normal 8 3 8 4" xfId="10744" xr:uid="{9CB8FD4B-6148-4361-A6D6-9EDE33F307A8}"/>
    <cellStyle name="Normal 8 3 9" xfId="2642" xr:uid="{00000000-0005-0000-0000-0000CD1D0000}"/>
    <cellStyle name="Normal 8 3 9 2" xfId="6925" xr:uid="{00000000-0005-0000-0000-0000CE1D0000}"/>
    <cellStyle name="Normal 8 3 9 2 2" xfId="15375" xr:uid="{D821B390-8BCD-4376-862C-553744FEF449}"/>
    <cellStyle name="Normal 8 3 9 3" xfId="11157" xr:uid="{398811C4-561C-45C2-A085-4E4BAB330C00}"/>
    <cellStyle name="Normal 8 4" xfId="503" xr:uid="{00000000-0005-0000-0000-0000CF1D0000}"/>
    <cellStyle name="Normal 8 4 10" xfId="9100" xr:uid="{EF4A9EAE-700E-49CA-BBC4-3B4DBCA4F423}"/>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AE799B4-7C75-486B-A38D-6D0C53FAE60E}"/>
    <cellStyle name="Normal 8 4 2 2 2 2 3" xfId="11660" xr:uid="{25FEE952-A89D-4CDC-A7E4-85313330A48F}"/>
    <cellStyle name="Normal 8 4 2 2 2 3" xfId="5283" xr:uid="{00000000-0005-0000-0000-0000D51D0000}"/>
    <cellStyle name="Normal 8 4 2 2 2 3 2" xfId="13733" xr:uid="{F05C033B-3535-4ADF-B547-15091B03AC99}"/>
    <cellStyle name="Normal 8 4 2 2 2 4" xfId="9515" xr:uid="{53B2D0FD-87BC-466C-8509-E87B4BAC24F5}"/>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7022D84E-67F6-49EA-A85D-5BB5FB2CA36F}"/>
    <cellStyle name="Normal 8 4 2 2 3 2 3" xfId="12073" xr:uid="{5371785B-4F09-4AC2-9D2E-EF63B4B1006D}"/>
    <cellStyle name="Normal 8 4 2 2 3 3" xfId="5696" xr:uid="{00000000-0005-0000-0000-0000D91D0000}"/>
    <cellStyle name="Normal 8 4 2 2 3 3 2" xfId="14146" xr:uid="{9FEA4C00-B1E7-4CC1-9B18-46D6D678B6C4}"/>
    <cellStyle name="Normal 8 4 2 2 3 4" xfId="9928" xr:uid="{97C4F763-7C30-4C6B-8DE5-8678D759EA5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47DDB20A-B541-434B-8094-767A0838C0B7}"/>
    <cellStyle name="Normal 8 4 2 2 4 2 3" xfId="12486" xr:uid="{8972ADDC-CED8-485A-9FEE-4182DB020C12}"/>
    <cellStyle name="Normal 8 4 2 2 4 3" xfId="6109" xr:uid="{00000000-0005-0000-0000-0000DD1D0000}"/>
    <cellStyle name="Normal 8 4 2 2 4 3 2" xfId="14559" xr:uid="{6A4FB50E-9904-4D6A-9318-A7911EAB93EA}"/>
    <cellStyle name="Normal 8 4 2 2 4 4" xfId="10341" xr:uid="{6D865F19-ABE5-4FFC-979C-21C90C9E2E0D}"/>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849606DE-652E-455E-A077-DE26C2D92B16}"/>
    <cellStyle name="Normal 8 4 2 2 5 2 3" xfId="12899" xr:uid="{6F84C7E5-E7CD-4F94-A18E-0DD5BBF335F0}"/>
    <cellStyle name="Normal 8 4 2 2 5 3" xfId="6522" xr:uid="{00000000-0005-0000-0000-0000E11D0000}"/>
    <cellStyle name="Normal 8 4 2 2 5 3 2" xfId="14972" xr:uid="{60C18024-7637-44C7-94DB-E4B572CF4BEF}"/>
    <cellStyle name="Normal 8 4 2 2 5 4" xfId="10754" xr:uid="{F40910FF-1446-494D-91E4-5B0899053994}"/>
    <cellStyle name="Normal 8 4 2 2 6" xfId="2652" xr:uid="{00000000-0005-0000-0000-0000E21D0000}"/>
    <cellStyle name="Normal 8 4 2 2 6 2" xfId="6935" xr:uid="{00000000-0005-0000-0000-0000E31D0000}"/>
    <cellStyle name="Normal 8 4 2 2 6 2 2" xfId="15385" xr:uid="{289E4103-6969-485E-AE41-CB35E9C15BD1}"/>
    <cellStyle name="Normal 8 4 2 2 6 3" xfId="11167" xr:uid="{B4013D91-4B00-4245-9C83-2BCA2F1FBFF3}"/>
    <cellStyle name="Normal 8 4 2 2 7" xfId="4870" xr:uid="{00000000-0005-0000-0000-0000E41D0000}"/>
    <cellStyle name="Normal 8 4 2 2 7 2" xfId="13320" xr:uid="{183BB9EE-3602-432C-BF41-9146237F94A6}"/>
    <cellStyle name="Normal 8 4 2 2 8" xfId="9102" xr:uid="{937882EA-665A-45F6-A40F-A8208D58C871}"/>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62E7E16C-FCF0-4AFE-B8A0-2E74FAAF1E3C}"/>
    <cellStyle name="Normal 8 4 2 3 2 3" xfId="11659" xr:uid="{81216B96-A960-4590-9AD8-59FE76B55EF6}"/>
    <cellStyle name="Normal 8 4 2 3 3" xfId="5282" xr:uid="{00000000-0005-0000-0000-0000E81D0000}"/>
    <cellStyle name="Normal 8 4 2 3 3 2" xfId="13732" xr:uid="{D530EE44-B390-4A20-9EF9-98B120952576}"/>
    <cellStyle name="Normal 8 4 2 3 4" xfId="9514" xr:uid="{EE335D6B-181E-4A6E-B536-86D59AE49AB4}"/>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6269F7E4-F7B4-40B3-9BF2-E2BAE700B3A3}"/>
    <cellStyle name="Normal 8 4 2 4 2 3" xfId="12072" xr:uid="{B63CDB67-9220-4FF9-B7B5-95B3F60F0C30}"/>
    <cellStyle name="Normal 8 4 2 4 3" xfId="5695" xr:uid="{00000000-0005-0000-0000-0000EC1D0000}"/>
    <cellStyle name="Normal 8 4 2 4 3 2" xfId="14145" xr:uid="{386C6712-3AAF-4724-B4D5-684295DCE719}"/>
    <cellStyle name="Normal 8 4 2 4 4" xfId="9927" xr:uid="{8FE875C1-6AB6-4A7C-927C-971BF6B839B9}"/>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CFC52567-FE0E-469B-A2F1-B25A8F3C2EFD}"/>
    <cellStyle name="Normal 8 4 2 5 2 3" xfId="12485" xr:uid="{A603F599-129B-459E-BAB6-222B82531B9C}"/>
    <cellStyle name="Normal 8 4 2 5 3" xfId="6108" xr:uid="{00000000-0005-0000-0000-0000F01D0000}"/>
    <cellStyle name="Normal 8 4 2 5 3 2" xfId="14558" xr:uid="{3FB33ACC-2EEF-4C79-92DE-14617C35E306}"/>
    <cellStyle name="Normal 8 4 2 5 4" xfId="10340" xr:uid="{85BD21B0-1F95-4CE2-8802-7D07DF081065}"/>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4922464E-5DE8-4EA1-A3DB-0E128AB1203B}"/>
    <cellStyle name="Normal 8 4 2 6 2 3" xfId="12898" xr:uid="{89B8DB0B-E555-4BBC-B316-C979CE23474F}"/>
    <cellStyle name="Normal 8 4 2 6 3" xfId="6521" xr:uid="{00000000-0005-0000-0000-0000F41D0000}"/>
    <cellStyle name="Normal 8 4 2 6 3 2" xfId="14971" xr:uid="{7AD1F62E-13C1-4743-B8A5-C11CA2FAFB74}"/>
    <cellStyle name="Normal 8 4 2 6 4" xfId="10753" xr:uid="{214A99CD-EF9B-40BF-A879-596264BC50A6}"/>
    <cellStyle name="Normal 8 4 2 7" xfId="2651" xr:uid="{00000000-0005-0000-0000-0000F51D0000}"/>
    <cellStyle name="Normal 8 4 2 7 2" xfId="6934" xr:uid="{00000000-0005-0000-0000-0000F61D0000}"/>
    <cellStyle name="Normal 8 4 2 7 2 2" xfId="15384" xr:uid="{AAD948F3-9F6F-43F4-98EB-1CAF3F2DA396}"/>
    <cellStyle name="Normal 8 4 2 7 3" xfId="11166" xr:uid="{4589517B-6030-45E6-8D41-410E5CC8CB41}"/>
    <cellStyle name="Normal 8 4 2 8" xfId="4869" xr:uid="{00000000-0005-0000-0000-0000F71D0000}"/>
    <cellStyle name="Normal 8 4 2 8 2" xfId="13319" xr:uid="{2BE0EFAF-A290-4377-8932-E8121929FF1E}"/>
    <cellStyle name="Normal 8 4 2 9" xfId="9101" xr:uid="{D3172589-EC88-445A-8106-DE0B048C85D3}"/>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16081C71-A24F-4E44-8FCF-767D90EA1E8F}"/>
    <cellStyle name="Normal 8 4 3 2 2 3" xfId="11661" xr:uid="{051D221D-9539-424C-8BD1-B8B1B6C24D1B}"/>
    <cellStyle name="Normal 8 4 3 2 3" xfId="5284" xr:uid="{00000000-0005-0000-0000-0000FC1D0000}"/>
    <cellStyle name="Normal 8 4 3 2 3 2" xfId="13734" xr:uid="{AE4640FD-3D52-44E4-B538-557C919A6EDF}"/>
    <cellStyle name="Normal 8 4 3 2 4" xfId="9516" xr:uid="{2DF1E410-0A4E-4D90-862F-8FCF0DDB2EDB}"/>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2CCF3E64-E75B-4220-BAC8-8B2E7A93A61E}"/>
    <cellStyle name="Normal 8 4 3 3 2 3" xfId="12074" xr:uid="{DC89328E-8CCB-4C08-A35A-16869616D93D}"/>
    <cellStyle name="Normal 8 4 3 3 3" xfId="5697" xr:uid="{00000000-0005-0000-0000-0000001E0000}"/>
    <cellStyle name="Normal 8 4 3 3 3 2" xfId="14147" xr:uid="{D6BF0CEF-11D2-463D-B22A-2887F996B6F8}"/>
    <cellStyle name="Normal 8 4 3 3 4" xfId="9929" xr:uid="{2EE95998-D697-4249-863B-0AE0D582836D}"/>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5D74863E-FF58-4521-B215-A54A022E6FD9}"/>
    <cellStyle name="Normal 8 4 3 4 2 3" xfId="12487" xr:uid="{7B607823-38FE-4A95-830B-8750458F5B67}"/>
    <cellStyle name="Normal 8 4 3 4 3" xfId="6110" xr:uid="{00000000-0005-0000-0000-0000041E0000}"/>
    <cellStyle name="Normal 8 4 3 4 3 2" xfId="14560" xr:uid="{D5F8DDB1-04D4-4450-865E-B5FC6F476E35}"/>
    <cellStyle name="Normal 8 4 3 4 4" xfId="10342" xr:uid="{2B3254E6-6F07-446C-8597-50D2C77C59DE}"/>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402400CB-3F39-41D8-82F7-F474CE23D534}"/>
    <cellStyle name="Normal 8 4 3 5 2 3" xfId="12900" xr:uid="{9872662D-70C3-49C3-9FA1-C7412E4436BA}"/>
    <cellStyle name="Normal 8 4 3 5 3" xfId="6523" xr:uid="{00000000-0005-0000-0000-0000081E0000}"/>
    <cellStyle name="Normal 8 4 3 5 3 2" xfId="14973" xr:uid="{4BEBA905-F9E3-4A4A-A913-9BD942FE6227}"/>
    <cellStyle name="Normal 8 4 3 5 4" xfId="10755" xr:uid="{6F7E0AEA-6479-4F3B-A801-6C8968C7BBDB}"/>
    <cellStyle name="Normal 8 4 3 6" xfId="2653" xr:uid="{00000000-0005-0000-0000-0000091E0000}"/>
    <cellStyle name="Normal 8 4 3 6 2" xfId="6936" xr:uid="{00000000-0005-0000-0000-00000A1E0000}"/>
    <cellStyle name="Normal 8 4 3 6 2 2" xfId="15386" xr:uid="{AB6EE74E-764F-407F-A3E2-1394C7D31822}"/>
    <cellStyle name="Normal 8 4 3 6 3" xfId="11168" xr:uid="{DCE5FE75-2365-49D1-B500-B09024E1D55F}"/>
    <cellStyle name="Normal 8 4 3 7" xfId="4871" xr:uid="{00000000-0005-0000-0000-00000B1E0000}"/>
    <cellStyle name="Normal 8 4 3 7 2" xfId="13321" xr:uid="{E108C7CE-5217-43F0-B1FD-2F8BE9FCA0FA}"/>
    <cellStyle name="Normal 8 4 3 8" xfId="9103" xr:uid="{E89251F7-83EF-4ACD-BEDB-97E5951F8BED}"/>
    <cellStyle name="Normal 8 4 4" xfId="970" xr:uid="{00000000-0005-0000-0000-00000C1E0000}"/>
    <cellStyle name="Normal 8 4 4 2" xfId="3204" xr:uid="{00000000-0005-0000-0000-00000D1E0000}"/>
    <cellStyle name="Normal 8 4 4 2 2" xfId="7426" xr:uid="{00000000-0005-0000-0000-00000E1E0000}"/>
    <cellStyle name="Normal 8 4 4 2 2 2" xfId="15876" xr:uid="{63BD560F-BB6F-48A3-BACC-C34DB005CAEF}"/>
    <cellStyle name="Normal 8 4 4 2 3" xfId="11658" xr:uid="{283871D8-79B9-46A4-9D06-567C4122274D}"/>
    <cellStyle name="Normal 8 4 4 3" xfId="5281" xr:uid="{00000000-0005-0000-0000-00000F1E0000}"/>
    <cellStyle name="Normal 8 4 4 3 2" xfId="13731" xr:uid="{6AC6FB84-40CE-4C95-A325-CC9389985BFF}"/>
    <cellStyle name="Normal 8 4 4 4" xfId="9513" xr:uid="{8C5C3347-C285-49B8-A217-BB09504F2E3E}"/>
    <cellStyle name="Normal 8 4 5" xfId="1387" xr:uid="{00000000-0005-0000-0000-0000101E0000}"/>
    <cellStyle name="Normal 8 4 5 2" xfId="3617" xr:uid="{00000000-0005-0000-0000-0000111E0000}"/>
    <cellStyle name="Normal 8 4 5 2 2" xfId="7839" xr:uid="{00000000-0005-0000-0000-0000121E0000}"/>
    <cellStyle name="Normal 8 4 5 2 2 2" xfId="16289" xr:uid="{F0D2CE20-886E-467A-8683-7254FF2A4BE4}"/>
    <cellStyle name="Normal 8 4 5 2 3" xfId="12071" xr:uid="{F0B421A1-2C26-43F2-9EDE-06FD24D3E039}"/>
    <cellStyle name="Normal 8 4 5 3" xfId="5694" xr:uid="{00000000-0005-0000-0000-0000131E0000}"/>
    <cellStyle name="Normal 8 4 5 3 2" xfId="14144" xr:uid="{B1DB17B0-ED7B-4158-AE35-8B0DD845EB2A}"/>
    <cellStyle name="Normal 8 4 5 4" xfId="9926" xr:uid="{9AAA1650-03D4-41F1-8913-40C994B3E79B}"/>
    <cellStyle name="Normal 8 4 6" xfId="1800" xr:uid="{00000000-0005-0000-0000-0000141E0000}"/>
    <cellStyle name="Normal 8 4 6 2" xfId="4030" xr:uid="{00000000-0005-0000-0000-0000151E0000}"/>
    <cellStyle name="Normal 8 4 6 2 2" xfId="8252" xr:uid="{00000000-0005-0000-0000-0000161E0000}"/>
    <cellStyle name="Normal 8 4 6 2 2 2" xfId="16702" xr:uid="{9201D18F-6027-42F5-962C-A5AD8A99A05D}"/>
    <cellStyle name="Normal 8 4 6 2 3" xfId="12484" xr:uid="{A370C73E-2CDC-4457-B736-C3F0C54EB9F5}"/>
    <cellStyle name="Normal 8 4 6 3" xfId="6107" xr:uid="{00000000-0005-0000-0000-0000171E0000}"/>
    <cellStyle name="Normal 8 4 6 3 2" xfId="14557" xr:uid="{53795655-7FC7-40FB-A415-A3C725C3256B}"/>
    <cellStyle name="Normal 8 4 6 4" xfId="10339" xr:uid="{3602BB6F-AFFF-4C8F-9516-3D66E6B36067}"/>
    <cellStyle name="Normal 8 4 7" xfId="2214" xr:uid="{00000000-0005-0000-0000-0000181E0000}"/>
    <cellStyle name="Normal 8 4 7 2" xfId="4443" xr:uid="{00000000-0005-0000-0000-0000191E0000}"/>
    <cellStyle name="Normal 8 4 7 2 2" xfId="8665" xr:uid="{00000000-0005-0000-0000-00001A1E0000}"/>
    <cellStyle name="Normal 8 4 7 2 2 2" xfId="17115" xr:uid="{6E0EA77F-DC15-4BED-B8AE-12E22D9DC848}"/>
    <cellStyle name="Normal 8 4 7 2 3" xfId="12897" xr:uid="{295D732F-C6BB-45A5-AC8D-FD590B619758}"/>
    <cellStyle name="Normal 8 4 7 3" xfId="6520" xr:uid="{00000000-0005-0000-0000-00001B1E0000}"/>
    <cellStyle name="Normal 8 4 7 3 2" xfId="14970" xr:uid="{36729BE5-1924-425E-904A-EE2EABDFE32B}"/>
    <cellStyle name="Normal 8 4 7 4" xfId="10752" xr:uid="{9EC79A1A-D45D-43BF-BED9-65BCD2BB8825}"/>
    <cellStyle name="Normal 8 4 8" xfId="2650" xr:uid="{00000000-0005-0000-0000-00001C1E0000}"/>
    <cellStyle name="Normal 8 4 8 2" xfId="6933" xr:uid="{00000000-0005-0000-0000-00001D1E0000}"/>
    <cellStyle name="Normal 8 4 8 2 2" xfId="15383" xr:uid="{923D419D-6EC8-4F7A-9D9D-6CC5DFC8CBE9}"/>
    <cellStyle name="Normal 8 4 8 3" xfId="11165" xr:uid="{CDCB7502-743F-4A06-89C9-9E2EF8B265AF}"/>
    <cellStyle name="Normal 8 4 9" xfId="4868" xr:uid="{00000000-0005-0000-0000-00001E1E0000}"/>
    <cellStyle name="Normal 8 4 9 2" xfId="13318" xr:uid="{36E1774A-FE84-4022-BCBE-1623550418DB}"/>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97D58238-0C86-46B8-8649-941BA3432DC3}"/>
    <cellStyle name="Normal 8 5 2 2 2 3" xfId="11663" xr:uid="{0781D28B-B014-4144-9DB7-8FDEAC0CB18A}"/>
    <cellStyle name="Normal 8 5 2 2 3" xfId="5286" xr:uid="{00000000-0005-0000-0000-0000241E0000}"/>
    <cellStyle name="Normal 8 5 2 2 3 2" xfId="13736" xr:uid="{9CCCF7B7-B4C0-41AE-8E22-DBCB699F6DB7}"/>
    <cellStyle name="Normal 8 5 2 2 4" xfId="9518" xr:uid="{5AC3287B-7E54-4BA2-BD46-05D23DE6232B}"/>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43AF9B67-5922-4E65-90E2-290A766C92FA}"/>
    <cellStyle name="Normal 8 5 2 3 2 3" xfId="12076" xr:uid="{25718F38-5A31-4EC7-A065-5F8664DE0E90}"/>
    <cellStyle name="Normal 8 5 2 3 3" xfId="5699" xr:uid="{00000000-0005-0000-0000-0000281E0000}"/>
    <cellStyle name="Normal 8 5 2 3 3 2" xfId="14149" xr:uid="{B227F7E3-10E2-42E9-9D64-E5FABB9D8D02}"/>
    <cellStyle name="Normal 8 5 2 3 4" xfId="9931" xr:uid="{DE8FF4E8-2AB1-48B4-BDF0-02F28C37BAF8}"/>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AC8DD6E7-2C3F-4E56-9686-CAFF46AE09EA}"/>
    <cellStyle name="Normal 8 5 2 4 2 3" xfId="12489" xr:uid="{0E59C5F9-52CF-4370-BD62-7137E87243EF}"/>
    <cellStyle name="Normal 8 5 2 4 3" xfId="6112" xr:uid="{00000000-0005-0000-0000-00002C1E0000}"/>
    <cellStyle name="Normal 8 5 2 4 3 2" xfId="14562" xr:uid="{6A01E2AB-274B-44F0-AD38-054F3838896C}"/>
    <cellStyle name="Normal 8 5 2 4 4" xfId="10344" xr:uid="{6842238D-F56B-462D-9AE1-05EEF48BA1C6}"/>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6523FD76-B303-4B69-8C73-F1352F44D44C}"/>
    <cellStyle name="Normal 8 5 2 5 2 3" xfId="12902" xr:uid="{A50569E7-6642-438E-A702-B555F778223F}"/>
    <cellStyle name="Normal 8 5 2 5 3" xfId="6525" xr:uid="{00000000-0005-0000-0000-0000301E0000}"/>
    <cellStyle name="Normal 8 5 2 5 3 2" xfId="14975" xr:uid="{C69E2968-932B-4BDF-BFB6-F7687C5EC730}"/>
    <cellStyle name="Normal 8 5 2 5 4" xfId="10757" xr:uid="{242C8207-02D9-4F93-9F7F-4589EF07F10B}"/>
    <cellStyle name="Normal 8 5 2 6" xfId="2655" xr:uid="{00000000-0005-0000-0000-0000311E0000}"/>
    <cellStyle name="Normal 8 5 2 6 2" xfId="6938" xr:uid="{00000000-0005-0000-0000-0000321E0000}"/>
    <cellStyle name="Normal 8 5 2 6 2 2" xfId="15388" xr:uid="{24814BA4-2AAE-43A9-82EB-DD77B23458B8}"/>
    <cellStyle name="Normal 8 5 2 6 3" xfId="11170" xr:uid="{DB7C5F1A-581F-4068-926F-611B05F76DD0}"/>
    <cellStyle name="Normal 8 5 2 7" xfId="4873" xr:uid="{00000000-0005-0000-0000-0000331E0000}"/>
    <cellStyle name="Normal 8 5 2 7 2" xfId="13323" xr:uid="{ADB90CDD-C586-4847-8DD6-C86BBFD00FD0}"/>
    <cellStyle name="Normal 8 5 2 8" xfId="9105" xr:uid="{E754210B-9B8A-413B-B54E-7CAC1C61102D}"/>
    <cellStyle name="Normal 8 5 3" xfId="974" xr:uid="{00000000-0005-0000-0000-0000341E0000}"/>
    <cellStyle name="Normal 8 5 3 2" xfId="3208" xr:uid="{00000000-0005-0000-0000-0000351E0000}"/>
    <cellStyle name="Normal 8 5 3 2 2" xfId="7430" xr:uid="{00000000-0005-0000-0000-0000361E0000}"/>
    <cellStyle name="Normal 8 5 3 2 2 2" xfId="15880" xr:uid="{03B2C9DD-AE72-4755-A16F-2D0B4A267B69}"/>
    <cellStyle name="Normal 8 5 3 2 3" xfId="11662" xr:uid="{9619804F-F5E4-486E-A0B1-B5A61185A060}"/>
    <cellStyle name="Normal 8 5 3 3" xfId="5285" xr:uid="{00000000-0005-0000-0000-0000371E0000}"/>
    <cellStyle name="Normal 8 5 3 3 2" xfId="13735" xr:uid="{4FC77828-D151-45AD-981C-9A07829F4231}"/>
    <cellStyle name="Normal 8 5 3 4" xfId="9517" xr:uid="{6793B441-98AB-43BE-8626-465BC99AE870}"/>
    <cellStyle name="Normal 8 5 4" xfId="1391" xr:uid="{00000000-0005-0000-0000-0000381E0000}"/>
    <cellStyle name="Normal 8 5 4 2" xfId="3621" xr:uid="{00000000-0005-0000-0000-0000391E0000}"/>
    <cellStyle name="Normal 8 5 4 2 2" xfId="7843" xr:uid="{00000000-0005-0000-0000-00003A1E0000}"/>
    <cellStyle name="Normal 8 5 4 2 2 2" xfId="16293" xr:uid="{AEBE2A19-094F-4CDC-A6D1-722FFB64BE24}"/>
    <cellStyle name="Normal 8 5 4 2 3" xfId="12075" xr:uid="{97283D79-BB88-42FA-A1F6-AE6CECCE949E}"/>
    <cellStyle name="Normal 8 5 4 3" xfId="5698" xr:uid="{00000000-0005-0000-0000-00003B1E0000}"/>
    <cellStyle name="Normal 8 5 4 3 2" xfId="14148" xr:uid="{4DD6A7EF-38C7-4E92-BF6B-252CB010BB4B}"/>
    <cellStyle name="Normal 8 5 4 4" xfId="9930" xr:uid="{2C42EC3A-9D2B-4E9B-9EC7-87D955130B95}"/>
    <cellStyle name="Normal 8 5 5" xfId="1804" xr:uid="{00000000-0005-0000-0000-00003C1E0000}"/>
    <cellStyle name="Normal 8 5 5 2" xfId="4034" xr:uid="{00000000-0005-0000-0000-00003D1E0000}"/>
    <cellStyle name="Normal 8 5 5 2 2" xfId="8256" xr:uid="{00000000-0005-0000-0000-00003E1E0000}"/>
    <cellStyle name="Normal 8 5 5 2 2 2" xfId="16706" xr:uid="{809A136D-D67C-47F1-B6A6-E964C48D450D}"/>
    <cellStyle name="Normal 8 5 5 2 3" xfId="12488" xr:uid="{BFD8E4CE-093A-494E-8DC2-A07DA12A0A1B}"/>
    <cellStyle name="Normal 8 5 5 3" xfId="6111" xr:uid="{00000000-0005-0000-0000-00003F1E0000}"/>
    <cellStyle name="Normal 8 5 5 3 2" xfId="14561" xr:uid="{5DA9AAB2-F565-4A16-8EA7-56BFEE8FA243}"/>
    <cellStyle name="Normal 8 5 5 4" xfId="10343" xr:uid="{2621754F-95FF-4C0A-BB57-521D8BBB5F8E}"/>
    <cellStyle name="Normal 8 5 6" xfId="2218" xr:uid="{00000000-0005-0000-0000-0000401E0000}"/>
    <cellStyle name="Normal 8 5 6 2" xfId="4447" xr:uid="{00000000-0005-0000-0000-0000411E0000}"/>
    <cellStyle name="Normal 8 5 6 2 2" xfId="8669" xr:uid="{00000000-0005-0000-0000-0000421E0000}"/>
    <cellStyle name="Normal 8 5 6 2 2 2" xfId="17119" xr:uid="{4F488DD3-DBB6-42D5-845C-BFDB149E8CF2}"/>
    <cellStyle name="Normal 8 5 6 2 3" xfId="12901" xr:uid="{5EC2BCD8-7F0F-4CCE-8C32-286CA29085B1}"/>
    <cellStyle name="Normal 8 5 6 3" xfId="6524" xr:uid="{00000000-0005-0000-0000-0000431E0000}"/>
    <cellStyle name="Normal 8 5 6 3 2" xfId="14974" xr:uid="{F6F89E89-9C29-45B0-BFB4-A25CB93FEA0D}"/>
    <cellStyle name="Normal 8 5 6 4" xfId="10756" xr:uid="{6C3D767B-D1F2-4DEB-B6EC-CD1B67D12CBD}"/>
    <cellStyle name="Normal 8 5 7" xfId="2654" xr:uid="{00000000-0005-0000-0000-0000441E0000}"/>
    <cellStyle name="Normal 8 5 7 2" xfId="6937" xr:uid="{00000000-0005-0000-0000-0000451E0000}"/>
    <cellStyle name="Normal 8 5 7 2 2" xfId="15387" xr:uid="{443E83F2-0758-4AE7-B613-9591E90EB4BD}"/>
    <cellStyle name="Normal 8 5 7 3" xfId="11169" xr:uid="{B67717B6-E92B-449A-8908-57D6B948AD59}"/>
    <cellStyle name="Normal 8 5 8" xfId="4872" xr:uid="{00000000-0005-0000-0000-0000461E0000}"/>
    <cellStyle name="Normal 8 5 8 2" xfId="13322" xr:uid="{40755AD5-E1AC-4D48-BE3F-AF4BBE3CC452}"/>
    <cellStyle name="Normal 8 5 9" xfId="9104" xr:uid="{54455349-EC54-41F8-9612-E9CB0DDA8B79}"/>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F513F48F-E8CF-4AAC-8667-7BF7507C0920}"/>
    <cellStyle name="Normal 8 6 2 2 3" xfId="11664" xr:uid="{114B1642-0353-4AE4-BFA2-2687B0B33842}"/>
    <cellStyle name="Normal 8 6 2 3" xfId="5287" xr:uid="{00000000-0005-0000-0000-00004B1E0000}"/>
    <cellStyle name="Normal 8 6 2 3 2" xfId="13737" xr:uid="{7C43C790-2E2B-4A18-ADD7-B086196B4F29}"/>
    <cellStyle name="Normal 8 6 2 4" xfId="9519" xr:uid="{0317E9EF-4667-46D9-8FCF-B7358E589D04}"/>
    <cellStyle name="Normal 8 6 3" xfId="1393" xr:uid="{00000000-0005-0000-0000-00004C1E0000}"/>
    <cellStyle name="Normal 8 6 3 2" xfId="3623" xr:uid="{00000000-0005-0000-0000-00004D1E0000}"/>
    <cellStyle name="Normal 8 6 3 2 2" xfId="7845" xr:uid="{00000000-0005-0000-0000-00004E1E0000}"/>
    <cellStyle name="Normal 8 6 3 2 2 2" xfId="16295" xr:uid="{58B141DC-BC3A-4DB1-808E-D2BA4AD0C1C7}"/>
    <cellStyle name="Normal 8 6 3 2 3" xfId="12077" xr:uid="{A45FB301-34A5-4746-917B-A275815F5EC9}"/>
    <cellStyle name="Normal 8 6 3 3" xfId="5700" xr:uid="{00000000-0005-0000-0000-00004F1E0000}"/>
    <cellStyle name="Normal 8 6 3 3 2" xfId="14150" xr:uid="{84FA1B79-E6B3-42AE-98C8-331DF5422C0B}"/>
    <cellStyle name="Normal 8 6 3 4" xfId="9932" xr:uid="{E27AE98A-454C-45C7-94BE-75C7FC7336A1}"/>
    <cellStyle name="Normal 8 6 4" xfId="1806" xr:uid="{00000000-0005-0000-0000-0000501E0000}"/>
    <cellStyle name="Normal 8 6 4 2" xfId="4036" xr:uid="{00000000-0005-0000-0000-0000511E0000}"/>
    <cellStyle name="Normal 8 6 4 2 2" xfId="8258" xr:uid="{00000000-0005-0000-0000-0000521E0000}"/>
    <cellStyle name="Normal 8 6 4 2 2 2" xfId="16708" xr:uid="{A35C4814-33EC-4AC6-87A4-2FAA617501AC}"/>
    <cellStyle name="Normal 8 6 4 2 3" xfId="12490" xr:uid="{96A0C748-B38D-4554-BD96-BCFEA4EEF0EC}"/>
    <cellStyle name="Normal 8 6 4 3" xfId="6113" xr:uid="{00000000-0005-0000-0000-0000531E0000}"/>
    <cellStyle name="Normal 8 6 4 3 2" xfId="14563" xr:uid="{BEA41392-2CBC-49BF-95CE-1EAD67BF57C2}"/>
    <cellStyle name="Normal 8 6 4 4" xfId="10345" xr:uid="{EC17EE35-EBB3-4EFD-ACAF-F234008FB53F}"/>
    <cellStyle name="Normal 8 6 5" xfId="2220" xr:uid="{00000000-0005-0000-0000-0000541E0000}"/>
    <cellStyle name="Normal 8 6 5 2" xfId="4449" xr:uid="{00000000-0005-0000-0000-0000551E0000}"/>
    <cellStyle name="Normal 8 6 5 2 2" xfId="8671" xr:uid="{00000000-0005-0000-0000-0000561E0000}"/>
    <cellStyle name="Normal 8 6 5 2 2 2" xfId="17121" xr:uid="{C24EB662-7A63-4D83-B8E0-A4CCDA67EACD}"/>
    <cellStyle name="Normal 8 6 5 2 3" xfId="12903" xr:uid="{FC1632F0-51A6-4BC3-847F-6C859F28DB23}"/>
    <cellStyle name="Normal 8 6 5 3" xfId="6526" xr:uid="{00000000-0005-0000-0000-0000571E0000}"/>
    <cellStyle name="Normal 8 6 5 3 2" xfId="14976" xr:uid="{E927C865-0C55-400D-99CD-924AC40C84C0}"/>
    <cellStyle name="Normal 8 6 5 4" xfId="10758" xr:uid="{F3AC4E44-333D-4B2D-8AE6-1F4A3D8AB49D}"/>
    <cellStyle name="Normal 8 6 6" xfId="2656" xr:uid="{00000000-0005-0000-0000-0000581E0000}"/>
    <cellStyle name="Normal 8 6 6 2" xfId="6939" xr:uid="{00000000-0005-0000-0000-0000591E0000}"/>
    <cellStyle name="Normal 8 6 6 2 2" xfId="15389" xr:uid="{04627B5B-13C2-4714-8624-C4925E49BDBE}"/>
    <cellStyle name="Normal 8 6 6 3" xfId="11171" xr:uid="{0911BF87-330B-4137-B7DD-5CA9E9E0A98E}"/>
    <cellStyle name="Normal 8 6 7" xfId="4874" xr:uid="{00000000-0005-0000-0000-00005A1E0000}"/>
    <cellStyle name="Normal 8 6 7 2" xfId="13324" xr:uid="{EA2143BF-4400-47DD-9C5C-E90C5D0929C1}"/>
    <cellStyle name="Normal 8 6 8" xfId="9106" xr:uid="{521D79EC-93D9-4C56-9E81-00E69248B65A}"/>
    <cellStyle name="Normal 8 7" xfId="945" xr:uid="{00000000-0005-0000-0000-00005B1E0000}"/>
    <cellStyle name="Normal 8 7 2" xfId="3179" xr:uid="{00000000-0005-0000-0000-00005C1E0000}"/>
    <cellStyle name="Normal 8 7 2 2" xfId="7401" xr:uid="{00000000-0005-0000-0000-00005D1E0000}"/>
    <cellStyle name="Normal 8 7 2 2 2" xfId="15851" xr:uid="{C5C1AE60-4A28-4DDF-9665-016C09CDE009}"/>
    <cellStyle name="Normal 8 7 2 3" xfId="11633" xr:uid="{437279C0-2FFA-4A6B-A418-62B375F6336D}"/>
    <cellStyle name="Normal 8 7 3" xfId="5256" xr:uid="{00000000-0005-0000-0000-00005E1E0000}"/>
    <cellStyle name="Normal 8 7 3 2" xfId="13706" xr:uid="{AB01BE72-F043-44F6-BAAB-111458BA3BC9}"/>
    <cellStyle name="Normal 8 7 4" xfId="9488" xr:uid="{233C5E8B-70FD-498B-B2AE-58A4EC4EEAB9}"/>
    <cellStyle name="Normal 8 8" xfId="1362" xr:uid="{00000000-0005-0000-0000-00005F1E0000}"/>
    <cellStyle name="Normal 8 8 2" xfId="3592" xr:uid="{00000000-0005-0000-0000-0000601E0000}"/>
    <cellStyle name="Normal 8 8 2 2" xfId="7814" xr:uid="{00000000-0005-0000-0000-0000611E0000}"/>
    <cellStyle name="Normal 8 8 2 2 2" xfId="16264" xr:uid="{1E12C04A-C911-4353-92B0-D3EBFE92DD09}"/>
    <cellStyle name="Normal 8 8 2 3" xfId="12046" xr:uid="{E4BDC859-560C-4DEE-B8FA-2B499F79550B}"/>
    <cellStyle name="Normal 8 8 3" xfId="5669" xr:uid="{00000000-0005-0000-0000-0000621E0000}"/>
    <cellStyle name="Normal 8 8 3 2" xfId="14119" xr:uid="{E70A45DB-5B4D-4FCB-A10C-60BE74BA5A76}"/>
    <cellStyle name="Normal 8 8 4" xfId="9901" xr:uid="{B7072501-0852-4628-95E6-CF1F01EBC39F}"/>
    <cellStyle name="Normal 8 9" xfId="1775" xr:uid="{00000000-0005-0000-0000-0000631E0000}"/>
    <cellStyle name="Normal 8 9 2" xfId="4005" xr:uid="{00000000-0005-0000-0000-0000641E0000}"/>
    <cellStyle name="Normal 8 9 2 2" xfId="8227" xr:uid="{00000000-0005-0000-0000-0000651E0000}"/>
    <cellStyle name="Normal 8 9 2 2 2" xfId="16677" xr:uid="{56B34FF5-0F80-4263-8F09-49A9111100D1}"/>
    <cellStyle name="Normal 8 9 2 3" xfId="12459" xr:uid="{0D1F2CD8-6BC0-4611-BA5F-1E29194521FF}"/>
    <cellStyle name="Normal 8 9 3" xfId="6082" xr:uid="{00000000-0005-0000-0000-0000661E0000}"/>
    <cellStyle name="Normal 8 9 3 2" xfId="14532" xr:uid="{5CCEFFCD-47DC-413A-ACAF-3B812B9614E8}"/>
    <cellStyle name="Normal 8 9 4" xfId="10314" xr:uid="{A6EE1F91-07BE-4970-A2E8-561E493A0BCB}"/>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9DFF7405-2DEC-4CB0-A6CB-9C9C559FDCE8}"/>
    <cellStyle name="Normal 9 2 10 3" xfId="11172" xr:uid="{C560FFA4-E0DF-4B2E-8518-DB194902734C}"/>
    <cellStyle name="Normal 9 2 11" xfId="4875" xr:uid="{00000000-0005-0000-0000-00006B1E0000}"/>
    <cellStyle name="Normal 9 2 11 2" xfId="13325" xr:uid="{0766CA9B-6305-42E6-B809-78D47755DA26}"/>
    <cellStyle name="Normal 9 2 12" xfId="9107" xr:uid="{2322C34D-7762-4503-AB02-E1B235A49572}"/>
    <cellStyle name="Normal 9 2 2" xfId="512" xr:uid="{00000000-0005-0000-0000-00006C1E0000}"/>
    <cellStyle name="Normal 9 2 2 10" xfId="4876" xr:uid="{00000000-0005-0000-0000-00006D1E0000}"/>
    <cellStyle name="Normal 9 2 2 10 2" xfId="13326" xr:uid="{8B05F6FA-1B6A-4EE1-9D8F-F45CF8D816D8}"/>
    <cellStyle name="Normal 9 2 2 11" xfId="9108" xr:uid="{A5A9C9D8-FFA0-4A2B-ACCE-A3FDB2D0A870}"/>
    <cellStyle name="Normal 9 2 2 2" xfId="513" xr:uid="{00000000-0005-0000-0000-00006E1E0000}"/>
    <cellStyle name="Normal 9 2 2 2 10" xfId="9109" xr:uid="{A7C7BE59-0281-44D1-B00E-EBF1BEC30D15}"/>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141CE0E4-EA3F-4D4C-9C14-8FFA0931966A}"/>
    <cellStyle name="Normal 9 2 2 2 2 2 2 2 3" xfId="11669" xr:uid="{C2255573-F282-4D5C-8312-6DAEEED6BFE0}"/>
    <cellStyle name="Normal 9 2 2 2 2 2 2 3" xfId="5292" xr:uid="{00000000-0005-0000-0000-0000741E0000}"/>
    <cellStyle name="Normal 9 2 2 2 2 2 2 3 2" xfId="13742" xr:uid="{5F90B539-C920-4AC8-82DF-2C943241F016}"/>
    <cellStyle name="Normal 9 2 2 2 2 2 2 4" xfId="9524" xr:uid="{D029251E-DDFF-4395-8C70-2A789B9F89CA}"/>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0EB1482-D161-45C8-9826-407F5F627572}"/>
    <cellStyle name="Normal 9 2 2 2 2 2 3 2 3" xfId="12082" xr:uid="{39DD6C6C-12E8-4593-A41D-F23AECF0DE9A}"/>
    <cellStyle name="Normal 9 2 2 2 2 2 3 3" xfId="5705" xr:uid="{00000000-0005-0000-0000-0000781E0000}"/>
    <cellStyle name="Normal 9 2 2 2 2 2 3 3 2" xfId="14155" xr:uid="{2435BC4F-FE53-4825-9E46-57E3631C24FF}"/>
    <cellStyle name="Normal 9 2 2 2 2 2 3 4" xfId="9937" xr:uid="{29BC5CAC-4B18-4EE8-9D3F-0D991952ECC4}"/>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B07C02C1-D003-4C71-9885-C7551F2BC68C}"/>
    <cellStyle name="Normal 9 2 2 2 2 2 4 2 3" xfId="12495" xr:uid="{50DE6BC2-3916-4DEF-9FDA-28FD33750C9C}"/>
    <cellStyle name="Normal 9 2 2 2 2 2 4 3" xfId="6118" xr:uid="{00000000-0005-0000-0000-00007C1E0000}"/>
    <cellStyle name="Normal 9 2 2 2 2 2 4 3 2" xfId="14568" xr:uid="{66810EE9-0267-46D0-A4CA-CD5699D5AB4E}"/>
    <cellStyle name="Normal 9 2 2 2 2 2 4 4" xfId="10350" xr:uid="{18C01BF7-CAE9-4072-896B-3752A72FAF0C}"/>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7F4F1875-5FE7-4734-A881-12523BEE7FBC}"/>
    <cellStyle name="Normal 9 2 2 2 2 2 5 2 3" xfId="12908" xr:uid="{5307F4F0-784A-47C8-AC57-670AA0C857CD}"/>
    <cellStyle name="Normal 9 2 2 2 2 2 5 3" xfId="6531" xr:uid="{00000000-0005-0000-0000-0000801E0000}"/>
    <cellStyle name="Normal 9 2 2 2 2 2 5 3 2" xfId="14981" xr:uid="{C019DB3A-7D6A-45DF-8820-9BA8188A848A}"/>
    <cellStyle name="Normal 9 2 2 2 2 2 5 4" xfId="10763" xr:uid="{295475FF-23A4-4DF6-8461-FC1271EB8392}"/>
    <cellStyle name="Normal 9 2 2 2 2 2 6" xfId="2661" xr:uid="{00000000-0005-0000-0000-0000811E0000}"/>
    <cellStyle name="Normal 9 2 2 2 2 2 6 2" xfId="6944" xr:uid="{00000000-0005-0000-0000-0000821E0000}"/>
    <cellStyle name="Normal 9 2 2 2 2 2 6 2 2" xfId="15394" xr:uid="{1EE140CF-039D-4AD3-A181-F10BC105A444}"/>
    <cellStyle name="Normal 9 2 2 2 2 2 6 3" xfId="11176" xr:uid="{D9169ED9-8A27-403B-9337-D5956BC9BB77}"/>
    <cellStyle name="Normal 9 2 2 2 2 2 7" xfId="4879" xr:uid="{00000000-0005-0000-0000-0000831E0000}"/>
    <cellStyle name="Normal 9 2 2 2 2 2 7 2" xfId="13329" xr:uid="{4F930024-BEF7-474A-9FF1-9255DEA55ABE}"/>
    <cellStyle name="Normal 9 2 2 2 2 2 8" xfId="9111" xr:uid="{95E36A01-1C07-49F1-9A8D-67E06C20225C}"/>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14B2F309-12BE-4695-9BAD-86004C739426}"/>
    <cellStyle name="Normal 9 2 2 2 2 3 2 3" xfId="11668" xr:uid="{67B4CB23-E8E3-4CB1-A157-C8476BB21690}"/>
    <cellStyle name="Normal 9 2 2 2 2 3 3" xfId="5291" xr:uid="{00000000-0005-0000-0000-0000871E0000}"/>
    <cellStyle name="Normal 9 2 2 2 2 3 3 2" xfId="13741" xr:uid="{EC85D8BF-1CB9-47D8-B51E-672475989C90}"/>
    <cellStyle name="Normal 9 2 2 2 2 3 4" xfId="9523" xr:uid="{EB8249F1-3484-4554-8E72-F6B3391C0CF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15E88664-900C-4DEB-BF01-EBF08391992B}"/>
    <cellStyle name="Normal 9 2 2 2 2 4 2 3" xfId="12081" xr:uid="{4BF3EE08-F834-4977-8572-CA908D9B3F0D}"/>
    <cellStyle name="Normal 9 2 2 2 2 4 3" xfId="5704" xr:uid="{00000000-0005-0000-0000-00008B1E0000}"/>
    <cellStyle name="Normal 9 2 2 2 2 4 3 2" xfId="14154" xr:uid="{88442142-715E-4B0C-AE81-FAA7BE168317}"/>
    <cellStyle name="Normal 9 2 2 2 2 4 4" xfId="9936" xr:uid="{691D83CD-C19B-4737-B6C0-A31CA59F6486}"/>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A31F997B-A8F0-45A8-9FE9-8B7F087C885A}"/>
    <cellStyle name="Normal 9 2 2 2 2 5 2 3" xfId="12494" xr:uid="{41E5FE75-22DB-468A-ABB0-59C6B8F10865}"/>
    <cellStyle name="Normal 9 2 2 2 2 5 3" xfId="6117" xr:uid="{00000000-0005-0000-0000-00008F1E0000}"/>
    <cellStyle name="Normal 9 2 2 2 2 5 3 2" xfId="14567" xr:uid="{6CD89C1B-DA94-4FD9-AA92-49287DC3E083}"/>
    <cellStyle name="Normal 9 2 2 2 2 5 4" xfId="10349" xr:uid="{2DF7B524-B3BC-479A-B3F4-0B2E1B20E2C1}"/>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CC0D71F2-6490-4585-BCC1-E720F9008E0E}"/>
    <cellStyle name="Normal 9 2 2 2 2 6 2 3" xfId="12907" xr:uid="{2B153983-BB7B-4530-B605-54195CF79DF5}"/>
    <cellStyle name="Normal 9 2 2 2 2 6 3" xfId="6530" xr:uid="{00000000-0005-0000-0000-0000931E0000}"/>
    <cellStyle name="Normal 9 2 2 2 2 6 3 2" xfId="14980" xr:uid="{66157D08-3A6E-42B8-93EA-33173D8ABD99}"/>
    <cellStyle name="Normal 9 2 2 2 2 6 4" xfId="10762" xr:uid="{48B951ED-57BE-47BF-8AA2-A1CD93ADF3D0}"/>
    <cellStyle name="Normal 9 2 2 2 2 7" xfId="2660" xr:uid="{00000000-0005-0000-0000-0000941E0000}"/>
    <cellStyle name="Normal 9 2 2 2 2 7 2" xfId="6943" xr:uid="{00000000-0005-0000-0000-0000951E0000}"/>
    <cellStyle name="Normal 9 2 2 2 2 7 2 2" xfId="15393" xr:uid="{22779D5B-3F2C-44A2-8B60-567DB4FE6553}"/>
    <cellStyle name="Normal 9 2 2 2 2 7 3" xfId="11175" xr:uid="{239269D0-6462-4D15-BCB5-C508B82DA070}"/>
    <cellStyle name="Normal 9 2 2 2 2 8" xfId="4878" xr:uid="{00000000-0005-0000-0000-0000961E0000}"/>
    <cellStyle name="Normal 9 2 2 2 2 8 2" xfId="13328" xr:uid="{43E22C6B-C061-43B8-BF99-975FD1871A77}"/>
    <cellStyle name="Normal 9 2 2 2 2 9" xfId="9110" xr:uid="{BCF8302A-8258-458F-A669-D8BBD03F1F7C}"/>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59D7CC33-0952-4675-9C7F-227357192FC2}"/>
    <cellStyle name="Normal 9 2 2 2 3 2 2 3" xfId="11670" xr:uid="{58F9DEDF-0FB7-4E77-83F4-6DC66F0D9425}"/>
    <cellStyle name="Normal 9 2 2 2 3 2 3" xfId="5293" xr:uid="{00000000-0005-0000-0000-00009B1E0000}"/>
    <cellStyle name="Normal 9 2 2 2 3 2 3 2" xfId="13743" xr:uid="{23C11D15-6F34-475F-93D7-9C1010B7DAD6}"/>
    <cellStyle name="Normal 9 2 2 2 3 2 4" xfId="9525" xr:uid="{E0CE4D5C-5403-4E28-ACBE-249A4274F37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41216599-937A-4C9A-98B5-594E52CD8271}"/>
    <cellStyle name="Normal 9 2 2 2 3 3 2 3" xfId="12083" xr:uid="{988DAF05-88DB-41B2-A652-E4625AC9769C}"/>
    <cellStyle name="Normal 9 2 2 2 3 3 3" xfId="5706" xr:uid="{00000000-0005-0000-0000-00009F1E0000}"/>
    <cellStyle name="Normal 9 2 2 2 3 3 3 2" xfId="14156" xr:uid="{67476311-E847-4141-812A-758CE7FE1C05}"/>
    <cellStyle name="Normal 9 2 2 2 3 3 4" xfId="9938" xr:uid="{D4881D43-60F2-4AEF-A615-7D3C22CCDC3F}"/>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C6E985D1-1367-4636-9EA2-77B5F19C0706}"/>
    <cellStyle name="Normal 9 2 2 2 3 4 2 3" xfId="12496" xr:uid="{3A7E5B92-A18B-4D10-8543-BB2002D97A53}"/>
    <cellStyle name="Normal 9 2 2 2 3 4 3" xfId="6119" xr:uid="{00000000-0005-0000-0000-0000A31E0000}"/>
    <cellStyle name="Normal 9 2 2 2 3 4 3 2" xfId="14569" xr:uid="{6D785806-DF1F-4BC4-BCF5-EEBC5B6AB8F9}"/>
    <cellStyle name="Normal 9 2 2 2 3 4 4" xfId="10351" xr:uid="{8F6E3080-AC2A-4DA7-AF94-BF0F4FB067FA}"/>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A929E34D-6BF5-4A6B-A34E-7B4B3519719F}"/>
    <cellStyle name="Normal 9 2 2 2 3 5 2 3" xfId="12909" xr:uid="{77FBF302-F0F4-41CD-BA94-E93DAFBA5AED}"/>
    <cellStyle name="Normal 9 2 2 2 3 5 3" xfId="6532" xr:uid="{00000000-0005-0000-0000-0000A71E0000}"/>
    <cellStyle name="Normal 9 2 2 2 3 5 3 2" xfId="14982" xr:uid="{8764716E-F801-4895-B404-85B0A55C66AB}"/>
    <cellStyle name="Normal 9 2 2 2 3 5 4" xfId="10764" xr:uid="{8B74B9A7-B64B-41F5-AF08-C4CC844EE14E}"/>
    <cellStyle name="Normal 9 2 2 2 3 6" xfId="2662" xr:uid="{00000000-0005-0000-0000-0000A81E0000}"/>
    <cellStyle name="Normal 9 2 2 2 3 6 2" xfId="6945" xr:uid="{00000000-0005-0000-0000-0000A91E0000}"/>
    <cellStyle name="Normal 9 2 2 2 3 6 2 2" xfId="15395" xr:uid="{E884FD1B-EC5A-44C3-889F-476A792425A0}"/>
    <cellStyle name="Normal 9 2 2 2 3 6 3" xfId="11177" xr:uid="{0DAF8AA8-50FE-4933-B174-7DC5E04109B4}"/>
    <cellStyle name="Normal 9 2 2 2 3 7" xfId="4880" xr:uid="{00000000-0005-0000-0000-0000AA1E0000}"/>
    <cellStyle name="Normal 9 2 2 2 3 7 2" xfId="13330" xr:uid="{17B60330-B9C6-4680-A42C-7B7CC0CAE49E}"/>
    <cellStyle name="Normal 9 2 2 2 3 8" xfId="9112" xr:uid="{29371162-6958-4BFD-BDB0-F8E022A1529A}"/>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9AA1CC79-FE7D-49B6-BE4B-AF912803A1FC}"/>
    <cellStyle name="Normal 9 2 2 2 4 2 3" xfId="11667" xr:uid="{1BEDFE68-955E-4CBD-99AF-3B504FA7347C}"/>
    <cellStyle name="Normal 9 2 2 2 4 3" xfId="5290" xr:uid="{00000000-0005-0000-0000-0000AE1E0000}"/>
    <cellStyle name="Normal 9 2 2 2 4 3 2" xfId="13740" xr:uid="{723F823D-B71F-4140-AB7B-1D4096826504}"/>
    <cellStyle name="Normal 9 2 2 2 4 4" xfId="9522" xr:uid="{EB96C370-203F-4819-B328-30F75214AD81}"/>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B1BC99E2-3470-4CDC-ABF1-F860BF8B7D95}"/>
    <cellStyle name="Normal 9 2 2 2 5 2 3" xfId="12080" xr:uid="{1DBF3BBF-3AE0-477E-8027-E5BF96AD8997}"/>
    <cellStyle name="Normal 9 2 2 2 5 3" xfId="5703" xr:uid="{00000000-0005-0000-0000-0000B21E0000}"/>
    <cellStyle name="Normal 9 2 2 2 5 3 2" xfId="14153" xr:uid="{C7DCF8B6-3FA4-4263-B6A8-126652568C0A}"/>
    <cellStyle name="Normal 9 2 2 2 5 4" xfId="9935" xr:uid="{76795E27-EB0A-4B25-8EB2-F04986F315C6}"/>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FED30E56-B957-45BF-ADAC-E865FFBE8799}"/>
    <cellStyle name="Normal 9 2 2 2 6 2 3" xfId="12493" xr:uid="{EDF2DA1D-C603-4029-A8DB-7E17331FDC2C}"/>
    <cellStyle name="Normal 9 2 2 2 6 3" xfId="6116" xr:uid="{00000000-0005-0000-0000-0000B61E0000}"/>
    <cellStyle name="Normal 9 2 2 2 6 3 2" xfId="14566" xr:uid="{279AA95A-EDD0-4E75-8AD5-DA585B495FD2}"/>
    <cellStyle name="Normal 9 2 2 2 6 4" xfId="10348" xr:uid="{FFF8B3D5-9EB1-4C4C-8C08-E1222AE1FC8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EEE0C74E-F900-4A0A-8C04-5339984909EF}"/>
    <cellStyle name="Normal 9 2 2 2 7 2 3" xfId="12906" xr:uid="{461166D4-D316-4203-8AAB-93C27FC960F4}"/>
    <cellStyle name="Normal 9 2 2 2 7 3" xfId="6529" xr:uid="{00000000-0005-0000-0000-0000BA1E0000}"/>
    <cellStyle name="Normal 9 2 2 2 7 3 2" xfId="14979" xr:uid="{6A9AB33B-AC2F-401C-80CC-8930BE7DFF4C}"/>
    <cellStyle name="Normal 9 2 2 2 7 4" xfId="10761" xr:uid="{9DDD4CC4-F734-491D-AC9B-C09BA38DEB37}"/>
    <cellStyle name="Normal 9 2 2 2 8" xfId="2659" xr:uid="{00000000-0005-0000-0000-0000BB1E0000}"/>
    <cellStyle name="Normal 9 2 2 2 8 2" xfId="6942" xr:uid="{00000000-0005-0000-0000-0000BC1E0000}"/>
    <cellStyle name="Normal 9 2 2 2 8 2 2" xfId="15392" xr:uid="{1B92971A-EF04-436E-9305-42EBF50EB8AF}"/>
    <cellStyle name="Normal 9 2 2 2 8 3" xfId="11174" xr:uid="{042A2D79-A56D-45AB-8907-EE9AD19809BA}"/>
    <cellStyle name="Normal 9 2 2 2 9" xfId="4877" xr:uid="{00000000-0005-0000-0000-0000BD1E0000}"/>
    <cellStyle name="Normal 9 2 2 2 9 2" xfId="13327" xr:uid="{5140DD04-463A-4189-9303-F13D6131205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2511C5F0-9D06-4C8C-BBD9-774DFB72CD77}"/>
    <cellStyle name="Normal 9 2 2 3 2 2 2 3" xfId="11672" xr:uid="{A668E338-C9F7-4FD1-9282-8475E2BA7214}"/>
    <cellStyle name="Normal 9 2 2 3 2 2 3" xfId="5295" xr:uid="{00000000-0005-0000-0000-0000C31E0000}"/>
    <cellStyle name="Normal 9 2 2 3 2 2 3 2" xfId="13745" xr:uid="{8D74D8E5-DEDF-4178-B162-19959C53549F}"/>
    <cellStyle name="Normal 9 2 2 3 2 2 4" xfId="9527" xr:uid="{3D944EC8-1EB6-42BF-98CB-2BB9640999A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6A9A1075-CE30-439C-80C9-72BF5637C1A7}"/>
    <cellStyle name="Normal 9 2 2 3 2 3 2 3" xfId="12085" xr:uid="{63413665-0B17-4291-8357-9E6774FB6046}"/>
    <cellStyle name="Normal 9 2 2 3 2 3 3" xfId="5708" xr:uid="{00000000-0005-0000-0000-0000C71E0000}"/>
    <cellStyle name="Normal 9 2 2 3 2 3 3 2" xfId="14158" xr:uid="{D8F00831-E423-44F7-BE0D-3C98E9AB9048}"/>
    <cellStyle name="Normal 9 2 2 3 2 3 4" xfId="9940" xr:uid="{6465391A-E1CE-4EBE-8717-540305E63CF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480A5053-3FC7-4B58-9C11-A647DC6C8B33}"/>
    <cellStyle name="Normal 9 2 2 3 2 4 2 3" xfId="12498" xr:uid="{6216CC34-67C5-4EEF-A0DA-A31BE204830A}"/>
    <cellStyle name="Normal 9 2 2 3 2 4 3" xfId="6121" xr:uid="{00000000-0005-0000-0000-0000CB1E0000}"/>
    <cellStyle name="Normal 9 2 2 3 2 4 3 2" xfId="14571" xr:uid="{1B955B7B-0517-4C16-91D8-773098CEE997}"/>
    <cellStyle name="Normal 9 2 2 3 2 4 4" xfId="10353" xr:uid="{D45353FE-FF4E-46DC-A3E6-CAB06135D23B}"/>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4CA96E9A-876C-409A-ABA3-56AE3DFC80D9}"/>
    <cellStyle name="Normal 9 2 2 3 2 5 2 3" xfId="12911" xr:uid="{DA069CBE-8CFD-418B-8EBC-3A29D9F1E1A6}"/>
    <cellStyle name="Normal 9 2 2 3 2 5 3" xfId="6534" xr:uid="{00000000-0005-0000-0000-0000CF1E0000}"/>
    <cellStyle name="Normal 9 2 2 3 2 5 3 2" xfId="14984" xr:uid="{E6171FF8-D753-43E8-A1BD-8348DD45BB88}"/>
    <cellStyle name="Normal 9 2 2 3 2 5 4" xfId="10766" xr:uid="{6CA34A8A-5E86-4B5A-81A9-1136F0F4FE2C}"/>
    <cellStyle name="Normal 9 2 2 3 2 6" xfId="2664" xr:uid="{00000000-0005-0000-0000-0000D01E0000}"/>
    <cellStyle name="Normal 9 2 2 3 2 6 2" xfId="6947" xr:uid="{00000000-0005-0000-0000-0000D11E0000}"/>
    <cellStyle name="Normal 9 2 2 3 2 6 2 2" xfId="15397" xr:uid="{C9D97B20-608F-4363-90B4-81FD23A0B129}"/>
    <cellStyle name="Normal 9 2 2 3 2 6 3" xfId="11179" xr:uid="{AA26C75F-6834-477A-B55B-9C7FA05395A5}"/>
    <cellStyle name="Normal 9 2 2 3 2 7" xfId="4882" xr:uid="{00000000-0005-0000-0000-0000D21E0000}"/>
    <cellStyle name="Normal 9 2 2 3 2 7 2" xfId="13332" xr:uid="{E3CEB290-009B-4084-932A-F4DF26BBA185}"/>
    <cellStyle name="Normal 9 2 2 3 2 8" xfId="9114" xr:uid="{F153A292-045A-4162-97BF-1ADEACB36A6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456BF569-990A-4C29-B4D6-668498D53F28}"/>
    <cellStyle name="Normal 9 2 2 3 3 2 3" xfId="11671" xr:uid="{1970B6B0-EE07-4DE9-B31B-9CAF38D61CF1}"/>
    <cellStyle name="Normal 9 2 2 3 3 3" xfId="5294" xr:uid="{00000000-0005-0000-0000-0000D61E0000}"/>
    <cellStyle name="Normal 9 2 2 3 3 3 2" xfId="13744" xr:uid="{A7F7B01E-05E3-469D-9A97-99F02B501971}"/>
    <cellStyle name="Normal 9 2 2 3 3 4" xfId="9526" xr:uid="{585974A0-2A5E-49E8-843A-7D0F1A93C2B9}"/>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002DAA38-1BEF-4A6E-8489-6939595FD108}"/>
    <cellStyle name="Normal 9 2 2 3 4 2 3" xfId="12084" xr:uid="{B367C06D-5A62-419D-8C51-993D5573D5E0}"/>
    <cellStyle name="Normal 9 2 2 3 4 3" xfId="5707" xr:uid="{00000000-0005-0000-0000-0000DA1E0000}"/>
    <cellStyle name="Normal 9 2 2 3 4 3 2" xfId="14157" xr:uid="{A16EA705-B42F-4D0E-A6A3-964B00DE1806}"/>
    <cellStyle name="Normal 9 2 2 3 4 4" xfId="9939" xr:uid="{0DCAAB46-49C8-489B-B7D2-C0AC2C8B61F2}"/>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9E0ABF0-0CBB-4283-BFA6-0F49A5D72BEB}"/>
    <cellStyle name="Normal 9 2 2 3 5 2 3" xfId="12497" xr:uid="{6F0C9DDF-3DB9-4E56-BC8B-B48CB91C7ADE}"/>
    <cellStyle name="Normal 9 2 2 3 5 3" xfId="6120" xr:uid="{00000000-0005-0000-0000-0000DE1E0000}"/>
    <cellStyle name="Normal 9 2 2 3 5 3 2" xfId="14570" xr:uid="{7B5CAE4C-D877-46D5-AB8E-CBEDCEA25293}"/>
    <cellStyle name="Normal 9 2 2 3 5 4" xfId="10352" xr:uid="{D7B2D3BC-F3F5-45EA-A425-7AE672B291F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34E9FD2A-73A9-43AC-8361-2EFF4069DA3B}"/>
    <cellStyle name="Normal 9 2 2 3 6 2 3" xfId="12910" xr:uid="{9FBCBD67-E3F9-4DA0-874A-8CF4FB90632D}"/>
    <cellStyle name="Normal 9 2 2 3 6 3" xfId="6533" xr:uid="{00000000-0005-0000-0000-0000E21E0000}"/>
    <cellStyle name="Normal 9 2 2 3 6 3 2" xfId="14983" xr:uid="{BAFABF95-E13A-432D-B488-176EE7377843}"/>
    <cellStyle name="Normal 9 2 2 3 6 4" xfId="10765" xr:uid="{DD941059-4711-4ED2-AAB6-3375C7AC0257}"/>
    <cellStyle name="Normal 9 2 2 3 7" xfId="2663" xr:uid="{00000000-0005-0000-0000-0000E31E0000}"/>
    <cellStyle name="Normal 9 2 2 3 7 2" xfId="6946" xr:uid="{00000000-0005-0000-0000-0000E41E0000}"/>
    <cellStyle name="Normal 9 2 2 3 7 2 2" xfId="15396" xr:uid="{1ABC5C6D-F4D1-417F-89FC-125FF56AFBE8}"/>
    <cellStyle name="Normal 9 2 2 3 7 3" xfId="11178" xr:uid="{0AF32908-12EB-4938-AC82-A0C5E46E9440}"/>
    <cellStyle name="Normal 9 2 2 3 8" xfId="4881" xr:uid="{00000000-0005-0000-0000-0000E51E0000}"/>
    <cellStyle name="Normal 9 2 2 3 8 2" xfId="13331" xr:uid="{C56D7893-1FD9-493D-A9AE-FEDC8C12EC17}"/>
    <cellStyle name="Normal 9 2 2 3 9" xfId="9113" xr:uid="{C8A16B61-E5F8-45DC-852B-8DAA0376F18E}"/>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7217AE4B-3DFD-4D47-B57B-290D6144C025}"/>
    <cellStyle name="Normal 9 2 2 4 2 2 3" xfId="11673" xr:uid="{24399D7D-029D-4D14-86CE-E9243189B917}"/>
    <cellStyle name="Normal 9 2 2 4 2 3" xfId="5296" xr:uid="{00000000-0005-0000-0000-0000EA1E0000}"/>
    <cellStyle name="Normal 9 2 2 4 2 3 2" xfId="13746" xr:uid="{865420DD-62AB-48D2-B1A3-751C1798DA54}"/>
    <cellStyle name="Normal 9 2 2 4 2 4" xfId="9528" xr:uid="{1D1741EF-21B5-4B8A-BFDD-61DA41E32C80}"/>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081E1643-E2DF-4B9A-AD9C-0E0F3CEB3C78}"/>
    <cellStyle name="Normal 9 2 2 4 3 2 3" xfId="12086" xr:uid="{C7382265-4F8F-4D36-9048-02A643E9C337}"/>
    <cellStyle name="Normal 9 2 2 4 3 3" xfId="5709" xr:uid="{00000000-0005-0000-0000-0000EE1E0000}"/>
    <cellStyle name="Normal 9 2 2 4 3 3 2" xfId="14159" xr:uid="{AFFBD8D4-CA5F-4B13-8917-0A02C5E92C3C}"/>
    <cellStyle name="Normal 9 2 2 4 3 4" xfId="9941" xr:uid="{D30C998C-76F4-4D2A-95FE-887F8C69025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6B7D6E27-5969-4D0B-B5C0-2FBFC88D8303}"/>
    <cellStyle name="Normal 9 2 2 4 4 2 3" xfId="12499" xr:uid="{9DC47AE2-166F-4304-8006-1CD274195465}"/>
    <cellStyle name="Normal 9 2 2 4 4 3" xfId="6122" xr:uid="{00000000-0005-0000-0000-0000F21E0000}"/>
    <cellStyle name="Normal 9 2 2 4 4 3 2" xfId="14572" xr:uid="{697D691F-20DD-4B37-8F88-212B6606B40B}"/>
    <cellStyle name="Normal 9 2 2 4 4 4" xfId="10354" xr:uid="{05FCA368-9AB7-4FE0-929F-697C8079ADA9}"/>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A1D8578D-0C20-43AB-8FC2-E66C074AC006}"/>
    <cellStyle name="Normal 9 2 2 4 5 2 3" xfId="12912" xr:uid="{08FAFD4F-0A92-4709-A3FC-6E33BC4C3979}"/>
    <cellStyle name="Normal 9 2 2 4 5 3" xfId="6535" xr:uid="{00000000-0005-0000-0000-0000F61E0000}"/>
    <cellStyle name="Normal 9 2 2 4 5 3 2" xfId="14985" xr:uid="{8AA55EEC-605D-4391-AD71-40DA4BF42280}"/>
    <cellStyle name="Normal 9 2 2 4 5 4" xfId="10767" xr:uid="{0514633D-A4D3-4419-8ABB-4346803BA281}"/>
    <cellStyle name="Normal 9 2 2 4 6" xfId="2665" xr:uid="{00000000-0005-0000-0000-0000F71E0000}"/>
    <cellStyle name="Normal 9 2 2 4 6 2" xfId="6948" xr:uid="{00000000-0005-0000-0000-0000F81E0000}"/>
    <cellStyle name="Normal 9 2 2 4 6 2 2" xfId="15398" xr:uid="{DBFAD299-CE58-4C16-A847-9AD800D08024}"/>
    <cellStyle name="Normal 9 2 2 4 6 3" xfId="11180" xr:uid="{A03312C0-7D0A-47FD-A0B1-3F3F13501DE9}"/>
    <cellStyle name="Normal 9 2 2 4 7" xfId="4883" xr:uid="{00000000-0005-0000-0000-0000F91E0000}"/>
    <cellStyle name="Normal 9 2 2 4 7 2" xfId="13333" xr:uid="{46A4124D-3342-42FF-B67A-E063AD1EF2ED}"/>
    <cellStyle name="Normal 9 2 2 4 8" xfId="9115" xr:uid="{825A4D75-80C7-4B13-84D0-F1BDF9DC56E3}"/>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9C454BCF-30B1-4BA5-9AEF-F0C42F550DD5}"/>
    <cellStyle name="Normal 9 2 2 5 2 3" xfId="11666" xr:uid="{C5297D05-F2C6-4BEA-8F58-002B4BBE5013}"/>
    <cellStyle name="Normal 9 2 2 5 3" xfId="5289" xr:uid="{00000000-0005-0000-0000-0000FD1E0000}"/>
    <cellStyle name="Normal 9 2 2 5 3 2" xfId="13739" xr:uid="{6316EF7C-E790-4ACA-8FA5-9F4C57F6B609}"/>
    <cellStyle name="Normal 9 2 2 5 4" xfId="9521" xr:uid="{8C92F9F8-9359-44F0-B693-53A8FFE98F12}"/>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D2D7D258-07A6-404E-AB49-13DFA6E1855A}"/>
    <cellStyle name="Normal 9 2 2 6 2 3" xfId="12079" xr:uid="{CFC73A22-D87A-4C39-B123-C72E36D9D57A}"/>
    <cellStyle name="Normal 9 2 2 6 3" xfId="5702" xr:uid="{00000000-0005-0000-0000-0000011F0000}"/>
    <cellStyle name="Normal 9 2 2 6 3 2" xfId="14152" xr:uid="{E411BE7B-980F-4BA3-8818-1B48A8FEB9D8}"/>
    <cellStyle name="Normal 9 2 2 6 4" xfId="9934" xr:uid="{5069148F-F7DE-4227-ABFF-1D558E6155F9}"/>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FFCDBD35-ED3D-476F-BDA2-5E970B71654F}"/>
    <cellStyle name="Normal 9 2 2 7 2 3" xfId="12492" xr:uid="{3A783088-587F-4233-9F5C-60E05F39DD62}"/>
    <cellStyle name="Normal 9 2 2 7 3" xfId="6115" xr:uid="{00000000-0005-0000-0000-0000051F0000}"/>
    <cellStyle name="Normal 9 2 2 7 3 2" xfId="14565" xr:uid="{F8434DEB-E969-42CA-807C-B176965B6E78}"/>
    <cellStyle name="Normal 9 2 2 7 4" xfId="10347" xr:uid="{45449DEB-7BD9-41F6-9398-98FE8D98B0C0}"/>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408AC04D-D742-4F90-878F-CCF735DBC2A4}"/>
    <cellStyle name="Normal 9 2 2 8 2 3" xfId="12905" xr:uid="{08075129-F67E-4A4D-AD88-5F194827BE06}"/>
    <cellStyle name="Normal 9 2 2 8 3" xfId="6528" xr:uid="{00000000-0005-0000-0000-0000091F0000}"/>
    <cellStyle name="Normal 9 2 2 8 3 2" xfId="14978" xr:uid="{8CE0A72A-7A01-453F-B2A5-D315985DC47F}"/>
    <cellStyle name="Normal 9 2 2 8 4" xfId="10760" xr:uid="{D46B2C65-1DD0-44DD-9396-FD5B5F944380}"/>
    <cellStyle name="Normal 9 2 2 9" xfId="2658" xr:uid="{00000000-0005-0000-0000-00000A1F0000}"/>
    <cellStyle name="Normal 9 2 2 9 2" xfId="6941" xr:uid="{00000000-0005-0000-0000-00000B1F0000}"/>
    <cellStyle name="Normal 9 2 2 9 2 2" xfId="15391" xr:uid="{AF8FFEFE-D865-47DC-9F97-222675EDEB40}"/>
    <cellStyle name="Normal 9 2 2 9 3" xfId="11173" xr:uid="{006AC01F-8586-407F-8079-ABFF4D28D2D7}"/>
    <cellStyle name="Normal 9 2 3" xfId="520" xr:uid="{00000000-0005-0000-0000-00000C1F0000}"/>
    <cellStyle name="Normal 9 2 3 10" xfId="9116" xr:uid="{EA54F985-D74B-4B4E-BF5A-1ACD882A7AD2}"/>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5543BBAC-9EE5-4841-9840-C48C21A06AAE}"/>
    <cellStyle name="Normal 9 2 3 2 2 2 2 3" xfId="11676" xr:uid="{0BD7778C-EDA4-4940-BD7A-AB77E4208101}"/>
    <cellStyle name="Normal 9 2 3 2 2 2 3" xfId="5299" xr:uid="{00000000-0005-0000-0000-0000121F0000}"/>
    <cellStyle name="Normal 9 2 3 2 2 2 3 2" xfId="13749" xr:uid="{E23E87A7-0263-42B7-8CE6-8815B7BD2684}"/>
    <cellStyle name="Normal 9 2 3 2 2 2 4" xfId="9531" xr:uid="{968D50D6-1AE9-49AB-AB25-130D0AE8AF16}"/>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1ED0B91E-C806-474C-928F-856F6BAEF358}"/>
    <cellStyle name="Normal 9 2 3 2 2 3 2 3" xfId="12089" xr:uid="{4769A794-B616-48F5-8054-9718147E04CD}"/>
    <cellStyle name="Normal 9 2 3 2 2 3 3" xfId="5712" xr:uid="{00000000-0005-0000-0000-0000161F0000}"/>
    <cellStyle name="Normal 9 2 3 2 2 3 3 2" xfId="14162" xr:uid="{61EEF6AD-C55B-4777-845A-5455E6D776F4}"/>
    <cellStyle name="Normal 9 2 3 2 2 3 4" xfId="9944" xr:uid="{EEE213EE-D2DD-46C7-A0F2-EFB1E809141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A6B8B522-66D9-4804-8F2C-F5054CF0E29F}"/>
    <cellStyle name="Normal 9 2 3 2 2 4 2 3" xfId="12502" xr:uid="{0D8A08FD-BC61-475A-A02D-79002F97A030}"/>
    <cellStyle name="Normal 9 2 3 2 2 4 3" xfId="6125" xr:uid="{00000000-0005-0000-0000-00001A1F0000}"/>
    <cellStyle name="Normal 9 2 3 2 2 4 3 2" xfId="14575" xr:uid="{F31DA82A-07D9-4D9C-9ECE-D8B214D4D5C5}"/>
    <cellStyle name="Normal 9 2 3 2 2 4 4" xfId="10357" xr:uid="{BF4F3D1B-E773-4F19-99EE-54EA9E463A33}"/>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333CBD79-DD0A-4036-9629-F7D2540DB7B3}"/>
    <cellStyle name="Normal 9 2 3 2 2 5 2 3" xfId="12915" xr:uid="{F9322179-EF24-42C1-83F7-BC0A08BE58DB}"/>
    <cellStyle name="Normal 9 2 3 2 2 5 3" xfId="6538" xr:uid="{00000000-0005-0000-0000-00001E1F0000}"/>
    <cellStyle name="Normal 9 2 3 2 2 5 3 2" xfId="14988" xr:uid="{81376F48-A843-4E3D-9468-53B0B7C543F3}"/>
    <cellStyle name="Normal 9 2 3 2 2 5 4" xfId="10770" xr:uid="{2F0171E2-D7EA-489F-BDAF-8F6BE28CFFC2}"/>
    <cellStyle name="Normal 9 2 3 2 2 6" xfId="2668" xr:uid="{00000000-0005-0000-0000-00001F1F0000}"/>
    <cellStyle name="Normal 9 2 3 2 2 6 2" xfId="6951" xr:uid="{00000000-0005-0000-0000-0000201F0000}"/>
    <cellStyle name="Normal 9 2 3 2 2 6 2 2" xfId="15401" xr:uid="{9CB00995-834D-432B-8EE0-2E3D0B070426}"/>
    <cellStyle name="Normal 9 2 3 2 2 6 3" xfId="11183" xr:uid="{045CBE59-7390-44A5-B4D8-6C5D87F6F3A4}"/>
    <cellStyle name="Normal 9 2 3 2 2 7" xfId="4886" xr:uid="{00000000-0005-0000-0000-0000211F0000}"/>
    <cellStyle name="Normal 9 2 3 2 2 7 2" xfId="13336" xr:uid="{7CF9F1BE-3378-4DB5-9989-EA2EA5EB086A}"/>
    <cellStyle name="Normal 9 2 3 2 2 8" xfId="9118" xr:uid="{AB455599-0E82-44FF-A9BA-427B4280E9C6}"/>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1D74C259-C18C-43F6-B1C2-3902AA292B6A}"/>
    <cellStyle name="Normal 9 2 3 2 3 2 3" xfId="11675" xr:uid="{D539F14B-E45E-4FBF-8BC2-1AF489B5C289}"/>
    <cellStyle name="Normal 9 2 3 2 3 3" xfId="5298" xr:uid="{00000000-0005-0000-0000-0000251F0000}"/>
    <cellStyle name="Normal 9 2 3 2 3 3 2" xfId="13748" xr:uid="{93AB3CDE-9A2E-45D7-A6A8-3883A98CEB75}"/>
    <cellStyle name="Normal 9 2 3 2 3 4" xfId="9530" xr:uid="{05E8C5CD-E9B0-4715-B24A-3CC2DE3FB3F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DFAC425B-313E-44CF-99DD-FD1400AD47D0}"/>
    <cellStyle name="Normal 9 2 3 2 4 2 3" xfId="12088" xr:uid="{FB7A76C4-6A53-4189-8614-5CAB1DD2082E}"/>
    <cellStyle name="Normal 9 2 3 2 4 3" xfId="5711" xr:uid="{00000000-0005-0000-0000-0000291F0000}"/>
    <cellStyle name="Normal 9 2 3 2 4 3 2" xfId="14161" xr:uid="{63B90AA9-2BEA-48E8-9F8C-DFC2A53FC897}"/>
    <cellStyle name="Normal 9 2 3 2 4 4" xfId="9943" xr:uid="{FBD7090D-32F4-45BA-8387-14D35838B9E9}"/>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A0D12438-09DF-401F-AEB0-2ECFF1DC09D9}"/>
    <cellStyle name="Normal 9 2 3 2 5 2 3" xfId="12501" xr:uid="{C01E43DD-73B2-4D5E-94A1-46DDAB9982DC}"/>
    <cellStyle name="Normal 9 2 3 2 5 3" xfId="6124" xr:uid="{00000000-0005-0000-0000-00002D1F0000}"/>
    <cellStyle name="Normal 9 2 3 2 5 3 2" xfId="14574" xr:uid="{97402B6D-AB04-4F99-9261-AD6F8909DFDA}"/>
    <cellStyle name="Normal 9 2 3 2 5 4" xfId="10356" xr:uid="{E34E6F3E-3199-4E75-A9FF-913D1A8401E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4AEC4E60-C640-420B-96F9-BF11DC23D301}"/>
    <cellStyle name="Normal 9 2 3 2 6 2 3" xfId="12914" xr:uid="{D516BCE4-4CAE-4388-822F-D043012EF603}"/>
    <cellStyle name="Normal 9 2 3 2 6 3" xfId="6537" xr:uid="{00000000-0005-0000-0000-0000311F0000}"/>
    <cellStyle name="Normal 9 2 3 2 6 3 2" xfId="14987" xr:uid="{23689ADA-329D-4AB6-9EA1-4B45D9FD19F5}"/>
    <cellStyle name="Normal 9 2 3 2 6 4" xfId="10769" xr:uid="{369598F1-9D8C-4598-AD97-DD51E5A98FCD}"/>
    <cellStyle name="Normal 9 2 3 2 7" xfId="2667" xr:uid="{00000000-0005-0000-0000-0000321F0000}"/>
    <cellStyle name="Normal 9 2 3 2 7 2" xfId="6950" xr:uid="{00000000-0005-0000-0000-0000331F0000}"/>
    <cellStyle name="Normal 9 2 3 2 7 2 2" xfId="15400" xr:uid="{D1649FBF-AFD2-455E-BECA-2875056B62FE}"/>
    <cellStyle name="Normal 9 2 3 2 7 3" xfId="11182" xr:uid="{8C375ED2-F373-432D-9BE2-5290ECFEBA9C}"/>
    <cellStyle name="Normal 9 2 3 2 8" xfId="4885" xr:uid="{00000000-0005-0000-0000-0000341F0000}"/>
    <cellStyle name="Normal 9 2 3 2 8 2" xfId="13335" xr:uid="{E477B40B-BAA1-49B2-AC2D-A121F34ABD81}"/>
    <cellStyle name="Normal 9 2 3 2 9" xfId="9117" xr:uid="{305D1433-B5D0-4470-8B82-546C210D0EF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30FB804C-CD1D-4AB1-8FC6-CBDB9500C246}"/>
    <cellStyle name="Normal 9 2 3 3 2 2 3" xfId="11677" xr:uid="{CA92D6CD-7C04-41B2-9100-E979D77F9176}"/>
    <cellStyle name="Normal 9 2 3 3 2 3" xfId="5300" xr:uid="{00000000-0005-0000-0000-0000391F0000}"/>
    <cellStyle name="Normal 9 2 3 3 2 3 2" xfId="13750" xr:uid="{FC10DB84-4E53-4619-95CB-E7258882DC76}"/>
    <cellStyle name="Normal 9 2 3 3 2 4" xfId="9532" xr:uid="{E074E2AC-6888-4541-9A53-929E58DE171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10D06931-C22D-4D84-8AD3-29200926277B}"/>
    <cellStyle name="Normal 9 2 3 3 3 2 3" xfId="12090" xr:uid="{25BCA89E-E532-49D4-BC45-A177C38AF1E0}"/>
    <cellStyle name="Normal 9 2 3 3 3 3" xfId="5713" xr:uid="{00000000-0005-0000-0000-00003D1F0000}"/>
    <cellStyle name="Normal 9 2 3 3 3 3 2" xfId="14163" xr:uid="{8E011ADE-B0AE-402A-B659-6506B895FE09}"/>
    <cellStyle name="Normal 9 2 3 3 3 4" xfId="9945" xr:uid="{4FFBEDFC-3A7A-42E3-9EC4-35288615426A}"/>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9A97E936-8645-4194-8A06-D982292CFB92}"/>
    <cellStyle name="Normal 9 2 3 3 4 2 3" xfId="12503" xr:uid="{55B50E71-6CA6-4F20-97B1-CF4F7714EF5F}"/>
    <cellStyle name="Normal 9 2 3 3 4 3" xfId="6126" xr:uid="{00000000-0005-0000-0000-0000411F0000}"/>
    <cellStyle name="Normal 9 2 3 3 4 3 2" xfId="14576" xr:uid="{9BCEBE47-0CE2-4AD9-82A2-65752E25DE6E}"/>
    <cellStyle name="Normal 9 2 3 3 4 4" xfId="10358" xr:uid="{0FEFE2DC-98DD-4864-8F7B-4F50DA6C3E6E}"/>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4877869C-16C3-403E-9115-8F4280D586F7}"/>
    <cellStyle name="Normal 9 2 3 3 5 2 3" xfId="12916" xr:uid="{0F0AF9AD-0406-4A2C-A1CF-AF20AF1182D6}"/>
    <cellStyle name="Normal 9 2 3 3 5 3" xfId="6539" xr:uid="{00000000-0005-0000-0000-0000451F0000}"/>
    <cellStyle name="Normal 9 2 3 3 5 3 2" xfId="14989" xr:uid="{B746E8F2-E37F-43FB-8412-BDFB3A081DB2}"/>
    <cellStyle name="Normal 9 2 3 3 5 4" xfId="10771" xr:uid="{BA54E00A-18CE-4BE5-ACD0-6C8D1A041CEE}"/>
    <cellStyle name="Normal 9 2 3 3 6" xfId="2669" xr:uid="{00000000-0005-0000-0000-0000461F0000}"/>
    <cellStyle name="Normal 9 2 3 3 6 2" xfId="6952" xr:uid="{00000000-0005-0000-0000-0000471F0000}"/>
    <cellStyle name="Normal 9 2 3 3 6 2 2" xfId="15402" xr:uid="{8C5526C3-7015-424D-9950-4876C9630F53}"/>
    <cellStyle name="Normal 9 2 3 3 6 3" xfId="11184" xr:uid="{F4717B22-9210-4D35-B1F3-B06637DB6FBD}"/>
    <cellStyle name="Normal 9 2 3 3 7" xfId="4887" xr:uid="{00000000-0005-0000-0000-0000481F0000}"/>
    <cellStyle name="Normal 9 2 3 3 7 2" xfId="13337" xr:uid="{40899773-4B5B-4433-9F51-008C75D93F5E}"/>
    <cellStyle name="Normal 9 2 3 3 8" xfId="9119" xr:uid="{97598F3A-B6E7-442B-9527-2674E017083B}"/>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C6D2497-739F-4EB5-87AC-3AA4F30DD66E}"/>
    <cellStyle name="Normal 9 2 3 4 2 3" xfId="11674" xr:uid="{0FFE778A-E945-4ADC-A329-CEC386046152}"/>
    <cellStyle name="Normal 9 2 3 4 3" xfId="5297" xr:uid="{00000000-0005-0000-0000-00004C1F0000}"/>
    <cellStyle name="Normal 9 2 3 4 3 2" xfId="13747" xr:uid="{EAD177B8-C921-49CE-B741-44E2D946E70A}"/>
    <cellStyle name="Normal 9 2 3 4 4" xfId="9529" xr:uid="{BAE30468-609D-4286-91EA-624CFC44D871}"/>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CD5CCCF0-C903-462E-84A9-FC249BE9A592}"/>
    <cellStyle name="Normal 9 2 3 5 2 3" xfId="12087" xr:uid="{9C3CDAE3-F84E-41FD-97F2-0FFA95FA263C}"/>
    <cellStyle name="Normal 9 2 3 5 3" xfId="5710" xr:uid="{00000000-0005-0000-0000-0000501F0000}"/>
    <cellStyle name="Normal 9 2 3 5 3 2" xfId="14160" xr:uid="{64E00C66-70EB-4B3D-A7F6-8CDE19B7B86A}"/>
    <cellStyle name="Normal 9 2 3 5 4" xfId="9942" xr:uid="{A4DFC15E-9B13-4170-BE92-2B62DD262C70}"/>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95D3F0E5-5EFD-4B6A-8866-0E16EA2EA13D}"/>
    <cellStyle name="Normal 9 2 3 6 2 3" xfId="12500" xr:uid="{FF76172B-BFAE-4321-9DA2-99DACA08170B}"/>
    <cellStyle name="Normal 9 2 3 6 3" xfId="6123" xr:uid="{00000000-0005-0000-0000-0000541F0000}"/>
    <cellStyle name="Normal 9 2 3 6 3 2" xfId="14573" xr:uid="{8531F561-90FC-40FB-9509-47CE5DA781FA}"/>
    <cellStyle name="Normal 9 2 3 6 4" xfId="10355" xr:uid="{04A5F96C-E878-4A28-86BF-FB9FE1AD8BE1}"/>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C0481073-0221-49AF-9401-F27CFD8534A4}"/>
    <cellStyle name="Normal 9 2 3 7 2 3" xfId="12913" xr:uid="{F5C182EC-99D7-4660-A4A0-986147C1C64A}"/>
    <cellStyle name="Normal 9 2 3 7 3" xfId="6536" xr:uid="{00000000-0005-0000-0000-0000581F0000}"/>
    <cellStyle name="Normal 9 2 3 7 3 2" xfId="14986" xr:uid="{13B809F1-DCCD-41F3-AE69-5DACDABC0F5D}"/>
    <cellStyle name="Normal 9 2 3 7 4" xfId="10768" xr:uid="{0CA95800-27A6-4B99-8891-5FF26BC79EA0}"/>
    <cellStyle name="Normal 9 2 3 8" xfId="2666" xr:uid="{00000000-0005-0000-0000-0000591F0000}"/>
    <cellStyle name="Normal 9 2 3 8 2" xfId="6949" xr:uid="{00000000-0005-0000-0000-00005A1F0000}"/>
    <cellStyle name="Normal 9 2 3 8 2 2" xfId="15399" xr:uid="{894D093C-77BA-4167-BBE5-5796D33FE51B}"/>
    <cellStyle name="Normal 9 2 3 8 3" xfId="11181" xr:uid="{F3B9A67F-6105-4300-8D15-044EA651E41C}"/>
    <cellStyle name="Normal 9 2 3 9" xfId="4884" xr:uid="{00000000-0005-0000-0000-00005B1F0000}"/>
    <cellStyle name="Normal 9 2 3 9 2" xfId="13334" xr:uid="{03BAB70F-61BD-4833-9E3B-BB8743E83B83}"/>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AA83CB0F-5AFE-477F-951B-D602C81BA8CC}"/>
    <cellStyle name="Normal 9 2 4 2 2 2 3" xfId="11679" xr:uid="{2C9E371C-C6A9-481D-B79F-428D5A66FB83}"/>
    <cellStyle name="Normal 9 2 4 2 2 3" xfId="5302" xr:uid="{00000000-0005-0000-0000-0000611F0000}"/>
    <cellStyle name="Normal 9 2 4 2 2 3 2" xfId="13752" xr:uid="{2FD35548-5BB2-4019-8F9C-69A2372F3A0B}"/>
    <cellStyle name="Normal 9 2 4 2 2 4" xfId="9534" xr:uid="{1FC9D1F5-0AFF-49FD-9D99-6F09F2A30E9C}"/>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86D4D48B-266D-48A1-8D65-EF2A1097A99B}"/>
    <cellStyle name="Normal 9 2 4 2 3 2 3" xfId="12092" xr:uid="{6C0B7DA0-BEB2-4684-A6EF-6435D301E101}"/>
    <cellStyle name="Normal 9 2 4 2 3 3" xfId="5715" xr:uid="{00000000-0005-0000-0000-0000651F0000}"/>
    <cellStyle name="Normal 9 2 4 2 3 3 2" xfId="14165" xr:uid="{6BF417B8-D998-48AF-B829-B44FBCCC093E}"/>
    <cellStyle name="Normal 9 2 4 2 3 4" xfId="9947" xr:uid="{8090AD6C-EB9D-4534-B868-317C71DFA4B1}"/>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005849DF-11A0-4049-90D9-F8FF8500F87D}"/>
    <cellStyle name="Normal 9 2 4 2 4 2 3" xfId="12505" xr:uid="{45335112-FB94-42E5-89BD-73A9F02418E3}"/>
    <cellStyle name="Normal 9 2 4 2 4 3" xfId="6128" xr:uid="{00000000-0005-0000-0000-0000691F0000}"/>
    <cellStyle name="Normal 9 2 4 2 4 3 2" xfId="14578" xr:uid="{257876BB-2E90-4FB7-BE3C-9CA4F55BE9B7}"/>
    <cellStyle name="Normal 9 2 4 2 4 4" xfId="10360" xr:uid="{6C7C6B8A-3BA3-4B13-BB6E-9519BF2ED64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4FC53D66-3153-409D-97ED-00AE8937E92B}"/>
    <cellStyle name="Normal 9 2 4 2 5 2 3" xfId="12918" xr:uid="{6C5CD4DA-3402-44EA-9503-3F344E1A253F}"/>
    <cellStyle name="Normal 9 2 4 2 5 3" xfId="6541" xr:uid="{00000000-0005-0000-0000-00006D1F0000}"/>
    <cellStyle name="Normal 9 2 4 2 5 3 2" xfId="14991" xr:uid="{485CC29A-CE88-49FF-8FA0-E8873DE17740}"/>
    <cellStyle name="Normal 9 2 4 2 5 4" xfId="10773" xr:uid="{11010E31-D59A-43E9-BDB5-B5492B81C453}"/>
    <cellStyle name="Normal 9 2 4 2 6" xfId="2671" xr:uid="{00000000-0005-0000-0000-00006E1F0000}"/>
    <cellStyle name="Normal 9 2 4 2 6 2" xfId="6954" xr:uid="{00000000-0005-0000-0000-00006F1F0000}"/>
    <cellStyle name="Normal 9 2 4 2 6 2 2" xfId="15404" xr:uid="{3812FE6C-E10F-483D-8B25-0502BA11D194}"/>
    <cellStyle name="Normal 9 2 4 2 6 3" xfId="11186" xr:uid="{EACB2D7D-95DC-4DEF-AA48-7B0A3290F067}"/>
    <cellStyle name="Normal 9 2 4 2 7" xfId="4889" xr:uid="{00000000-0005-0000-0000-0000701F0000}"/>
    <cellStyle name="Normal 9 2 4 2 7 2" xfId="13339" xr:uid="{062EB56C-5517-41F3-92C3-7CC51327C549}"/>
    <cellStyle name="Normal 9 2 4 2 8" xfId="9121" xr:uid="{EBEC538B-730D-4576-8CCA-1507EFE583EC}"/>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619C34AB-A6E1-4C4E-B9E9-8C651CC1126C}"/>
    <cellStyle name="Normal 9 2 4 3 2 3" xfId="11678" xr:uid="{3B4072B5-F57F-49E1-B407-106D1FB544D7}"/>
    <cellStyle name="Normal 9 2 4 3 3" xfId="5301" xr:uid="{00000000-0005-0000-0000-0000741F0000}"/>
    <cellStyle name="Normal 9 2 4 3 3 2" xfId="13751" xr:uid="{1493CD68-5F15-45FE-81A3-6D5E35B31BF0}"/>
    <cellStyle name="Normal 9 2 4 3 4" xfId="9533" xr:uid="{65E60962-5D14-41BE-B4DD-CBBC3C261F9F}"/>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D1B67708-B264-407C-8B6B-D43429B4A338}"/>
    <cellStyle name="Normal 9 2 4 4 2 3" xfId="12091" xr:uid="{6636A887-4942-4031-9EEB-F3CD3C163072}"/>
    <cellStyle name="Normal 9 2 4 4 3" xfId="5714" xr:uid="{00000000-0005-0000-0000-0000781F0000}"/>
    <cellStyle name="Normal 9 2 4 4 3 2" xfId="14164" xr:uid="{756B014E-7A32-489B-BF96-E3A721B1189B}"/>
    <cellStyle name="Normal 9 2 4 4 4" xfId="9946" xr:uid="{E2C136A9-C792-47E1-8E66-B8CE63C949B1}"/>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F271ED91-9DBF-462A-BCCE-A3CD59F52AD9}"/>
    <cellStyle name="Normal 9 2 4 5 2 3" xfId="12504" xr:uid="{FBE3EFA3-B014-4836-9664-3F073D6338E4}"/>
    <cellStyle name="Normal 9 2 4 5 3" xfId="6127" xr:uid="{00000000-0005-0000-0000-00007C1F0000}"/>
    <cellStyle name="Normal 9 2 4 5 3 2" xfId="14577" xr:uid="{C0E3CFDF-ED74-4296-A5CE-BF00C6CDA68E}"/>
    <cellStyle name="Normal 9 2 4 5 4" xfId="10359" xr:uid="{57B1E347-F214-4E5C-9E05-30E856630031}"/>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77E10A7D-B894-4D5C-B81F-BBB730753935}"/>
    <cellStyle name="Normal 9 2 4 6 2 3" xfId="12917" xr:uid="{ECE5791F-59CF-4164-B91B-C0BFCA1BBB6A}"/>
    <cellStyle name="Normal 9 2 4 6 3" xfId="6540" xr:uid="{00000000-0005-0000-0000-0000801F0000}"/>
    <cellStyle name="Normal 9 2 4 6 3 2" xfId="14990" xr:uid="{12D3F12C-C514-49C3-BCBC-CBAAF1608761}"/>
    <cellStyle name="Normal 9 2 4 6 4" xfId="10772" xr:uid="{70D85B60-A806-48E7-B09F-A02DAFCFF803}"/>
    <cellStyle name="Normal 9 2 4 7" xfId="2670" xr:uid="{00000000-0005-0000-0000-0000811F0000}"/>
    <cellStyle name="Normal 9 2 4 7 2" xfId="6953" xr:uid="{00000000-0005-0000-0000-0000821F0000}"/>
    <cellStyle name="Normal 9 2 4 7 2 2" xfId="15403" xr:uid="{5CF95DE7-61C5-4082-A710-1939204B2667}"/>
    <cellStyle name="Normal 9 2 4 7 3" xfId="11185" xr:uid="{9C8B17E7-52B8-4B5F-9E77-1CA76CB6F925}"/>
    <cellStyle name="Normal 9 2 4 8" xfId="4888" xr:uid="{00000000-0005-0000-0000-0000831F0000}"/>
    <cellStyle name="Normal 9 2 4 8 2" xfId="13338" xr:uid="{1A28DB75-D0CA-4A83-8065-D25646879258}"/>
    <cellStyle name="Normal 9 2 4 9" xfId="9120" xr:uid="{E48B567B-5E76-4DF9-9857-2613D9D08CE4}"/>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EFC50DB6-D27F-44E5-BA74-243B829BDFC3}"/>
    <cellStyle name="Normal 9 2 5 2 2 3" xfId="11680" xr:uid="{AB5A568E-111B-4B1D-97B0-4E2DA10D1912}"/>
    <cellStyle name="Normal 9 2 5 2 3" xfId="5303" xr:uid="{00000000-0005-0000-0000-0000881F0000}"/>
    <cellStyle name="Normal 9 2 5 2 3 2" xfId="13753" xr:uid="{2B42736A-6D39-4846-B66B-BDAD0BF74617}"/>
    <cellStyle name="Normal 9 2 5 2 4" xfId="9535" xr:uid="{E9577B24-2140-4F0A-AF78-1D035FA926D8}"/>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D6E638CA-E219-4196-81D6-701E657ABE55}"/>
    <cellStyle name="Normal 9 2 5 3 2 3" xfId="12093" xr:uid="{EA11235A-43ED-4783-9CBC-144D39CC6B4A}"/>
    <cellStyle name="Normal 9 2 5 3 3" xfId="5716" xr:uid="{00000000-0005-0000-0000-00008C1F0000}"/>
    <cellStyle name="Normal 9 2 5 3 3 2" xfId="14166" xr:uid="{FB2B7259-BC12-4670-BBDF-232AD76A38D3}"/>
    <cellStyle name="Normal 9 2 5 3 4" xfId="9948" xr:uid="{DCFF92F3-CC3E-4722-A567-528BAD501C71}"/>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EAF22C3E-1BE4-4CCA-BA00-2F87E8BD45C8}"/>
    <cellStyle name="Normal 9 2 5 4 2 3" xfId="12506" xr:uid="{B96C3931-77D7-4837-89E5-CB2EE9DD662F}"/>
    <cellStyle name="Normal 9 2 5 4 3" xfId="6129" xr:uid="{00000000-0005-0000-0000-0000901F0000}"/>
    <cellStyle name="Normal 9 2 5 4 3 2" xfId="14579" xr:uid="{CDECD730-45A7-408B-B28E-A9C7D5BBD066}"/>
    <cellStyle name="Normal 9 2 5 4 4" xfId="10361" xr:uid="{81FE20E2-6A4A-41F7-95E4-61B6F1E1B7DD}"/>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B94A973C-F7FB-4B1C-BB01-E5E9B9B890ED}"/>
    <cellStyle name="Normal 9 2 5 5 2 3" xfId="12919" xr:uid="{5B6735D4-B1BD-4C57-8D95-0DDAA7A55D44}"/>
    <cellStyle name="Normal 9 2 5 5 3" xfId="6542" xr:uid="{00000000-0005-0000-0000-0000941F0000}"/>
    <cellStyle name="Normal 9 2 5 5 3 2" xfId="14992" xr:uid="{0B7FAC56-34C2-473B-B794-E3B47F45A941}"/>
    <cellStyle name="Normal 9 2 5 5 4" xfId="10774" xr:uid="{44EB6287-1B89-4C40-B473-29154CD04CC6}"/>
    <cellStyle name="Normal 9 2 5 6" xfId="2672" xr:uid="{00000000-0005-0000-0000-0000951F0000}"/>
    <cellStyle name="Normal 9 2 5 6 2" xfId="6955" xr:uid="{00000000-0005-0000-0000-0000961F0000}"/>
    <cellStyle name="Normal 9 2 5 6 2 2" xfId="15405" xr:uid="{1624F4A4-7B5C-425C-9DB0-9087A4936388}"/>
    <cellStyle name="Normal 9 2 5 6 3" xfId="11187" xr:uid="{8B6026EF-FF83-452B-8AA7-24E21617BD2C}"/>
    <cellStyle name="Normal 9 2 5 7" xfId="4890" xr:uid="{00000000-0005-0000-0000-0000971F0000}"/>
    <cellStyle name="Normal 9 2 5 7 2" xfId="13340" xr:uid="{02D714FE-AB7B-4CA4-B86B-A1F60C93243C}"/>
    <cellStyle name="Normal 9 2 5 8" xfId="9122" xr:uid="{01CD01B3-39EB-4597-AD96-E111BE97D1E9}"/>
    <cellStyle name="Normal 9 2 6" xfId="978" xr:uid="{00000000-0005-0000-0000-0000981F0000}"/>
    <cellStyle name="Normal 9 2 6 2" xfId="3211" xr:uid="{00000000-0005-0000-0000-0000991F0000}"/>
    <cellStyle name="Normal 9 2 6 2 2" xfId="7433" xr:uid="{00000000-0005-0000-0000-00009A1F0000}"/>
    <cellStyle name="Normal 9 2 6 2 2 2" xfId="15883" xr:uid="{4AE91759-580A-4499-B8F7-45008622E063}"/>
    <cellStyle name="Normal 9 2 6 2 3" xfId="11665" xr:uid="{A4D8B9D0-3098-4330-8C82-5E50A11817CF}"/>
    <cellStyle name="Normal 9 2 6 3" xfId="5288" xr:uid="{00000000-0005-0000-0000-00009B1F0000}"/>
    <cellStyle name="Normal 9 2 6 3 2" xfId="13738" xr:uid="{EBF121E1-D6BA-4D4B-A2AA-6A36B669942F}"/>
    <cellStyle name="Normal 9 2 6 4" xfId="9520" xr:uid="{8D50163D-8937-4C27-9081-A464595CD5FB}"/>
    <cellStyle name="Normal 9 2 7" xfId="1394" xr:uid="{00000000-0005-0000-0000-00009C1F0000}"/>
    <cellStyle name="Normal 9 2 7 2" xfId="3624" xr:uid="{00000000-0005-0000-0000-00009D1F0000}"/>
    <cellStyle name="Normal 9 2 7 2 2" xfId="7846" xr:uid="{00000000-0005-0000-0000-00009E1F0000}"/>
    <cellStyle name="Normal 9 2 7 2 2 2" xfId="16296" xr:uid="{C1BDBC6D-6423-4EB6-BCDD-54B27EA5DD7F}"/>
    <cellStyle name="Normal 9 2 7 2 3" xfId="12078" xr:uid="{546E5116-E0E5-463A-BFA6-1620A6294C1E}"/>
    <cellStyle name="Normal 9 2 7 3" xfId="5701" xr:uid="{00000000-0005-0000-0000-00009F1F0000}"/>
    <cellStyle name="Normal 9 2 7 3 2" xfId="14151" xr:uid="{95CABE52-AEC1-45B2-8008-80C4181665C7}"/>
    <cellStyle name="Normal 9 2 7 4" xfId="9933" xr:uid="{D4883155-6A02-4ACA-BCA5-D9532D6109AE}"/>
    <cellStyle name="Normal 9 2 8" xfId="1807" xr:uid="{00000000-0005-0000-0000-0000A01F0000}"/>
    <cellStyle name="Normal 9 2 8 2" xfId="4037" xr:uid="{00000000-0005-0000-0000-0000A11F0000}"/>
    <cellStyle name="Normal 9 2 8 2 2" xfId="8259" xr:uid="{00000000-0005-0000-0000-0000A21F0000}"/>
    <cellStyle name="Normal 9 2 8 2 2 2" xfId="16709" xr:uid="{793D76AA-BC5B-4953-9403-CB92A1BA19E2}"/>
    <cellStyle name="Normal 9 2 8 2 3" xfId="12491" xr:uid="{F17C2EB8-453C-4850-96DA-A6AD9A3EE3F2}"/>
    <cellStyle name="Normal 9 2 8 3" xfId="6114" xr:uid="{00000000-0005-0000-0000-0000A31F0000}"/>
    <cellStyle name="Normal 9 2 8 3 2" xfId="14564" xr:uid="{000B2B42-A5D0-43D0-848D-77E82603EDD6}"/>
    <cellStyle name="Normal 9 2 8 4" xfId="10346" xr:uid="{83A9B85E-709D-479A-9F45-01E3F06B28C7}"/>
    <cellStyle name="Normal 9 2 9" xfId="2221" xr:uid="{00000000-0005-0000-0000-0000A41F0000}"/>
    <cellStyle name="Normal 9 2 9 2" xfId="4450" xr:uid="{00000000-0005-0000-0000-0000A51F0000}"/>
    <cellStyle name="Normal 9 2 9 2 2" xfId="8672" xr:uid="{00000000-0005-0000-0000-0000A61F0000}"/>
    <cellStyle name="Normal 9 2 9 2 2 2" xfId="17122" xr:uid="{D3084DDA-30BB-48F5-BD09-A4CB4A289083}"/>
    <cellStyle name="Normal 9 2 9 2 3" xfId="12904" xr:uid="{5A74998B-8E23-42F0-9A88-010EC5BA7F21}"/>
    <cellStyle name="Normal 9 2 9 3" xfId="6527" xr:uid="{00000000-0005-0000-0000-0000A71F0000}"/>
    <cellStyle name="Normal 9 2 9 3 2" xfId="14977" xr:uid="{10174630-F16F-4CFE-9576-B8162B4B0959}"/>
    <cellStyle name="Normal 9 2 9 4" xfId="10759" xr:uid="{A87EAAAC-7548-4F4E-98BA-2817B639E54A}"/>
    <cellStyle name="Normal 9 3" xfId="527" xr:uid="{00000000-0005-0000-0000-0000A81F0000}"/>
    <cellStyle name="Normal 9 3 10" xfId="4891" xr:uid="{00000000-0005-0000-0000-0000A91F0000}"/>
    <cellStyle name="Normal 9 3 10 2" xfId="13341" xr:uid="{FFD22A7A-A3C5-48E4-9180-7A43AA05866C}"/>
    <cellStyle name="Normal 9 3 11" xfId="9123" xr:uid="{8E4A4EC3-97B6-4E35-B66A-BF38D85B4617}"/>
    <cellStyle name="Normal 9 3 2" xfId="528" xr:uid="{00000000-0005-0000-0000-0000AA1F0000}"/>
    <cellStyle name="Normal 9 3 2 10" xfId="9124" xr:uid="{B895269E-3FC2-49A1-936D-BAB3D00F8B36}"/>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5724569F-5C83-4122-B3A2-981BEE6C70E2}"/>
    <cellStyle name="Normal 9 3 2 2 2 2 2 3" xfId="11684" xr:uid="{EE5A1355-4CD7-40EB-BF8C-AAA856DC5569}"/>
    <cellStyle name="Normal 9 3 2 2 2 2 3" xfId="5307" xr:uid="{00000000-0005-0000-0000-0000B01F0000}"/>
    <cellStyle name="Normal 9 3 2 2 2 2 3 2" xfId="13757" xr:uid="{2AD78C47-09BE-40B5-A5E6-2741AA053EE9}"/>
    <cellStyle name="Normal 9 3 2 2 2 2 4" xfId="9539" xr:uid="{3B71493D-A9D2-4A53-A821-2B55C52E289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C89AA90B-7AB5-4BC2-B75E-E18420840125}"/>
    <cellStyle name="Normal 9 3 2 2 2 3 2 3" xfId="12097" xr:uid="{E8DD1F35-B32B-4C08-A6D9-BA4B4B4128F0}"/>
    <cellStyle name="Normal 9 3 2 2 2 3 3" xfId="5720" xr:uid="{00000000-0005-0000-0000-0000B41F0000}"/>
    <cellStyle name="Normal 9 3 2 2 2 3 3 2" xfId="14170" xr:uid="{0F1F9C6B-D4AE-4E1E-89F9-74D8238197DB}"/>
    <cellStyle name="Normal 9 3 2 2 2 3 4" xfId="9952" xr:uid="{2A6BE62B-370C-406E-A618-5225E13C52B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2A16354E-9CBC-4DFA-AD2F-106B84F8A9DC}"/>
    <cellStyle name="Normal 9 3 2 2 2 4 2 3" xfId="12510" xr:uid="{173884C1-1EDD-44E2-A793-B8590A5A4AC8}"/>
    <cellStyle name="Normal 9 3 2 2 2 4 3" xfId="6133" xr:uid="{00000000-0005-0000-0000-0000B81F0000}"/>
    <cellStyle name="Normal 9 3 2 2 2 4 3 2" xfId="14583" xr:uid="{7A363EE0-E8AA-4298-A76A-AD7FEBD638BC}"/>
    <cellStyle name="Normal 9 3 2 2 2 4 4" xfId="10365" xr:uid="{8213BEBB-7C1F-4EB7-8113-C09B5DC5EB4F}"/>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8879BA11-6C8B-4E0F-91E2-587A5EE2329F}"/>
    <cellStyle name="Normal 9 3 2 2 2 5 2 3" xfId="12923" xr:uid="{A60529C0-1BCE-4072-B0DF-725EDDF0C291}"/>
    <cellStyle name="Normal 9 3 2 2 2 5 3" xfId="6546" xr:uid="{00000000-0005-0000-0000-0000BC1F0000}"/>
    <cellStyle name="Normal 9 3 2 2 2 5 3 2" xfId="14996" xr:uid="{ACB16640-C2D6-44B3-8304-8C8C9BD0963F}"/>
    <cellStyle name="Normal 9 3 2 2 2 5 4" xfId="10778" xr:uid="{2DFD2D72-566B-4FC8-9A04-FD77980DECD7}"/>
    <cellStyle name="Normal 9 3 2 2 2 6" xfId="2676" xr:uid="{00000000-0005-0000-0000-0000BD1F0000}"/>
    <cellStyle name="Normal 9 3 2 2 2 6 2" xfId="6959" xr:uid="{00000000-0005-0000-0000-0000BE1F0000}"/>
    <cellStyle name="Normal 9 3 2 2 2 6 2 2" xfId="15409" xr:uid="{10D8B652-CDC4-4ABA-A2AC-5BED0CC932E0}"/>
    <cellStyle name="Normal 9 3 2 2 2 6 3" xfId="11191" xr:uid="{72C487BB-24BB-46D9-895D-A64044AB1A4A}"/>
    <cellStyle name="Normal 9 3 2 2 2 7" xfId="4894" xr:uid="{00000000-0005-0000-0000-0000BF1F0000}"/>
    <cellStyle name="Normal 9 3 2 2 2 7 2" xfId="13344" xr:uid="{94F27B43-34BE-482A-B40D-4CF4669CA38D}"/>
    <cellStyle name="Normal 9 3 2 2 2 8" xfId="9126" xr:uid="{A775EEAE-819B-443E-829B-456F22269397}"/>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DF949BA1-E681-404D-9171-050931AF9997}"/>
    <cellStyle name="Normal 9 3 2 2 3 2 3" xfId="11683" xr:uid="{36E9C65D-4934-4669-BCBB-1A6E846AC248}"/>
    <cellStyle name="Normal 9 3 2 2 3 3" xfId="5306" xr:uid="{00000000-0005-0000-0000-0000C31F0000}"/>
    <cellStyle name="Normal 9 3 2 2 3 3 2" xfId="13756" xr:uid="{EF656962-C870-4BCC-8AC5-D10C7A693234}"/>
    <cellStyle name="Normal 9 3 2 2 3 4" xfId="9538" xr:uid="{341A63C4-A595-4916-A179-75C48529D1B1}"/>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0455AA99-F419-4CF5-81D5-B1F1F5AC19A7}"/>
    <cellStyle name="Normal 9 3 2 2 4 2 3" xfId="12096" xr:uid="{094AD010-E7A7-4281-895A-F12093B5443A}"/>
    <cellStyle name="Normal 9 3 2 2 4 3" xfId="5719" xr:uid="{00000000-0005-0000-0000-0000C71F0000}"/>
    <cellStyle name="Normal 9 3 2 2 4 3 2" xfId="14169" xr:uid="{8511487E-A25D-430F-8E6A-E64E525FE74B}"/>
    <cellStyle name="Normal 9 3 2 2 4 4" xfId="9951" xr:uid="{D7AD08AE-64DA-441F-B21F-FBE555321198}"/>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BEDBEAE2-CE08-4A1A-9EC0-1CBDEDF54FFD}"/>
    <cellStyle name="Normal 9 3 2 2 5 2 3" xfId="12509" xr:uid="{7C34A9C8-0536-4B77-B8E7-8221B5660927}"/>
    <cellStyle name="Normal 9 3 2 2 5 3" xfId="6132" xr:uid="{00000000-0005-0000-0000-0000CB1F0000}"/>
    <cellStyle name="Normal 9 3 2 2 5 3 2" xfId="14582" xr:uid="{736C8513-EE83-460B-950F-65B2FD1390EB}"/>
    <cellStyle name="Normal 9 3 2 2 5 4" xfId="10364" xr:uid="{D32BD0A1-F104-454B-BFB8-DFAD9752E72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4B96ED17-0278-4DE1-892C-2D9681520F1F}"/>
    <cellStyle name="Normal 9 3 2 2 6 2 3" xfId="12922" xr:uid="{CABF9535-EE54-4A36-A2FC-2928238B183C}"/>
    <cellStyle name="Normal 9 3 2 2 6 3" xfId="6545" xr:uid="{00000000-0005-0000-0000-0000CF1F0000}"/>
    <cellStyle name="Normal 9 3 2 2 6 3 2" xfId="14995" xr:uid="{BE12C731-7226-4F09-A2C0-8843AAE7D46E}"/>
    <cellStyle name="Normal 9 3 2 2 6 4" xfId="10777" xr:uid="{C89DE471-240A-4979-9968-66DBFBAC4606}"/>
    <cellStyle name="Normal 9 3 2 2 7" xfId="2675" xr:uid="{00000000-0005-0000-0000-0000D01F0000}"/>
    <cellStyle name="Normal 9 3 2 2 7 2" xfId="6958" xr:uid="{00000000-0005-0000-0000-0000D11F0000}"/>
    <cellStyle name="Normal 9 3 2 2 7 2 2" xfId="15408" xr:uid="{24FF46CC-1CDD-4995-8CCF-D3A21EBD64D9}"/>
    <cellStyle name="Normal 9 3 2 2 7 3" xfId="11190" xr:uid="{46A3CC20-B847-4365-9856-84C1E8E6E548}"/>
    <cellStyle name="Normal 9 3 2 2 8" xfId="4893" xr:uid="{00000000-0005-0000-0000-0000D21F0000}"/>
    <cellStyle name="Normal 9 3 2 2 8 2" xfId="13343" xr:uid="{F34CC7F6-1C58-4EEC-81AE-E87A2E6CBAAD}"/>
    <cellStyle name="Normal 9 3 2 2 9" xfId="9125" xr:uid="{09216169-FECF-445E-ACCF-DEBE4393A16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1060CA07-FDC2-4D1B-9712-47FD550EDBE3}"/>
    <cellStyle name="Normal 9 3 2 3 2 2 3" xfId="11685" xr:uid="{F02153D5-7F32-4375-B4BA-7EA115522FEA}"/>
    <cellStyle name="Normal 9 3 2 3 2 3" xfId="5308" xr:uid="{00000000-0005-0000-0000-0000D71F0000}"/>
    <cellStyle name="Normal 9 3 2 3 2 3 2" xfId="13758" xr:uid="{257A5684-43C8-4655-A58A-C1F76602B2B7}"/>
    <cellStyle name="Normal 9 3 2 3 2 4" xfId="9540" xr:uid="{BE1F87EE-EE1E-4795-AC6A-B197A2E551E3}"/>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20252F47-4B87-4C06-9B63-92D1CAC91F75}"/>
    <cellStyle name="Normal 9 3 2 3 3 2 3" xfId="12098" xr:uid="{823FCF5D-F01E-4182-ADC8-E1EDD3918D14}"/>
    <cellStyle name="Normal 9 3 2 3 3 3" xfId="5721" xr:uid="{00000000-0005-0000-0000-0000DB1F0000}"/>
    <cellStyle name="Normal 9 3 2 3 3 3 2" xfId="14171" xr:uid="{C5A42BCE-A2BE-448A-8E7C-492BD3C6C099}"/>
    <cellStyle name="Normal 9 3 2 3 3 4" xfId="9953" xr:uid="{B88FD78D-F4A3-4568-B43D-665DB4E240EA}"/>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27A58D21-7A06-4BE7-A255-84D8C03011C4}"/>
    <cellStyle name="Normal 9 3 2 3 4 2 3" xfId="12511" xr:uid="{3D570AC3-B5A4-4EB8-9D11-6727833C9569}"/>
    <cellStyle name="Normal 9 3 2 3 4 3" xfId="6134" xr:uid="{00000000-0005-0000-0000-0000DF1F0000}"/>
    <cellStyle name="Normal 9 3 2 3 4 3 2" xfId="14584" xr:uid="{D2216E68-757E-4A51-B99A-C9CB9523328E}"/>
    <cellStyle name="Normal 9 3 2 3 4 4" xfId="10366" xr:uid="{C9153224-99CE-4AA4-8342-E6E1A29465BB}"/>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1013E579-91F6-4245-A037-F5C4B1E1E541}"/>
    <cellStyle name="Normal 9 3 2 3 5 2 3" xfId="12924" xr:uid="{2AEBADFE-29D1-4649-BEC4-A79F0AEC1AB7}"/>
    <cellStyle name="Normal 9 3 2 3 5 3" xfId="6547" xr:uid="{00000000-0005-0000-0000-0000E31F0000}"/>
    <cellStyle name="Normal 9 3 2 3 5 3 2" xfId="14997" xr:uid="{6DA918FB-DA3C-47ED-93E1-79897722925A}"/>
    <cellStyle name="Normal 9 3 2 3 5 4" xfId="10779" xr:uid="{7413CDB5-7FA1-4C19-8DD0-619A5A52BCAE}"/>
    <cellStyle name="Normal 9 3 2 3 6" xfId="2677" xr:uid="{00000000-0005-0000-0000-0000E41F0000}"/>
    <cellStyle name="Normal 9 3 2 3 6 2" xfId="6960" xr:uid="{00000000-0005-0000-0000-0000E51F0000}"/>
    <cellStyle name="Normal 9 3 2 3 6 2 2" xfId="15410" xr:uid="{19FF12F0-DEB5-45AF-8E85-503DA0C8B6EB}"/>
    <cellStyle name="Normal 9 3 2 3 6 3" xfId="11192" xr:uid="{D988FDAC-9BD0-400A-9028-ADEFD23CFE7E}"/>
    <cellStyle name="Normal 9 3 2 3 7" xfId="4895" xr:uid="{00000000-0005-0000-0000-0000E61F0000}"/>
    <cellStyle name="Normal 9 3 2 3 7 2" xfId="13345" xr:uid="{2ED06879-062D-4047-AEA3-582EAAC6C30B}"/>
    <cellStyle name="Normal 9 3 2 3 8" xfId="9127" xr:uid="{16F64B3D-6E9A-42DC-BBBC-4441D44E6EE3}"/>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D481CD18-3DD0-4A21-B74B-3157D6C42B1F}"/>
    <cellStyle name="Normal 9 3 2 4 2 3" xfId="11682" xr:uid="{18A999BD-B241-4BED-860B-3A16491F4984}"/>
    <cellStyle name="Normal 9 3 2 4 3" xfId="5305" xr:uid="{00000000-0005-0000-0000-0000EA1F0000}"/>
    <cellStyle name="Normal 9 3 2 4 3 2" xfId="13755" xr:uid="{B6D011C5-936F-45A0-920C-A725DD8F6730}"/>
    <cellStyle name="Normal 9 3 2 4 4" xfId="9537" xr:uid="{0C348B17-BDBA-4F34-A413-54251BDC5851}"/>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C15F1255-53DB-4AB3-8B0F-BB2B6292CDDC}"/>
    <cellStyle name="Normal 9 3 2 5 2 3" xfId="12095" xr:uid="{B6359934-48B5-423C-9AAB-E14BB23831A6}"/>
    <cellStyle name="Normal 9 3 2 5 3" xfId="5718" xr:uid="{00000000-0005-0000-0000-0000EE1F0000}"/>
    <cellStyle name="Normal 9 3 2 5 3 2" xfId="14168" xr:uid="{F41C9C50-FEF2-4939-832E-1B91ADE88E2C}"/>
    <cellStyle name="Normal 9 3 2 5 4" xfId="9950" xr:uid="{F653EF63-9CBA-4D4F-9133-3CF48B63AA88}"/>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9A5DB08B-5DFD-41F7-95AA-7CC639B97E0B}"/>
    <cellStyle name="Normal 9 3 2 6 2 3" xfId="12508" xr:uid="{D6811D1B-2127-4623-9B8F-41913FD2AFC6}"/>
    <cellStyle name="Normal 9 3 2 6 3" xfId="6131" xr:uid="{00000000-0005-0000-0000-0000F21F0000}"/>
    <cellStyle name="Normal 9 3 2 6 3 2" xfId="14581" xr:uid="{46655DE8-79AC-4FC0-9F6E-9E2F3835B48A}"/>
    <cellStyle name="Normal 9 3 2 6 4" xfId="10363" xr:uid="{F8E117FA-8E7B-40B3-B762-355A802A6F6C}"/>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5126F583-1130-4E5D-B308-F0569DBFC046}"/>
    <cellStyle name="Normal 9 3 2 7 2 3" xfId="12921" xr:uid="{4D70A985-0868-4DAF-929C-EFCC3DCB81CC}"/>
    <cellStyle name="Normal 9 3 2 7 3" xfId="6544" xr:uid="{00000000-0005-0000-0000-0000F61F0000}"/>
    <cellStyle name="Normal 9 3 2 7 3 2" xfId="14994" xr:uid="{D2D578A6-0F64-4CCC-B268-73FB25A06DEF}"/>
    <cellStyle name="Normal 9 3 2 7 4" xfId="10776" xr:uid="{9633AA84-E2D3-4B41-A5ED-B0231D9188F7}"/>
    <cellStyle name="Normal 9 3 2 8" xfId="2674" xr:uid="{00000000-0005-0000-0000-0000F71F0000}"/>
    <cellStyle name="Normal 9 3 2 8 2" xfId="6957" xr:uid="{00000000-0005-0000-0000-0000F81F0000}"/>
    <cellStyle name="Normal 9 3 2 8 2 2" xfId="15407" xr:uid="{31A0A3BF-ECEA-4830-86C1-87C9B01F6DFC}"/>
    <cellStyle name="Normal 9 3 2 8 3" xfId="11189" xr:uid="{582040AA-2B99-4306-A9D2-4726AEEE9B6C}"/>
    <cellStyle name="Normal 9 3 2 9" xfId="4892" xr:uid="{00000000-0005-0000-0000-0000F91F0000}"/>
    <cellStyle name="Normal 9 3 2 9 2" xfId="13342" xr:uid="{802CFCD7-1017-491E-B989-9F4B9186308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ADF93208-FCA5-4F10-8C93-133047C726C4}"/>
    <cellStyle name="Normal 9 3 3 2 2 2 3" xfId="11687" xr:uid="{9AC752B4-998C-4225-920C-184B2CF69DCC}"/>
    <cellStyle name="Normal 9 3 3 2 2 3" xfId="5310" xr:uid="{00000000-0005-0000-0000-0000FF1F0000}"/>
    <cellStyle name="Normal 9 3 3 2 2 3 2" xfId="13760" xr:uid="{20ADEB73-4A50-4D09-A102-6CF280280E1E}"/>
    <cellStyle name="Normal 9 3 3 2 2 4" xfId="9542" xr:uid="{63D89777-6B91-43AE-A17F-C01CAADE2B24}"/>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1AD0B7A4-2B8A-43C4-AC9D-8694B9F4359C}"/>
    <cellStyle name="Normal 9 3 3 2 3 2 3" xfId="12100" xr:uid="{E4783FA3-0985-4178-964D-3E29292D509E}"/>
    <cellStyle name="Normal 9 3 3 2 3 3" xfId="5723" xr:uid="{00000000-0005-0000-0000-000003200000}"/>
    <cellStyle name="Normal 9 3 3 2 3 3 2" xfId="14173" xr:uid="{C35AFF52-9440-4A62-983D-98E738C4D785}"/>
    <cellStyle name="Normal 9 3 3 2 3 4" xfId="9955" xr:uid="{A29A9ABA-5831-41ED-981F-5A4385250650}"/>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8851656E-56DB-44BA-B754-55662FA1A4B1}"/>
    <cellStyle name="Normal 9 3 3 2 4 2 3" xfId="12513" xr:uid="{939F0DBC-2B4E-45EB-A520-AAAC81735D4C}"/>
    <cellStyle name="Normal 9 3 3 2 4 3" xfId="6136" xr:uid="{00000000-0005-0000-0000-000007200000}"/>
    <cellStyle name="Normal 9 3 3 2 4 3 2" xfId="14586" xr:uid="{8289F5EA-8BA8-401C-B428-AC2CC503545E}"/>
    <cellStyle name="Normal 9 3 3 2 4 4" xfId="10368" xr:uid="{88316135-EDAF-48E7-B8F9-14BD56B7D5D9}"/>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6AD1B81A-7C4E-4B04-8755-6DCB27309238}"/>
    <cellStyle name="Normal 9 3 3 2 5 2 3" xfId="12926" xr:uid="{441C12DD-9F62-4FE2-980F-B02763A2E6B0}"/>
    <cellStyle name="Normal 9 3 3 2 5 3" xfId="6549" xr:uid="{00000000-0005-0000-0000-00000B200000}"/>
    <cellStyle name="Normal 9 3 3 2 5 3 2" xfId="14999" xr:uid="{5E022177-BAA8-4836-8958-581AA881CBFA}"/>
    <cellStyle name="Normal 9 3 3 2 5 4" xfId="10781" xr:uid="{509ED84E-3411-437D-A6CE-94E49699C09D}"/>
    <cellStyle name="Normal 9 3 3 2 6" xfId="2679" xr:uid="{00000000-0005-0000-0000-00000C200000}"/>
    <cellStyle name="Normal 9 3 3 2 6 2" xfId="6962" xr:uid="{00000000-0005-0000-0000-00000D200000}"/>
    <cellStyle name="Normal 9 3 3 2 6 2 2" xfId="15412" xr:uid="{0D755784-3B65-4A67-83DB-949AD60ADE9D}"/>
    <cellStyle name="Normal 9 3 3 2 6 3" xfId="11194" xr:uid="{2620EE18-70FF-4603-97CE-E864433230EC}"/>
    <cellStyle name="Normal 9 3 3 2 7" xfId="4897" xr:uid="{00000000-0005-0000-0000-00000E200000}"/>
    <cellStyle name="Normal 9 3 3 2 7 2" xfId="13347" xr:uid="{3F6BFC2F-5860-4354-B519-3DBEA04246E2}"/>
    <cellStyle name="Normal 9 3 3 2 8" xfId="9129" xr:uid="{F1DCC623-3E79-463C-A921-37AE47F1A343}"/>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2E4D9BAF-E46C-4D9B-BC20-F7409A5E786D}"/>
    <cellStyle name="Normal 9 3 3 3 2 3" xfId="11686" xr:uid="{F1EAE70F-950D-48F2-9381-D8FB9B3562C5}"/>
    <cellStyle name="Normal 9 3 3 3 3" xfId="5309" xr:uid="{00000000-0005-0000-0000-000012200000}"/>
    <cellStyle name="Normal 9 3 3 3 3 2" xfId="13759" xr:uid="{6EBF47E5-4FDF-4E22-81FE-2354676671FB}"/>
    <cellStyle name="Normal 9 3 3 3 4" xfId="9541" xr:uid="{FC342B64-662D-4888-9626-74EDE76AD7EE}"/>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8CEE36BC-5C20-41F8-927D-0EA28BC0F389}"/>
    <cellStyle name="Normal 9 3 3 4 2 3" xfId="12099" xr:uid="{E79B6803-3CAF-4824-AA2C-5CF532540AEB}"/>
    <cellStyle name="Normal 9 3 3 4 3" xfId="5722" xr:uid="{00000000-0005-0000-0000-000016200000}"/>
    <cellStyle name="Normal 9 3 3 4 3 2" xfId="14172" xr:uid="{B8EC88FF-9A2E-497A-99F2-126B29FB3FC9}"/>
    <cellStyle name="Normal 9 3 3 4 4" xfId="9954" xr:uid="{B0BDDC8E-6807-48A4-9BF8-6D17A79F884F}"/>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C661A948-44F1-495A-9E63-8EC2FC539DE8}"/>
    <cellStyle name="Normal 9 3 3 5 2 3" xfId="12512" xr:uid="{D1AD0500-D451-4B80-838C-810B6AC05371}"/>
    <cellStyle name="Normal 9 3 3 5 3" xfId="6135" xr:uid="{00000000-0005-0000-0000-00001A200000}"/>
    <cellStyle name="Normal 9 3 3 5 3 2" xfId="14585" xr:uid="{2DD7EA57-AFDA-4246-868A-4827F502E16F}"/>
    <cellStyle name="Normal 9 3 3 5 4" xfId="10367" xr:uid="{E58D4088-8B32-4A63-9BBC-66589A090358}"/>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866FC121-A533-4A9A-B3E0-A8B3EE10879C}"/>
    <cellStyle name="Normal 9 3 3 6 2 3" xfId="12925" xr:uid="{C1127146-AB47-4564-A45C-A221680FC594}"/>
    <cellStyle name="Normal 9 3 3 6 3" xfId="6548" xr:uid="{00000000-0005-0000-0000-00001E200000}"/>
    <cellStyle name="Normal 9 3 3 6 3 2" xfId="14998" xr:uid="{E727FF65-0E68-453B-9DE3-E528F01B2E13}"/>
    <cellStyle name="Normal 9 3 3 6 4" xfId="10780" xr:uid="{FC2710CE-BCA2-4FAC-964E-DED10293ED58}"/>
    <cellStyle name="Normal 9 3 3 7" xfId="2678" xr:uid="{00000000-0005-0000-0000-00001F200000}"/>
    <cellStyle name="Normal 9 3 3 7 2" xfId="6961" xr:uid="{00000000-0005-0000-0000-000020200000}"/>
    <cellStyle name="Normal 9 3 3 7 2 2" xfId="15411" xr:uid="{2D9207A7-248D-4CF6-ABC6-31FB486D6259}"/>
    <cellStyle name="Normal 9 3 3 7 3" xfId="11193" xr:uid="{37CC4E7A-699B-4A17-8A3B-4403F747AD93}"/>
    <cellStyle name="Normal 9 3 3 8" xfId="4896" xr:uid="{00000000-0005-0000-0000-000021200000}"/>
    <cellStyle name="Normal 9 3 3 8 2" xfId="13346" xr:uid="{FE1DB3C1-DB86-468E-83AD-C246985DD4BD}"/>
    <cellStyle name="Normal 9 3 3 9" xfId="9128" xr:uid="{42098D26-1833-49AE-BF27-3D855503D87E}"/>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3D6C104E-BF02-4310-B3A4-2533572A816E}"/>
    <cellStyle name="Normal 9 3 4 2 2 3" xfId="11688" xr:uid="{2AA8490C-B78E-426D-AA11-F398FEFC148E}"/>
    <cellStyle name="Normal 9 3 4 2 3" xfId="5311" xr:uid="{00000000-0005-0000-0000-000026200000}"/>
    <cellStyle name="Normal 9 3 4 2 3 2" xfId="13761" xr:uid="{E0B25B51-557A-4C26-8180-EC28E6F45257}"/>
    <cellStyle name="Normal 9 3 4 2 4" xfId="9543" xr:uid="{683CF17F-C367-42F2-933B-9E397F90BBC1}"/>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75CE99C9-AF37-47E3-AB1B-D5B34F85885D}"/>
    <cellStyle name="Normal 9 3 4 3 2 3" xfId="12101" xr:uid="{1160A1AF-2939-4D53-8EAC-11C734684AF3}"/>
    <cellStyle name="Normal 9 3 4 3 3" xfId="5724" xr:uid="{00000000-0005-0000-0000-00002A200000}"/>
    <cellStyle name="Normal 9 3 4 3 3 2" xfId="14174" xr:uid="{75E77890-0803-4F25-99E3-00E9C17F91B6}"/>
    <cellStyle name="Normal 9 3 4 3 4" xfId="9956" xr:uid="{BA5FE5E7-9090-4A6A-A89C-25BCB9D48DC3}"/>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E659B783-D10B-4710-B976-A08D857CE67E}"/>
    <cellStyle name="Normal 9 3 4 4 2 3" xfId="12514" xr:uid="{3852E0A3-A133-41F2-BE54-30EE511890C2}"/>
    <cellStyle name="Normal 9 3 4 4 3" xfId="6137" xr:uid="{00000000-0005-0000-0000-00002E200000}"/>
    <cellStyle name="Normal 9 3 4 4 3 2" xfId="14587" xr:uid="{80B51F72-1EF5-4AFB-905C-D7C78D021AB6}"/>
    <cellStyle name="Normal 9 3 4 4 4" xfId="10369" xr:uid="{DCC40771-193C-4CD8-BA5C-4A80FBABB3FF}"/>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1A5886CA-CAE4-473B-A599-E0BC60C7FF51}"/>
    <cellStyle name="Normal 9 3 4 5 2 3" xfId="12927" xr:uid="{39AA8B4C-5E55-418F-9F5E-8BCF9EAF8625}"/>
    <cellStyle name="Normal 9 3 4 5 3" xfId="6550" xr:uid="{00000000-0005-0000-0000-000032200000}"/>
    <cellStyle name="Normal 9 3 4 5 3 2" xfId="15000" xr:uid="{E4534B8A-3816-495D-9E7E-1E76F10611AD}"/>
    <cellStyle name="Normal 9 3 4 5 4" xfId="10782" xr:uid="{F038F010-FBFC-46D7-A7E2-3FE217A8E600}"/>
    <cellStyle name="Normal 9 3 4 6" xfId="2680" xr:uid="{00000000-0005-0000-0000-000033200000}"/>
    <cellStyle name="Normal 9 3 4 6 2" xfId="6963" xr:uid="{00000000-0005-0000-0000-000034200000}"/>
    <cellStyle name="Normal 9 3 4 6 2 2" xfId="15413" xr:uid="{44C4E9B9-A21D-4087-BB98-8511EE9BA042}"/>
    <cellStyle name="Normal 9 3 4 6 3" xfId="11195" xr:uid="{4EF98643-8452-42A7-B6F5-94386CF9EA18}"/>
    <cellStyle name="Normal 9 3 4 7" xfId="4898" xr:uid="{00000000-0005-0000-0000-000035200000}"/>
    <cellStyle name="Normal 9 3 4 7 2" xfId="13348" xr:uid="{E07CD1D4-3D74-46F9-AE7D-FC367C316E91}"/>
    <cellStyle name="Normal 9 3 4 8" xfId="9130" xr:uid="{A31F4538-8548-4F84-8AB8-F3D2B1EF56DA}"/>
    <cellStyle name="Normal 9 3 5" xfId="994" xr:uid="{00000000-0005-0000-0000-000036200000}"/>
    <cellStyle name="Normal 9 3 5 2" xfId="3227" xr:uid="{00000000-0005-0000-0000-000037200000}"/>
    <cellStyle name="Normal 9 3 5 2 2" xfId="7449" xr:uid="{00000000-0005-0000-0000-000038200000}"/>
    <cellStyle name="Normal 9 3 5 2 2 2" xfId="15899" xr:uid="{3E670FA6-2A75-44DF-8019-66E36E90383F}"/>
    <cellStyle name="Normal 9 3 5 2 3" xfId="11681" xr:uid="{4081E9F6-54EB-48A8-BC2F-CC220D6565EC}"/>
    <cellStyle name="Normal 9 3 5 3" xfId="5304" xr:uid="{00000000-0005-0000-0000-000039200000}"/>
    <cellStyle name="Normal 9 3 5 3 2" xfId="13754" xr:uid="{33EF4A3E-5109-4F33-978E-9E14336BC476}"/>
    <cellStyle name="Normal 9 3 5 4" xfId="9536" xr:uid="{01536A40-A961-48CD-B1F7-8895DAD240C9}"/>
    <cellStyle name="Normal 9 3 6" xfId="1410" xr:uid="{00000000-0005-0000-0000-00003A200000}"/>
    <cellStyle name="Normal 9 3 6 2" xfId="3640" xr:uid="{00000000-0005-0000-0000-00003B200000}"/>
    <cellStyle name="Normal 9 3 6 2 2" xfId="7862" xr:uid="{00000000-0005-0000-0000-00003C200000}"/>
    <cellStyle name="Normal 9 3 6 2 2 2" xfId="16312" xr:uid="{B4DB8802-3722-4446-BA88-E848DF0069BA}"/>
    <cellStyle name="Normal 9 3 6 2 3" xfId="12094" xr:uid="{0A42F947-477A-46AC-8BB0-FCFB297ACDC4}"/>
    <cellStyle name="Normal 9 3 6 3" xfId="5717" xr:uid="{00000000-0005-0000-0000-00003D200000}"/>
    <cellStyle name="Normal 9 3 6 3 2" xfId="14167" xr:uid="{C03667D5-C1DC-4E34-B3C2-C0D77863FA7B}"/>
    <cellStyle name="Normal 9 3 6 4" xfId="9949" xr:uid="{BAC27AAA-FF31-462D-B825-CA83687D2EF0}"/>
    <cellStyle name="Normal 9 3 7" xfId="1823" xr:uid="{00000000-0005-0000-0000-00003E200000}"/>
    <cellStyle name="Normal 9 3 7 2" xfId="4053" xr:uid="{00000000-0005-0000-0000-00003F200000}"/>
    <cellStyle name="Normal 9 3 7 2 2" xfId="8275" xr:uid="{00000000-0005-0000-0000-000040200000}"/>
    <cellStyle name="Normal 9 3 7 2 2 2" xfId="16725" xr:uid="{2C0A29C4-5961-4FC0-86D0-D88AB1664447}"/>
    <cellStyle name="Normal 9 3 7 2 3" xfId="12507" xr:uid="{ADF5C533-DE11-4AB8-B35F-2BB2EE7E7C24}"/>
    <cellStyle name="Normal 9 3 7 3" xfId="6130" xr:uid="{00000000-0005-0000-0000-000041200000}"/>
    <cellStyle name="Normal 9 3 7 3 2" xfId="14580" xr:uid="{22240E60-3B6F-4D33-B020-EDEB0C6B43C3}"/>
    <cellStyle name="Normal 9 3 7 4" xfId="10362" xr:uid="{A7EA917F-F33B-4BCE-82B4-CEBB5ED29BFF}"/>
    <cellStyle name="Normal 9 3 8" xfId="2237" xr:uid="{00000000-0005-0000-0000-000042200000}"/>
    <cellStyle name="Normal 9 3 8 2" xfId="4466" xr:uid="{00000000-0005-0000-0000-000043200000}"/>
    <cellStyle name="Normal 9 3 8 2 2" xfId="8688" xr:uid="{00000000-0005-0000-0000-000044200000}"/>
    <cellStyle name="Normal 9 3 8 2 2 2" xfId="17138" xr:uid="{DEBBCB40-B0D6-4DBC-87D2-A8D5559748B2}"/>
    <cellStyle name="Normal 9 3 8 2 3" xfId="12920" xr:uid="{F05E6704-BE15-4F01-829F-080F7976E1AD}"/>
    <cellStyle name="Normal 9 3 8 3" xfId="6543" xr:uid="{00000000-0005-0000-0000-000045200000}"/>
    <cellStyle name="Normal 9 3 8 3 2" xfId="14993" xr:uid="{702D9163-761A-4654-A8DB-7B54380253FB}"/>
    <cellStyle name="Normal 9 3 8 4" xfId="10775" xr:uid="{116C84D1-0F69-42E9-AC70-98C45149644F}"/>
    <cellStyle name="Normal 9 3 9" xfId="2673" xr:uid="{00000000-0005-0000-0000-000046200000}"/>
    <cellStyle name="Normal 9 3 9 2" xfId="6956" xr:uid="{00000000-0005-0000-0000-000047200000}"/>
    <cellStyle name="Normal 9 3 9 2 2" xfId="15406" xr:uid="{DFDFE5E1-3996-49BA-B82C-9E89C67FA351}"/>
    <cellStyle name="Normal 9 3 9 3" xfId="11188" xr:uid="{2BB1C42C-5E85-46DC-81A3-BDCC7CE492C7}"/>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F87D8BEA-B109-4C47-8253-7693E090FEEE}"/>
    <cellStyle name="Normal 9 5 2 2 2 3" xfId="11690" xr:uid="{CEE7ADCA-E3E9-4A29-9DE7-AF473CC387A3}"/>
    <cellStyle name="Normal 9 5 2 2 3" xfId="5313" xr:uid="{00000000-0005-0000-0000-00004F200000}"/>
    <cellStyle name="Normal 9 5 2 2 3 2" xfId="13763" xr:uid="{B17F0FCD-C4B2-4AF6-BE0B-23FBAA0CA93D}"/>
    <cellStyle name="Normal 9 5 2 2 4" xfId="9545" xr:uid="{A2F47B16-5D5A-4B28-BD8C-230E83D8EBD2}"/>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F0B42846-2D1D-443E-82A2-40736F6B8E33}"/>
    <cellStyle name="Normal 9 5 2 3 2 3" xfId="12103" xr:uid="{C3EB1AB2-A75A-42F9-B0E3-67F975C900A0}"/>
    <cellStyle name="Normal 9 5 2 3 3" xfId="5726" xr:uid="{00000000-0005-0000-0000-000053200000}"/>
    <cellStyle name="Normal 9 5 2 3 3 2" xfId="14176" xr:uid="{36C98BFF-F004-4DEC-A539-381FF29B5381}"/>
    <cellStyle name="Normal 9 5 2 3 4" xfId="9958" xr:uid="{09072502-AE76-475F-9764-AB7147CCDD7A}"/>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A25736A0-2A48-4D54-AF36-3E7C0F7D4A33}"/>
    <cellStyle name="Normal 9 5 2 4 2 3" xfId="12516" xr:uid="{4D01DB42-94E5-43C0-9E49-78890842DDCC}"/>
    <cellStyle name="Normal 9 5 2 4 3" xfId="6139" xr:uid="{00000000-0005-0000-0000-000057200000}"/>
    <cellStyle name="Normal 9 5 2 4 3 2" xfId="14589" xr:uid="{5C298F74-B35D-42B4-A536-EC2F28784D1F}"/>
    <cellStyle name="Normal 9 5 2 4 4" xfId="10371" xr:uid="{9AFF35E2-FC63-4598-8B46-2BA0A7C81B47}"/>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E1CD4CF7-50AD-4018-B599-E5D19611C21C}"/>
    <cellStyle name="Normal 9 5 2 5 2 3" xfId="12929" xr:uid="{36777342-FFEE-4219-9076-B52D8FD496BF}"/>
    <cellStyle name="Normal 9 5 2 5 3" xfId="6552" xr:uid="{00000000-0005-0000-0000-00005B200000}"/>
    <cellStyle name="Normal 9 5 2 5 3 2" xfId="15002" xr:uid="{9DBFF902-FDA2-47B8-901F-8EC156AF3704}"/>
    <cellStyle name="Normal 9 5 2 5 4" xfId="10784" xr:uid="{31D121DE-2982-4AF2-A8E0-1E413A101B50}"/>
    <cellStyle name="Normal 9 5 2 6" xfId="2682" xr:uid="{00000000-0005-0000-0000-00005C200000}"/>
    <cellStyle name="Normal 9 5 2 6 2" xfId="6965" xr:uid="{00000000-0005-0000-0000-00005D200000}"/>
    <cellStyle name="Normal 9 5 2 6 2 2" xfId="15415" xr:uid="{B5CEEE44-704E-467B-9512-4466CB195189}"/>
    <cellStyle name="Normal 9 5 2 6 3" xfId="11197" xr:uid="{DC6DEDBE-5775-4112-9CB8-D5446DD0BC7A}"/>
    <cellStyle name="Normal 9 5 2 7" xfId="4900" xr:uid="{00000000-0005-0000-0000-00005E200000}"/>
    <cellStyle name="Normal 9 5 2 7 2" xfId="13350" xr:uid="{40FE043F-1AA7-4061-83D6-75EA16397D3E}"/>
    <cellStyle name="Normal 9 5 2 8" xfId="9132" xr:uid="{B025EF8A-F8D9-4359-B91A-8C36C7285ECF}"/>
    <cellStyle name="Normal 9 5 3" xfId="1003" xr:uid="{00000000-0005-0000-0000-00005F200000}"/>
    <cellStyle name="Normal 9 5 3 2" xfId="3235" xr:uid="{00000000-0005-0000-0000-000060200000}"/>
    <cellStyle name="Normal 9 5 3 2 2" xfId="7457" xr:uid="{00000000-0005-0000-0000-000061200000}"/>
    <cellStyle name="Normal 9 5 3 2 2 2" xfId="15907" xr:uid="{C799A88C-13B2-42F3-A6B8-F4452BAF2462}"/>
    <cellStyle name="Normal 9 5 3 2 3" xfId="11689" xr:uid="{6C815048-FD15-45A9-AD93-32839D7F4455}"/>
    <cellStyle name="Normal 9 5 3 3" xfId="5312" xr:uid="{00000000-0005-0000-0000-000062200000}"/>
    <cellStyle name="Normal 9 5 3 3 2" xfId="13762" xr:uid="{92BE6D31-828B-4E6D-BBC1-326B8494F1F9}"/>
    <cellStyle name="Normal 9 5 3 4" xfId="9544" xr:uid="{569FBB62-3A68-4285-8819-8FA9B6CBC78E}"/>
    <cellStyle name="Normal 9 5 4" xfId="1418" xr:uid="{00000000-0005-0000-0000-000063200000}"/>
    <cellStyle name="Normal 9 5 4 2" xfId="3648" xr:uid="{00000000-0005-0000-0000-000064200000}"/>
    <cellStyle name="Normal 9 5 4 2 2" xfId="7870" xr:uid="{00000000-0005-0000-0000-000065200000}"/>
    <cellStyle name="Normal 9 5 4 2 2 2" xfId="16320" xr:uid="{B64D4F2C-B1B0-43A0-A170-C14D518CA37A}"/>
    <cellStyle name="Normal 9 5 4 2 3" xfId="12102" xr:uid="{A1317CAD-9724-480D-8E8F-35215786B0C2}"/>
    <cellStyle name="Normal 9 5 4 3" xfId="5725" xr:uid="{00000000-0005-0000-0000-000066200000}"/>
    <cellStyle name="Normal 9 5 4 3 2" xfId="14175" xr:uid="{C58A8965-3857-4C49-A465-18E3837E4394}"/>
    <cellStyle name="Normal 9 5 4 4" xfId="9957" xr:uid="{802862E3-6D5C-4BC3-92E2-628575ED98D8}"/>
    <cellStyle name="Normal 9 5 5" xfId="1831" xr:uid="{00000000-0005-0000-0000-000067200000}"/>
    <cellStyle name="Normal 9 5 5 2" xfId="4061" xr:uid="{00000000-0005-0000-0000-000068200000}"/>
    <cellStyle name="Normal 9 5 5 2 2" xfId="8283" xr:uid="{00000000-0005-0000-0000-000069200000}"/>
    <cellStyle name="Normal 9 5 5 2 2 2" xfId="16733" xr:uid="{AA2ABB10-890F-4B4D-9A8F-596DDAC602A4}"/>
    <cellStyle name="Normal 9 5 5 2 3" xfId="12515" xr:uid="{D7C6E772-4684-4824-8EC0-F3D0EC329D10}"/>
    <cellStyle name="Normal 9 5 5 3" xfId="6138" xr:uid="{00000000-0005-0000-0000-00006A200000}"/>
    <cellStyle name="Normal 9 5 5 3 2" xfId="14588" xr:uid="{7E9649F9-581D-4E60-B1CC-78D8F5A7FF7E}"/>
    <cellStyle name="Normal 9 5 5 4" xfId="10370" xr:uid="{F251AE0D-31A0-444C-A5C6-91ED772CF644}"/>
    <cellStyle name="Normal 9 5 6" xfId="2245" xr:uid="{00000000-0005-0000-0000-00006B200000}"/>
    <cellStyle name="Normal 9 5 6 2" xfId="4474" xr:uid="{00000000-0005-0000-0000-00006C200000}"/>
    <cellStyle name="Normal 9 5 6 2 2" xfId="8696" xr:uid="{00000000-0005-0000-0000-00006D200000}"/>
    <cellStyle name="Normal 9 5 6 2 2 2" xfId="17146" xr:uid="{1E207A6A-3F6C-46FF-9EC1-A91C7611287B}"/>
    <cellStyle name="Normal 9 5 6 2 3" xfId="12928" xr:uid="{166475D8-95A2-4509-8849-57F552DF4191}"/>
    <cellStyle name="Normal 9 5 6 3" xfId="6551" xr:uid="{00000000-0005-0000-0000-00006E200000}"/>
    <cellStyle name="Normal 9 5 6 3 2" xfId="15001" xr:uid="{B5568E10-FF09-4864-8A56-BB42CFD28C2D}"/>
    <cellStyle name="Normal 9 5 6 4" xfId="10783" xr:uid="{0D041BC9-A357-4378-B3D7-55C897EB0CC8}"/>
    <cellStyle name="Normal 9 5 7" xfId="2681" xr:uid="{00000000-0005-0000-0000-00006F200000}"/>
    <cellStyle name="Normal 9 5 7 2" xfId="6964" xr:uid="{00000000-0005-0000-0000-000070200000}"/>
    <cellStyle name="Normal 9 5 7 2 2" xfId="15414" xr:uid="{07AD1B9E-75F6-4F2D-88C9-BF6FE5E29B43}"/>
    <cellStyle name="Normal 9 5 7 3" xfId="11196" xr:uid="{74BF0396-DF12-4B5A-B6E6-5089EC3880F2}"/>
    <cellStyle name="Normal 9 5 8" xfId="4899" xr:uid="{00000000-0005-0000-0000-000071200000}"/>
    <cellStyle name="Normal 9 5 8 2" xfId="13349" xr:uid="{C7FC89A7-50F4-41F8-9F16-EF388BF39E5A}"/>
    <cellStyle name="Normal 9 5 9" xfId="9131" xr:uid="{B7612E1A-E118-43D2-9557-554424B7400F}"/>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0652D77D-DC7B-4FB2-8254-3470394C10F1}"/>
    <cellStyle name="Normal 9 6 2 2 3" xfId="11691" xr:uid="{AB99275F-77FD-4FF5-9D74-F699B5B73628}"/>
    <cellStyle name="Normal 9 6 2 3" xfId="5314" xr:uid="{00000000-0005-0000-0000-000076200000}"/>
    <cellStyle name="Normal 9 6 2 3 2" xfId="13764" xr:uid="{DBD70F2E-1CCE-4401-B020-3BFC54970ECF}"/>
    <cellStyle name="Normal 9 6 2 4" xfId="9546" xr:uid="{67239240-2149-4A02-BCA1-FB26F7F60D97}"/>
    <cellStyle name="Normal 9 6 3" xfId="1420" xr:uid="{00000000-0005-0000-0000-000077200000}"/>
    <cellStyle name="Normal 9 6 3 2" xfId="3650" xr:uid="{00000000-0005-0000-0000-000078200000}"/>
    <cellStyle name="Normal 9 6 3 2 2" xfId="7872" xr:uid="{00000000-0005-0000-0000-000079200000}"/>
    <cellStyle name="Normal 9 6 3 2 2 2" xfId="16322" xr:uid="{2F1B65B2-75A2-4F94-9430-FB5309743800}"/>
    <cellStyle name="Normal 9 6 3 2 3" xfId="12104" xr:uid="{E73209E5-14C5-44BB-B979-81B3521012FF}"/>
    <cellStyle name="Normal 9 6 3 3" xfId="5727" xr:uid="{00000000-0005-0000-0000-00007A200000}"/>
    <cellStyle name="Normal 9 6 3 3 2" xfId="14177" xr:uid="{92B1E918-75EB-4335-BB19-D3B5F4742CB5}"/>
    <cellStyle name="Normal 9 6 3 4" xfId="9959" xr:uid="{192612B6-51A7-4B45-BE4C-0D6BDCB3C8A3}"/>
    <cellStyle name="Normal 9 6 4" xfId="1833" xr:uid="{00000000-0005-0000-0000-00007B200000}"/>
    <cellStyle name="Normal 9 6 4 2" xfId="4063" xr:uid="{00000000-0005-0000-0000-00007C200000}"/>
    <cellStyle name="Normal 9 6 4 2 2" xfId="8285" xr:uid="{00000000-0005-0000-0000-00007D200000}"/>
    <cellStyle name="Normal 9 6 4 2 2 2" xfId="16735" xr:uid="{51442AED-D83A-4747-8CE6-7EA03D38C9E4}"/>
    <cellStyle name="Normal 9 6 4 2 3" xfId="12517" xr:uid="{3FEB418C-34F9-486A-8C3B-4CC7EF63EA80}"/>
    <cellStyle name="Normal 9 6 4 3" xfId="6140" xr:uid="{00000000-0005-0000-0000-00007E200000}"/>
    <cellStyle name="Normal 9 6 4 3 2" xfId="14590" xr:uid="{0D6263D3-3E31-437C-9D1F-63CB0FF52C6A}"/>
    <cellStyle name="Normal 9 6 4 4" xfId="10372" xr:uid="{0060EEAE-BFE2-4A74-B676-8E0976195BEC}"/>
    <cellStyle name="Normal 9 6 5" xfId="2247" xr:uid="{00000000-0005-0000-0000-00007F200000}"/>
    <cellStyle name="Normal 9 6 5 2" xfId="4476" xr:uid="{00000000-0005-0000-0000-000080200000}"/>
    <cellStyle name="Normal 9 6 5 2 2" xfId="8698" xr:uid="{00000000-0005-0000-0000-000081200000}"/>
    <cellStyle name="Normal 9 6 5 2 2 2" xfId="17148" xr:uid="{60CE1A70-B481-4092-8550-0C8737B1C175}"/>
    <cellStyle name="Normal 9 6 5 2 3" xfId="12930" xr:uid="{D93F0090-7B62-4805-B2B2-F63D489F17CE}"/>
    <cellStyle name="Normal 9 6 5 3" xfId="6553" xr:uid="{00000000-0005-0000-0000-000082200000}"/>
    <cellStyle name="Normal 9 6 5 3 2" xfId="15003" xr:uid="{DD150502-02FB-483E-8182-23BAE4F48394}"/>
    <cellStyle name="Normal 9 6 5 4" xfId="10785" xr:uid="{D6DF1EF5-8568-4885-A3CC-2E7017EE77B8}"/>
    <cellStyle name="Normal 9 6 6" xfId="2683" xr:uid="{00000000-0005-0000-0000-000083200000}"/>
    <cellStyle name="Normal 9 6 6 2" xfId="6966" xr:uid="{00000000-0005-0000-0000-000084200000}"/>
    <cellStyle name="Normal 9 6 6 2 2" xfId="15416" xr:uid="{5FB3952C-6158-424B-9EC9-ABA2B366C6BD}"/>
    <cellStyle name="Normal 9 6 6 3" xfId="11198" xr:uid="{05BADF68-C986-4DD1-8116-09561039E1B3}"/>
    <cellStyle name="Normal 9 6 7" xfId="4901" xr:uid="{00000000-0005-0000-0000-000085200000}"/>
    <cellStyle name="Normal 9 6 7 2" xfId="13351" xr:uid="{F29D91FF-BBBE-4B27-8362-D11875A99F99}"/>
    <cellStyle name="Normal 9 6 8" xfId="9133" xr:uid="{49833691-8294-4A24-87CA-74FC3BD7D68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964DF6CF-3A80-4E77-AB48-B7030E2EFDF4}"/>
    <cellStyle name="Note 2 2 10 3" xfId="11279" xr:uid="{FFD019C5-AE37-4F26-8267-5A6B3E49854E}"/>
    <cellStyle name="Note 2 2 11" xfId="4902" xr:uid="{00000000-0005-0000-0000-000094200000}"/>
    <cellStyle name="Note 2 2 11 2" xfId="13352" xr:uid="{ED037C72-F39F-4303-B1E4-F015D45671BD}"/>
    <cellStyle name="Note 2 2 12" xfId="9134" xr:uid="{2BF5EFC9-69FD-4F4C-A79D-86824D5A4126}"/>
    <cellStyle name="Note 2 2 2" xfId="546" xr:uid="{00000000-0005-0000-0000-000095200000}"/>
    <cellStyle name="Note 2 2 2 10" xfId="4903" xr:uid="{00000000-0005-0000-0000-000096200000}"/>
    <cellStyle name="Note 2 2 2 10 2" xfId="13353" xr:uid="{AF46D9B2-0F7B-444E-A305-C833982CB4CA}"/>
    <cellStyle name="Note 2 2 2 11" xfId="9135" xr:uid="{7440F71B-E7E5-4873-B18C-44B552AC67D6}"/>
    <cellStyle name="Note 2 2 2 2" xfId="547" xr:uid="{00000000-0005-0000-0000-000097200000}"/>
    <cellStyle name="Note 2 2 2 2 10" xfId="9136" xr:uid="{E35F265A-3A34-4F33-A86F-1C0B9187AE6A}"/>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5861A88E-4111-4864-B678-04B532262FDC}"/>
    <cellStyle name="Note 2 2 2 2 2 2 3" xfId="11694" xr:uid="{32124212-248D-4F39-9FC1-98731F4B1457}"/>
    <cellStyle name="Note 2 2 2 2 2 3" xfId="5317" xr:uid="{00000000-0005-0000-0000-00009B200000}"/>
    <cellStyle name="Note 2 2 2 2 2 3 2" xfId="13767" xr:uid="{20A966AA-D982-447D-93BE-824F8835B52C}"/>
    <cellStyle name="Note 2 2 2 2 2 4" xfId="9549" xr:uid="{91B57C99-2E24-4C7E-A368-61B261218449}"/>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5901C62E-2CAD-4809-BC4D-FC4300D6941C}"/>
    <cellStyle name="Note 2 2 2 2 3 2 3" xfId="12107" xr:uid="{D677B839-57B3-443E-8302-6951051AEE82}"/>
    <cellStyle name="Note 2 2 2 2 3 3" xfId="5730" xr:uid="{00000000-0005-0000-0000-00009F200000}"/>
    <cellStyle name="Note 2 2 2 2 3 3 2" xfId="14180" xr:uid="{6F46D054-A9D8-47B6-8E44-EEC3573DCEC0}"/>
    <cellStyle name="Note 2 2 2 2 3 4" xfId="9962" xr:uid="{9AB92549-7885-4A37-9932-94FC6CCDFD3A}"/>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5C6ECB15-24F1-4E9A-AB18-A993EC079EC3}"/>
    <cellStyle name="Note 2 2 2 2 4 2 3" xfId="12520" xr:uid="{BB7C6C53-2BFE-428F-819A-6C403B4382F6}"/>
    <cellStyle name="Note 2 2 2 2 4 3" xfId="6143" xr:uid="{00000000-0005-0000-0000-0000A3200000}"/>
    <cellStyle name="Note 2 2 2 2 4 3 2" xfId="14593" xr:uid="{48A3FA0B-9E99-451E-A267-6A608B51FC89}"/>
    <cellStyle name="Note 2 2 2 2 4 4" xfId="10375" xr:uid="{E26C9D85-16B1-441A-B9D7-8BA92F800D7C}"/>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0559DFBA-D69E-42AA-A028-47D69DEA77B3}"/>
    <cellStyle name="Note 2 2 2 2 5 2 3" xfId="12933" xr:uid="{07D49470-1C74-4D43-97C6-7742C6FB3652}"/>
    <cellStyle name="Note 2 2 2 2 5 3" xfId="6556" xr:uid="{00000000-0005-0000-0000-0000A7200000}"/>
    <cellStyle name="Note 2 2 2 2 5 3 2" xfId="15006" xr:uid="{8B7D3F55-8D38-44DB-8019-CD799088E386}"/>
    <cellStyle name="Note 2 2 2 2 5 4" xfId="10788" xr:uid="{EA933939-9DC6-44B4-B37A-A8305D3DE0ED}"/>
    <cellStyle name="Note 2 2 2 2 6" xfId="2686" xr:uid="{00000000-0005-0000-0000-0000A8200000}"/>
    <cellStyle name="Note 2 2 2 2 6 2" xfId="6969" xr:uid="{00000000-0005-0000-0000-0000A9200000}"/>
    <cellStyle name="Note 2 2 2 2 6 2 2" xfId="15419" xr:uid="{133DD5EB-4FAC-4F77-AB95-19CE9AD842B9}"/>
    <cellStyle name="Note 2 2 2 2 6 3" xfId="11201" xr:uid="{9A22BF65-238B-4983-934A-6FE1B97D70CD}"/>
    <cellStyle name="Note 2 2 2 2 7" xfId="2745" xr:uid="{00000000-0005-0000-0000-0000AA200000}"/>
    <cellStyle name="Note 2 2 2 2 8" xfId="2826" xr:uid="{00000000-0005-0000-0000-0000AB200000}"/>
    <cellStyle name="Note 2 2 2 2 8 2" xfId="7049" xr:uid="{00000000-0005-0000-0000-0000AC200000}"/>
    <cellStyle name="Note 2 2 2 2 8 2 2" xfId="15499" xr:uid="{5D655F6C-F46B-4251-8FDA-CE945ADB7D8B}"/>
    <cellStyle name="Note 2 2 2 2 8 3" xfId="11281" xr:uid="{EB323C40-79EA-4979-9AEA-46443D48F380}"/>
    <cellStyle name="Note 2 2 2 2 9" xfId="4904" xr:uid="{00000000-0005-0000-0000-0000AD200000}"/>
    <cellStyle name="Note 2 2 2 2 9 2" xfId="13354" xr:uid="{8EFC3EB6-01B7-4B2C-AECB-F29003F128B8}"/>
    <cellStyle name="Note 2 2 2 3" xfId="1007" xr:uid="{00000000-0005-0000-0000-0000AE200000}"/>
    <cellStyle name="Note 2 2 2 3 2" xfId="3239" xr:uid="{00000000-0005-0000-0000-0000AF200000}"/>
    <cellStyle name="Note 2 2 2 3 2 2" xfId="7461" xr:uid="{00000000-0005-0000-0000-0000B0200000}"/>
    <cellStyle name="Note 2 2 2 3 2 2 2" xfId="15911" xr:uid="{2122879A-85A4-4271-A106-319F727A8D74}"/>
    <cellStyle name="Note 2 2 2 3 2 3" xfId="11693" xr:uid="{8B38D461-DD42-47D1-BC0A-F2178FF7A76C}"/>
    <cellStyle name="Note 2 2 2 3 3" xfId="5316" xr:uid="{00000000-0005-0000-0000-0000B1200000}"/>
    <cellStyle name="Note 2 2 2 3 3 2" xfId="13766" xr:uid="{7170725A-0F10-4790-A2DA-33EAB4234AAB}"/>
    <cellStyle name="Note 2 2 2 3 4" xfId="9548" xr:uid="{A70E96C0-EEED-43AD-95B0-451534CE1C23}"/>
    <cellStyle name="Note 2 2 2 4" xfId="1422" xr:uid="{00000000-0005-0000-0000-0000B2200000}"/>
    <cellStyle name="Note 2 2 2 4 2" xfId="3652" xr:uid="{00000000-0005-0000-0000-0000B3200000}"/>
    <cellStyle name="Note 2 2 2 4 2 2" xfId="7874" xr:uid="{00000000-0005-0000-0000-0000B4200000}"/>
    <cellStyle name="Note 2 2 2 4 2 2 2" xfId="16324" xr:uid="{4269EBC1-79AA-4C09-96F4-4F8398CB7B74}"/>
    <cellStyle name="Note 2 2 2 4 2 3" xfId="12106" xr:uid="{07DD7781-240E-4FEF-8308-D9A3264EF43D}"/>
    <cellStyle name="Note 2 2 2 4 3" xfId="5729" xr:uid="{00000000-0005-0000-0000-0000B5200000}"/>
    <cellStyle name="Note 2 2 2 4 3 2" xfId="14179" xr:uid="{43D14153-491E-419F-BC58-834E1A59EF49}"/>
    <cellStyle name="Note 2 2 2 4 4" xfId="9961" xr:uid="{D3FFB964-C6A9-4999-B2AB-37DCDF8353F7}"/>
    <cellStyle name="Note 2 2 2 5" xfId="1836" xr:uid="{00000000-0005-0000-0000-0000B6200000}"/>
    <cellStyle name="Note 2 2 2 5 2" xfId="4065" xr:uid="{00000000-0005-0000-0000-0000B7200000}"/>
    <cellStyle name="Note 2 2 2 5 2 2" xfId="8287" xr:uid="{00000000-0005-0000-0000-0000B8200000}"/>
    <cellStyle name="Note 2 2 2 5 2 2 2" xfId="16737" xr:uid="{76B1550B-13DE-4564-9928-D5769D04F702}"/>
    <cellStyle name="Note 2 2 2 5 2 3" xfId="12519" xr:uid="{EB9F1148-7296-4B40-A93D-3D30CD64CBB8}"/>
    <cellStyle name="Note 2 2 2 5 3" xfId="6142" xr:uid="{00000000-0005-0000-0000-0000B9200000}"/>
    <cellStyle name="Note 2 2 2 5 3 2" xfId="14592" xr:uid="{0470A972-AEE1-4D8F-85C5-24B8E13D3400}"/>
    <cellStyle name="Note 2 2 2 5 4" xfId="10374" xr:uid="{6C9CAF35-DF79-449F-99E4-3B44D336BB42}"/>
    <cellStyle name="Note 2 2 2 6" xfId="2249" xr:uid="{00000000-0005-0000-0000-0000BA200000}"/>
    <cellStyle name="Note 2 2 2 6 2" xfId="4478" xr:uid="{00000000-0005-0000-0000-0000BB200000}"/>
    <cellStyle name="Note 2 2 2 6 2 2" xfId="8700" xr:uid="{00000000-0005-0000-0000-0000BC200000}"/>
    <cellStyle name="Note 2 2 2 6 2 2 2" xfId="17150" xr:uid="{ECAD5E9D-67C1-4CE8-BF9B-293EA34A720D}"/>
    <cellStyle name="Note 2 2 2 6 2 3" xfId="12932" xr:uid="{C10EB5D2-9B0D-408C-8AF8-9A96D14072CE}"/>
    <cellStyle name="Note 2 2 2 6 3" xfId="6555" xr:uid="{00000000-0005-0000-0000-0000BD200000}"/>
    <cellStyle name="Note 2 2 2 6 3 2" xfId="15005" xr:uid="{4518525A-0A11-48A3-8E80-BA1E03523D15}"/>
    <cellStyle name="Note 2 2 2 6 4" xfId="10787" xr:uid="{CE3C7875-EFB0-4953-A70C-043D7E38A1B0}"/>
    <cellStyle name="Note 2 2 2 7" xfId="2685" xr:uid="{00000000-0005-0000-0000-0000BE200000}"/>
    <cellStyle name="Note 2 2 2 7 2" xfId="6968" xr:uid="{00000000-0005-0000-0000-0000BF200000}"/>
    <cellStyle name="Note 2 2 2 7 2 2" xfId="15418" xr:uid="{ACB6F0EF-BA7F-4431-976A-397D302720A2}"/>
    <cellStyle name="Note 2 2 2 7 3" xfId="11200" xr:uid="{6C0F5D91-160D-467E-B217-3A62528C38A2}"/>
    <cellStyle name="Note 2 2 2 8" xfId="2744" xr:uid="{00000000-0005-0000-0000-0000C0200000}"/>
    <cellStyle name="Note 2 2 2 9" xfId="2825" xr:uid="{00000000-0005-0000-0000-0000C1200000}"/>
    <cellStyle name="Note 2 2 2 9 2" xfId="7048" xr:uid="{00000000-0005-0000-0000-0000C2200000}"/>
    <cellStyle name="Note 2 2 2 9 2 2" xfId="15498" xr:uid="{DA453971-4319-49A9-AA16-1433ADD68DAD}"/>
    <cellStyle name="Note 2 2 2 9 3" xfId="11280" xr:uid="{D4DB011E-0C33-4C75-B692-28CCDBE245B7}"/>
    <cellStyle name="Note 2 2 3" xfId="548" xr:uid="{00000000-0005-0000-0000-0000C3200000}"/>
    <cellStyle name="Note 2 2 3 10" xfId="9137" xr:uid="{9B98C906-8AA2-4E73-AE21-26783DC9D3AD}"/>
    <cellStyle name="Note 2 2 3 2" xfId="1009" xr:uid="{00000000-0005-0000-0000-0000C4200000}"/>
    <cellStyle name="Note 2 2 3 2 2" xfId="3241" xr:uid="{00000000-0005-0000-0000-0000C5200000}"/>
    <cellStyle name="Note 2 2 3 2 2 2" xfId="7463" xr:uid="{00000000-0005-0000-0000-0000C6200000}"/>
    <cellStyle name="Note 2 2 3 2 2 2 2" xfId="15913" xr:uid="{3C9E93DA-A52B-4B25-9F21-3319C731B0CB}"/>
    <cellStyle name="Note 2 2 3 2 2 3" xfId="11695" xr:uid="{2732DA21-ECD5-4134-AF51-6BC96579D4E0}"/>
    <cellStyle name="Note 2 2 3 2 3" xfId="5318" xr:uid="{00000000-0005-0000-0000-0000C7200000}"/>
    <cellStyle name="Note 2 2 3 2 3 2" xfId="13768" xr:uid="{DF30BD0E-FA01-4C02-A63A-38492777CC93}"/>
    <cellStyle name="Note 2 2 3 2 4" xfId="9550" xr:uid="{11BFCEC0-0B07-422C-BDED-915D734F51D0}"/>
    <cellStyle name="Note 2 2 3 3" xfId="1424" xr:uid="{00000000-0005-0000-0000-0000C8200000}"/>
    <cellStyle name="Note 2 2 3 3 2" xfId="3654" xr:uid="{00000000-0005-0000-0000-0000C9200000}"/>
    <cellStyle name="Note 2 2 3 3 2 2" xfId="7876" xr:uid="{00000000-0005-0000-0000-0000CA200000}"/>
    <cellStyle name="Note 2 2 3 3 2 2 2" xfId="16326" xr:uid="{98095050-0453-468C-82BB-55801022E433}"/>
    <cellStyle name="Note 2 2 3 3 2 3" xfId="12108" xr:uid="{9A2A116E-3556-4382-9E54-885DE5C4EAF3}"/>
    <cellStyle name="Note 2 2 3 3 3" xfId="5731" xr:uid="{00000000-0005-0000-0000-0000CB200000}"/>
    <cellStyle name="Note 2 2 3 3 3 2" xfId="14181" xr:uid="{B44FB50F-D059-4726-9534-C8065136583A}"/>
    <cellStyle name="Note 2 2 3 3 4" xfId="9963" xr:uid="{861D3CD8-3D43-46E0-B8B9-3983D354BE33}"/>
    <cellStyle name="Note 2 2 3 4" xfId="1838" xr:uid="{00000000-0005-0000-0000-0000CC200000}"/>
    <cellStyle name="Note 2 2 3 4 2" xfId="4067" xr:uid="{00000000-0005-0000-0000-0000CD200000}"/>
    <cellStyle name="Note 2 2 3 4 2 2" xfId="8289" xr:uid="{00000000-0005-0000-0000-0000CE200000}"/>
    <cellStyle name="Note 2 2 3 4 2 2 2" xfId="16739" xr:uid="{2ED47E46-6DE1-435A-8B6D-9A365F4B4D57}"/>
    <cellStyle name="Note 2 2 3 4 2 3" xfId="12521" xr:uid="{20E4512D-CF4B-4C6A-9020-8E11BD55E51F}"/>
    <cellStyle name="Note 2 2 3 4 3" xfId="6144" xr:uid="{00000000-0005-0000-0000-0000CF200000}"/>
    <cellStyle name="Note 2 2 3 4 3 2" xfId="14594" xr:uid="{867DBC9F-FBB3-4BBF-B2FF-6F9BFCC3B221}"/>
    <cellStyle name="Note 2 2 3 4 4" xfId="10376" xr:uid="{F57BC6FE-788B-4E84-988C-FA519085705D}"/>
    <cellStyle name="Note 2 2 3 5" xfId="2251" xr:uid="{00000000-0005-0000-0000-0000D0200000}"/>
    <cellStyle name="Note 2 2 3 5 2" xfId="4480" xr:uid="{00000000-0005-0000-0000-0000D1200000}"/>
    <cellStyle name="Note 2 2 3 5 2 2" xfId="8702" xr:uid="{00000000-0005-0000-0000-0000D2200000}"/>
    <cellStyle name="Note 2 2 3 5 2 2 2" xfId="17152" xr:uid="{A7809176-11E2-4293-B73D-DC3C08731940}"/>
    <cellStyle name="Note 2 2 3 5 2 3" xfId="12934" xr:uid="{A511E2CD-5C14-4716-884D-FFBAAEDC51B9}"/>
    <cellStyle name="Note 2 2 3 5 3" xfId="6557" xr:uid="{00000000-0005-0000-0000-0000D3200000}"/>
    <cellStyle name="Note 2 2 3 5 3 2" xfId="15007" xr:uid="{4A77EB99-DF47-4225-9E0C-4B2BF1DBEB61}"/>
    <cellStyle name="Note 2 2 3 5 4" xfId="10789" xr:uid="{547C7CF8-D322-49A8-8AF2-FA97FD3220EE}"/>
    <cellStyle name="Note 2 2 3 6" xfId="2687" xr:uid="{00000000-0005-0000-0000-0000D4200000}"/>
    <cellStyle name="Note 2 2 3 6 2" xfId="6970" xr:uid="{00000000-0005-0000-0000-0000D5200000}"/>
    <cellStyle name="Note 2 2 3 6 2 2" xfId="15420" xr:uid="{9D1D48AE-E951-484E-AAA5-C43CE6CB0E21}"/>
    <cellStyle name="Note 2 2 3 6 3" xfId="11202" xr:uid="{5B50595B-D803-40FF-8977-C2A490C53894}"/>
    <cellStyle name="Note 2 2 3 7" xfId="2746" xr:uid="{00000000-0005-0000-0000-0000D6200000}"/>
    <cellStyle name="Note 2 2 3 8" xfId="2827" xr:uid="{00000000-0005-0000-0000-0000D7200000}"/>
    <cellStyle name="Note 2 2 3 8 2" xfId="7050" xr:uid="{00000000-0005-0000-0000-0000D8200000}"/>
    <cellStyle name="Note 2 2 3 8 2 2" xfId="15500" xr:uid="{4292832A-7413-4736-9775-6F67D56D70AB}"/>
    <cellStyle name="Note 2 2 3 8 3" xfId="11282" xr:uid="{F8CB0400-E407-45C8-B028-D1CD139497B2}"/>
    <cellStyle name="Note 2 2 3 9" xfId="4905" xr:uid="{00000000-0005-0000-0000-0000D9200000}"/>
    <cellStyle name="Note 2 2 3 9 2" xfId="13355" xr:uid="{E1FD4CEC-B7F0-4FB6-BB8F-467747E2C698}"/>
    <cellStyle name="Note 2 2 4" xfId="1006" xr:uid="{00000000-0005-0000-0000-0000DA200000}"/>
    <cellStyle name="Note 2 2 4 2" xfId="3238" xr:uid="{00000000-0005-0000-0000-0000DB200000}"/>
    <cellStyle name="Note 2 2 4 2 2" xfId="7460" xr:uid="{00000000-0005-0000-0000-0000DC200000}"/>
    <cellStyle name="Note 2 2 4 2 2 2" xfId="15910" xr:uid="{B310B152-0B41-4106-8EB5-2FC35FEB422C}"/>
    <cellStyle name="Note 2 2 4 2 3" xfId="11692" xr:uid="{BC6B3CEE-FD4F-4958-8B15-6E875DFCC014}"/>
    <cellStyle name="Note 2 2 4 3" xfId="5315" xr:uid="{00000000-0005-0000-0000-0000DD200000}"/>
    <cellStyle name="Note 2 2 4 3 2" xfId="13765" xr:uid="{4D417F81-5ABA-4BCB-A112-CCB646725ABA}"/>
    <cellStyle name="Note 2 2 4 4" xfId="9547" xr:uid="{24862BFB-2504-4ABD-A7C9-58DDD83E10FF}"/>
    <cellStyle name="Note 2 2 5" xfId="1421" xr:uid="{00000000-0005-0000-0000-0000DE200000}"/>
    <cellStyle name="Note 2 2 5 2" xfId="3651" xr:uid="{00000000-0005-0000-0000-0000DF200000}"/>
    <cellStyle name="Note 2 2 5 2 2" xfId="7873" xr:uid="{00000000-0005-0000-0000-0000E0200000}"/>
    <cellStyle name="Note 2 2 5 2 2 2" xfId="16323" xr:uid="{D18EC626-94E0-43B3-9440-6EB93B167AB1}"/>
    <cellStyle name="Note 2 2 5 2 3" xfId="12105" xr:uid="{3F7BCA17-2B0B-499D-A076-8C7461D6D607}"/>
    <cellStyle name="Note 2 2 5 3" xfId="5728" xr:uid="{00000000-0005-0000-0000-0000E1200000}"/>
    <cellStyle name="Note 2 2 5 3 2" xfId="14178" xr:uid="{4222452B-68A6-4193-939E-0A48F22FFC8E}"/>
    <cellStyle name="Note 2 2 5 4" xfId="9960" xr:uid="{A6034406-098C-4540-AE73-C12159051D26}"/>
    <cellStyle name="Note 2 2 6" xfId="1835" xr:uid="{00000000-0005-0000-0000-0000E2200000}"/>
    <cellStyle name="Note 2 2 6 2" xfId="4064" xr:uid="{00000000-0005-0000-0000-0000E3200000}"/>
    <cellStyle name="Note 2 2 6 2 2" xfId="8286" xr:uid="{00000000-0005-0000-0000-0000E4200000}"/>
    <cellStyle name="Note 2 2 6 2 2 2" xfId="16736" xr:uid="{8564B255-8596-484B-8E68-159643372B31}"/>
    <cellStyle name="Note 2 2 6 2 3" xfId="12518" xr:uid="{E1B636CF-B2A7-4A63-81D7-34B77AD2829E}"/>
    <cellStyle name="Note 2 2 6 3" xfId="6141" xr:uid="{00000000-0005-0000-0000-0000E5200000}"/>
    <cellStyle name="Note 2 2 6 3 2" xfId="14591" xr:uid="{F086E9B6-FB63-4A4F-8AA6-3336BCD43A11}"/>
    <cellStyle name="Note 2 2 6 4" xfId="10373" xr:uid="{457BF86D-E8E2-4481-808A-A9CE070902D5}"/>
    <cellStyle name="Note 2 2 7" xfId="2248" xr:uid="{00000000-0005-0000-0000-0000E6200000}"/>
    <cellStyle name="Note 2 2 7 2" xfId="4477" xr:uid="{00000000-0005-0000-0000-0000E7200000}"/>
    <cellStyle name="Note 2 2 7 2 2" xfId="8699" xr:uid="{00000000-0005-0000-0000-0000E8200000}"/>
    <cellStyle name="Note 2 2 7 2 2 2" xfId="17149" xr:uid="{F7A629AB-FE4F-4015-AC92-4957686757BC}"/>
    <cellStyle name="Note 2 2 7 2 3" xfId="12931" xr:uid="{DD6B21E8-7EA8-4C62-A0FC-96CC366FB74F}"/>
    <cellStyle name="Note 2 2 7 3" xfId="6554" xr:uid="{00000000-0005-0000-0000-0000E9200000}"/>
    <cellStyle name="Note 2 2 7 3 2" xfId="15004" xr:uid="{69A34447-016C-41BC-8F66-DE00225291B5}"/>
    <cellStyle name="Note 2 2 7 4" xfId="10786" xr:uid="{FF88DF30-51D0-4E9C-A9BD-14E2502BE799}"/>
    <cellStyle name="Note 2 2 8" xfId="2684" xr:uid="{00000000-0005-0000-0000-0000EA200000}"/>
    <cellStyle name="Note 2 2 8 2" xfId="6967" xr:uid="{00000000-0005-0000-0000-0000EB200000}"/>
    <cellStyle name="Note 2 2 8 2 2" xfId="15417" xr:uid="{5C36015D-E25E-4984-8D8C-70F1436CC2BA}"/>
    <cellStyle name="Note 2 2 8 3" xfId="11199" xr:uid="{F09BF9F9-C8AF-498B-A573-53D348BA745E}"/>
    <cellStyle name="Note 2 2 9" xfId="2743" xr:uid="{00000000-0005-0000-0000-0000EC200000}"/>
    <cellStyle name="Note 2 3" xfId="549" xr:uid="{00000000-0005-0000-0000-0000ED200000}"/>
    <cellStyle name="Note 2 3 10" xfId="4906" xr:uid="{00000000-0005-0000-0000-0000EE200000}"/>
    <cellStyle name="Note 2 3 10 2" xfId="13356" xr:uid="{A419773B-3ED1-4746-AD5C-47AD03ABCDDA}"/>
    <cellStyle name="Note 2 3 11" xfId="9138" xr:uid="{FC900537-EAB3-47F2-B339-D88B70AEFDB3}"/>
    <cellStyle name="Note 2 3 2" xfId="550" xr:uid="{00000000-0005-0000-0000-0000EF200000}"/>
    <cellStyle name="Note 2 3 2 10" xfId="9139" xr:uid="{66D23AD6-DA56-4541-8F62-CAFD94097BC3}"/>
    <cellStyle name="Note 2 3 2 2" xfId="1011" xr:uid="{00000000-0005-0000-0000-0000F0200000}"/>
    <cellStyle name="Note 2 3 2 2 2" xfId="3243" xr:uid="{00000000-0005-0000-0000-0000F1200000}"/>
    <cellStyle name="Note 2 3 2 2 2 2" xfId="7465" xr:uid="{00000000-0005-0000-0000-0000F2200000}"/>
    <cellStyle name="Note 2 3 2 2 2 2 2" xfId="15915" xr:uid="{61FA970B-F80A-40C4-A0E9-F4CB056B5569}"/>
    <cellStyle name="Note 2 3 2 2 2 3" xfId="11697" xr:uid="{DC44FAAC-F642-4432-82EA-0FBC047CF116}"/>
    <cellStyle name="Note 2 3 2 2 3" xfId="5320" xr:uid="{00000000-0005-0000-0000-0000F3200000}"/>
    <cellStyle name="Note 2 3 2 2 3 2" xfId="13770" xr:uid="{07C8B111-5D64-424F-8F13-11B91D22BBFD}"/>
    <cellStyle name="Note 2 3 2 2 4" xfId="9552" xr:uid="{C54E3C91-7748-4E44-ABFA-904970D8B47C}"/>
    <cellStyle name="Note 2 3 2 3" xfId="1426" xr:uid="{00000000-0005-0000-0000-0000F4200000}"/>
    <cellStyle name="Note 2 3 2 3 2" xfId="3656" xr:uid="{00000000-0005-0000-0000-0000F5200000}"/>
    <cellStyle name="Note 2 3 2 3 2 2" xfId="7878" xr:uid="{00000000-0005-0000-0000-0000F6200000}"/>
    <cellStyle name="Note 2 3 2 3 2 2 2" xfId="16328" xr:uid="{D4D646CC-F5F7-4916-8C84-6E7A9BF10AC6}"/>
    <cellStyle name="Note 2 3 2 3 2 3" xfId="12110" xr:uid="{E455F722-DD00-4B54-A2CC-7F57121C4E73}"/>
    <cellStyle name="Note 2 3 2 3 3" xfId="5733" xr:uid="{00000000-0005-0000-0000-0000F7200000}"/>
    <cellStyle name="Note 2 3 2 3 3 2" xfId="14183" xr:uid="{432941B9-0B74-4D42-AC51-C618EE7B147B}"/>
    <cellStyle name="Note 2 3 2 3 4" xfId="9965" xr:uid="{B7FE3C2C-B182-40F2-AD68-B7E11C095887}"/>
    <cellStyle name="Note 2 3 2 4" xfId="1840" xr:uid="{00000000-0005-0000-0000-0000F8200000}"/>
    <cellStyle name="Note 2 3 2 4 2" xfId="4069" xr:uid="{00000000-0005-0000-0000-0000F9200000}"/>
    <cellStyle name="Note 2 3 2 4 2 2" xfId="8291" xr:uid="{00000000-0005-0000-0000-0000FA200000}"/>
    <cellStyle name="Note 2 3 2 4 2 2 2" xfId="16741" xr:uid="{50837F07-C52A-4109-86F3-274D1DE6E98E}"/>
    <cellStyle name="Note 2 3 2 4 2 3" xfId="12523" xr:uid="{D985AF0B-DC36-448A-8EE1-28FF17E8AEA6}"/>
    <cellStyle name="Note 2 3 2 4 3" xfId="6146" xr:uid="{00000000-0005-0000-0000-0000FB200000}"/>
    <cellStyle name="Note 2 3 2 4 3 2" xfId="14596" xr:uid="{E23455B3-9067-43D6-BF0B-74A8D47A8751}"/>
    <cellStyle name="Note 2 3 2 4 4" xfId="10378" xr:uid="{C41620DD-4105-42FF-BC02-FA69187894B9}"/>
    <cellStyle name="Note 2 3 2 5" xfId="2253" xr:uid="{00000000-0005-0000-0000-0000FC200000}"/>
    <cellStyle name="Note 2 3 2 5 2" xfId="4482" xr:uid="{00000000-0005-0000-0000-0000FD200000}"/>
    <cellStyle name="Note 2 3 2 5 2 2" xfId="8704" xr:uid="{00000000-0005-0000-0000-0000FE200000}"/>
    <cellStyle name="Note 2 3 2 5 2 2 2" xfId="17154" xr:uid="{2FC08361-0CEA-437D-BC89-9F3FA3A697F1}"/>
    <cellStyle name="Note 2 3 2 5 2 3" xfId="12936" xr:uid="{7C8A009B-2F24-42C7-B604-551106A67971}"/>
    <cellStyle name="Note 2 3 2 5 3" xfId="6559" xr:uid="{00000000-0005-0000-0000-0000FF200000}"/>
    <cellStyle name="Note 2 3 2 5 3 2" xfId="15009" xr:uid="{4FE79A27-E440-45ED-8863-D45207958C5F}"/>
    <cellStyle name="Note 2 3 2 5 4" xfId="10791" xr:uid="{5F4ED0E1-2B84-4D5F-875D-BE673D27BB59}"/>
    <cellStyle name="Note 2 3 2 6" xfId="2689" xr:uid="{00000000-0005-0000-0000-000000210000}"/>
    <cellStyle name="Note 2 3 2 6 2" xfId="6972" xr:uid="{00000000-0005-0000-0000-000001210000}"/>
    <cellStyle name="Note 2 3 2 6 2 2" xfId="15422" xr:uid="{741FACEF-123A-4402-A7C7-4CF19AD8A2CC}"/>
    <cellStyle name="Note 2 3 2 6 3" xfId="11204" xr:uid="{0D094AAC-F8A4-4137-AFF2-D44CF6679EFB}"/>
    <cellStyle name="Note 2 3 2 7" xfId="2748" xr:uid="{00000000-0005-0000-0000-000002210000}"/>
    <cellStyle name="Note 2 3 2 8" xfId="2829" xr:uid="{00000000-0005-0000-0000-000003210000}"/>
    <cellStyle name="Note 2 3 2 8 2" xfId="7052" xr:uid="{00000000-0005-0000-0000-000004210000}"/>
    <cellStyle name="Note 2 3 2 8 2 2" xfId="15502" xr:uid="{50868453-1D86-4E9B-9F4F-8C05E78539B9}"/>
    <cellStyle name="Note 2 3 2 8 3" xfId="11284" xr:uid="{67F020DE-32B7-4336-9C47-84459F218B98}"/>
    <cellStyle name="Note 2 3 2 9" xfId="4907" xr:uid="{00000000-0005-0000-0000-000005210000}"/>
    <cellStyle name="Note 2 3 2 9 2" xfId="13357" xr:uid="{9BE32056-4F49-4C12-BDEA-5DC196520E98}"/>
    <cellStyle name="Note 2 3 3" xfId="1010" xr:uid="{00000000-0005-0000-0000-000006210000}"/>
    <cellStyle name="Note 2 3 3 2" xfId="3242" xr:uid="{00000000-0005-0000-0000-000007210000}"/>
    <cellStyle name="Note 2 3 3 2 2" xfId="7464" xr:uid="{00000000-0005-0000-0000-000008210000}"/>
    <cellStyle name="Note 2 3 3 2 2 2" xfId="15914" xr:uid="{0D07C1E3-F3E5-4FB4-AF69-3C830284FB48}"/>
    <cellStyle name="Note 2 3 3 2 3" xfId="11696" xr:uid="{CFF878F9-AFDE-49CE-BEB5-7C881013E62F}"/>
    <cellStyle name="Note 2 3 3 3" xfId="5319" xr:uid="{00000000-0005-0000-0000-000009210000}"/>
    <cellStyle name="Note 2 3 3 3 2" xfId="13769" xr:uid="{64E62E7F-977C-4232-BE65-DDE9768EBA79}"/>
    <cellStyle name="Note 2 3 3 4" xfId="9551" xr:uid="{A114B268-EC77-4394-914A-76CDF60D37B9}"/>
    <cellStyle name="Note 2 3 4" xfId="1425" xr:uid="{00000000-0005-0000-0000-00000A210000}"/>
    <cellStyle name="Note 2 3 4 2" xfId="3655" xr:uid="{00000000-0005-0000-0000-00000B210000}"/>
    <cellStyle name="Note 2 3 4 2 2" xfId="7877" xr:uid="{00000000-0005-0000-0000-00000C210000}"/>
    <cellStyle name="Note 2 3 4 2 2 2" xfId="16327" xr:uid="{41811B26-8260-45E3-96C9-598302AC6DC7}"/>
    <cellStyle name="Note 2 3 4 2 3" xfId="12109" xr:uid="{0ECDAD8F-BA5A-43D0-A4B0-6007F347E5CC}"/>
    <cellStyle name="Note 2 3 4 3" xfId="5732" xr:uid="{00000000-0005-0000-0000-00000D210000}"/>
    <cellStyle name="Note 2 3 4 3 2" xfId="14182" xr:uid="{200CB66D-880B-4DA1-8FBB-C7410CEBA440}"/>
    <cellStyle name="Note 2 3 4 4" xfId="9964" xr:uid="{EC7BC605-3D01-4BB5-AD8C-2AE268B573BA}"/>
    <cellStyle name="Note 2 3 5" xfId="1839" xr:uid="{00000000-0005-0000-0000-00000E210000}"/>
    <cellStyle name="Note 2 3 5 2" xfId="4068" xr:uid="{00000000-0005-0000-0000-00000F210000}"/>
    <cellStyle name="Note 2 3 5 2 2" xfId="8290" xr:uid="{00000000-0005-0000-0000-000010210000}"/>
    <cellStyle name="Note 2 3 5 2 2 2" xfId="16740" xr:uid="{0337BA21-5668-4E38-937E-A6E9CE277046}"/>
    <cellStyle name="Note 2 3 5 2 3" xfId="12522" xr:uid="{D5BBC6AE-A12B-487D-BFB9-A4B9AFAE4B67}"/>
    <cellStyle name="Note 2 3 5 3" xfId="6145" xr:uid="{00000000-0005-0000-0000-000011210000}"/>
    <cellStyle name="Note 2 3 5 3 2" xfId="14595" xr:uid="{A81724DD-FEAC-4191-8AFD-7900B07AA4B0}"/>
    <cellStyle name="Note 2 3 5 4" xfId="10377" xr:uid="{9C9F8C95-E2C3-40A2-BC74-00AE75BA8656}"/>
    <cellStyle name="Note 2 3 6" xfId="2252" xr:uid="{00000000-0005-0000-0000-000012210000}"/>
    <cellStyle name="Note 2 3 6 2" xfId="4481" xr:uid="{00000000-0005-0000-0000-000013210000}"/>
    <cellStyle name="Note 2 3 6 2 2" xfId="8703" xr:uid="{00000000-0005-0000-0000-000014210000}"/>
    <cellStyle name="Note 2 3 6 2 2 2" xfId="17153" xr:uid="{165E12B8-BC2E-429A-8563-7E36F4581CD0}"/>
    <cellStyle name="Note 2 3 6 2 3" xfId="12935" xr:uid="{01AD31BD-9DA7-43D5-B137-E3913D83EEDD}"/>
    <cellStyle name="Note 2 3 6 3" xfId="6558" xr:uid="{00000000-0005-0000-0000-000015210000}"/>
    <cellStyle name="Note 2 3 6 3 2" xfId="15008" xr:uid="{C1267943-87BA-42D6-8A64-9FD200AFA29C}"/>
    <cellStyle name="Note 2 3 6 4" xfId="10790" xr:uid="{3189BF26-7D09-4FAD-8B05-72ADDEFCEF73}"/>
    <cellStyle name="Note 2 3 7" xfId="2688" xr:uid="{00000000-0005-0000-0000-000016210000}"/>
    <cellStyle name="Note 2 3 7 2" xfId="6971" xr:uid="{00000000-0005-0000-0000-000017210000}"/>
    <cellStyle name="Note 2 3 7 2 2" xfId="15421" xr:uid="{03FF54AD-3DE8-466A-8A83-2769398831C3}"/>
    <cellStyle name="Note 2 3 7 3" xfId="11203" xr:uid="{98F02ABE-0F6E-4405-80AD-290F7EF8E709}"/>
    <cellStyle name="Note 2 3 8" xfId="2747" xr:uid="{00000000-0005-0000-0000-000018210000}"/>
    <cellStyle name="Note 2 3 9" xfId="2828" xr:uid="{00000000-0005-0000-0000-000019210000}"/>
    <cellStyle name="Note 2 3 9 2" xfId="7051" xr:uid="{00000000-0005-0000-0000-00001A210000}"/>
    <cellStyle name="Note 2 3 9 2 2" xfId="15501" xr:uid="{984A61D7-4C2E-463E-B92A-995D48A960DA}"/>
    <cellStyle name="Note 2 3 9 3" xfId="11283" xr:uid="{FA6E72B1-29B4-4F74-ABBD-EE0771F1684E}"/>
    <cellStyle name="Note 2 4" xfId="551" xr:uid="{00000000-0005-0000-0000-00001B210000}"/>
    <cellStyle name="Note 2 4 10" xfId="9140" xr:uid="{510700C8-7C28-4A3B-993D-FAAB7EC917ED}"/>
    <cellStyle name="Note 2 4 2" xfId="1012" xr:uid="{00000000-0005-0000-0000-00001C210000}"/>
    <cellStyle name="Note 2 4 2 2" xfId="3244" xr:uid="{00000000-0005-0000-0000-00001D210000}"/>
    <cellStyle name="Note 2 4 2 2 2" xfId="7466" xr:uid="{00000000-0005-0000-0000-00001E210000}"/>
    <cellStyle name="Note 2 4 2 2 2 2" xfId="15916" xr:uid="{45E62A4F-678E-4AB1-B400-CDA6DF2912B9}"/>
    <cellStyle name="Note 2 4 2 2 3" xfId="11698" xr:uid="{B0D43E1F-58BB-4967-99AB-4CBFF5E78A2C}"/>
    <cellStyle name="Note 2 4 2 3" xfId="5321" xr:uid="{00000000-0005-0000-0000-00001F210000}"/>
    <cellStyle name="Note 2 4 2 3 2" xfId="13771" xr:uid="{EAF0A40A-42C6-4CDC-9D9E-800959A1F132}"/>
    <cellStyle name="Note 2 4 2 4" xfId="9553" xr:uid="{65C4A950-4BE6-4076-A277-6BB230D8D099}"/>
    <cellStyle name="Note 2 4 3" xfId="1427" xr:uid="{00000000-0005-0000-0000-000020210000}"/>
    <cellStyle name="Note 2 4 3 2" xfId="3657" xr:uid="{00000000-0005-0000-0000-000021210000}"/>
    <cellStyle name="Note 2 4 3 2 2" xfId="7879" xr:uid="{00000000-0005-0000-0000-000022210000}"/>
    <cellStyle name="Note 2 4 3 2 2 2" xfId="16329" xr:uid="{AC86536E-E585-41E6-B70E-194CB0E50387}"/>
    <cellStyle name="Note 2 4 3 2 3" xfId="12111" xr:uid="{16FACE69-DD3D-4525-814B-CBD817816BD2}"/>
    <cellStyle name="Note 2 4 3 3" xfId="5734" xr:uid="{00000000-0005-0000-0000-000023210000}"/>
    <cellStyle name="Note 2 4 3 3 2" xfId="14184" xr:uid="{B41E6FE4-C436-40DD-A0EB-C73757ADA4D2}"/>
    <cellStyle name="Note 2 4 3 4" xfId="9966" xr:uid="{1466416C-C085-41DE-9075-B6A2C9E3B416}"/>
    <cellStyle name="Note 2 4 4" xfId="1841" xr:uid="{00000000-0005-0000-0000-000024210000}"/>
    <cellStyle name="Note 2 4 4 2" xfId="4070" xr:uid="{00000000-0005-0000-0000-000025210000}"/>
    <cellStyle name="Note 2 4 4 2 2" xfId="8292" xr:uid="{00000000-0005-0000-0000-000026210000}"/>
    <cellStyle name="Note 2 4 4 2 2 2" xfId="16742" xr:uid="{B45A533B-5886-4259-B208-3EFCF3D20076}"/>
    <cellStyle name="Note 2 4 4 2 3" xfId="12524" xr:uid="{E39DDDCA-AB9B-4CD2-91C6-446AA6464960}"/>
    <cellStyle name="Note 2 4 4 3" xfId="6147" xr:uid="{00000000-0005-0000-0000-000027210000}"/>
    <cellStyle name="Note 2 4 4 3 2" xfId="14597" xr:uid="{8330866E-448D-4201-8AD6-D22AE8AC4252}"/>
    <cellStyle name="Note 2 4 4 4" xfId="10379" xr:uid="{38CA6A13-9F18-4DF1-9943-90C5D26105E5}"/>
    <cellStyle name="Note 2 4 5" xfId="2254" xr:uid="{00000000-0005-0000-0000-000028210000}"/>
    <cellStyle name="Note 2 4 5 2" xfId="4483" xr:uid="{00000000-0005-0000-0000-000029210000}"/>
    <cellStyle name="Note 2 4 5 2 2" xfId="8705" xr:uid="{00000000-0005-0000-0000-00002A210000}"/>
    <cellStyle name="Note 2 4 5 2 2 2" xfId="17155" xr:uid="{2EDBDB97-1DB1-4844-97F9-F18EE325D1F1}"/>
    <cellStyle name="Note 2 4 5 2 3" xfId="12937" xr:uid="{F83E36CD-E246-4A5B-B1AC-E5D92D1C5B41}"/>
    <cellStyle name="Note 2 4 5 3" xfId="6560" xr:uid="{00000000-0005-0000-0000-00002B210000}"/>
    <cellStyle name="Note 2 4 5 3 2" xfId="15010" xr:uid="{0DA8B4CE-83D5-4E9E-A5AF-09014C08D073}"/>
    <cellStyle name="Note 2 4 5 4" xfId="10792" xr:uid="{98C56A66-AEF3-486A-9DEB-B2DC7631A341}"/>
    <cellStyle name="Note 2 4 6" xfId="2690" xr:uid="{00000000-0005-0000-0000-00002C210000}"/>
    <cellStyle name="Note 2 4 6 2" xfId="6973" xr:uid="{00000000-0005-0000-0000-00002D210000}"/>
    <cellStyle name="Note 2 4 6 2 2" xfId="15423" xr:uid="{1DA49C48-C2B3-42A4-A294-A2335351F9B8}"/>
    <cellStyle name="Note 2 4 6 3" xfId="11205" xr:uid="{6EA8A2B4-C95A-44FE-9800-597EA6556EC4}"/>
    <cellStyle name="Note 2 4 7" xfId="2749" xr:uid="{00000000-0005-0000-0000-00002E210000}"/>
    <cellStyle name="Note 2 4 8" xfId="2830" xr:uid="{00000000-0005-0000-0000-00002F210000}"/>
    <cellStyle name="Note 2 4 8 2" xfId="7053" xr:uid="{00000000-0005-0000-0000-000030210000}"/>
    <cellStyle name="Note 2 4 8 2 2" xfId="15503" xr:uid="{47B72DAF-EF54-4B97-8D68-4258FE23C4C7}"/>
    <cellStyle name="Note 2 4 8 3" xfId="11285" xr:uid="{F46E5048-AD93-4372-AEDE-22AF59A6C213}"/>
    <cellStyle name="Note 2 4 9" xfId="4908" xr:uid="{00000000-0005-0000-0000-000031210000}"/>
    <cellStyle name="Note 2 4 9 2" xfId="13358" xr:uid="{490EEDAA-CBA7-4207-B438-CD0F0B9BF8D6}"/>
    <cellStyle name="Note 2 5" xfId="552" xr:uid="{00000000-0005-0000-0000-000032210000}"/>
    <cellStyle name="Note 2 5 10" xfId="9141" xr:uid="{09A1F76B-8CEC-4B40-B08D-2A520A821A79}"/>
    <cellStyle name="Note 2 5 2" xfId="1013" xr:uid="{00000000-0005-0000-0000-000033210000}"/>
    <cellStyle name="Note 2 5 2 2" xfId="3245" xr:uid="{00000000-0005-0000-0000-000034210000}"/>
    <cellStyle name="Note 2 5 2 2 2" xfId="7467" xr:uid="{00000000-0005-0000-0000-000035210000}"/>
    <cellStyle name="Note 2 5 2 2 2 2" xfId="15917" xr:uid="{8C529131-1A24-403D-8023-36FAC8787C5F}"/>
    <cellStyle name="Note 2 5 2 2 3" xfId="11699" xr:uid="{04D233B0-1AC1-44E0-B144-EE53075FF7BB}"/>
    <cellStyle name="Note 2 5 2 3" xfId="5322" xr:uid="{00000000-0005-0000-0000-000036210000}"/>
    <cellStyle name="Note 2 5 2 3 2" xfId="13772" xr:uid="{DE3375A3-B259-44EC-8E04-949870E40800}"/>
    <cellStyle name="Note 2 5 2 4" xfId="9554" xr:uid="{3DDE8F24-F8FA-4B6F-A416-D79E5EC520D6}"/>
    <cellStyle name="Note 2 5 3" xfId="1428" xr:uid="{00000000-0005-0000-0000-000037210000}"/>
    <cellStyle name="Note 2 5 3 2" xfId="3658" xr:uid="{00000000-0005-0000-0000-000038210000}"/>
    <cellStyle name="Note 2 5 3 2 2" xfId="7880" xr:uid="{00000000-0005-0000-0000-000039210000}"/>
    <cellStyle name="Note 2 5 3 2 2 2" xfId="16330" xr:uid="{9CB6627D-0F03-4CEC-A5A8-D508A866F3DE}"/>
    <cellStyle name="Note 2 5 3 2 3" xfId="12112" xr:uid="{ADE5F503-0A1C-46FF-97F6-418B841E506B}"/>
    <cellStyle name="Note 2 5 3 3" xfId="5735" xr:uid="{00000000-0005-0000-0000-00003A210000}"/>
    <cellStyle name="Note 2 5 3 3 2" xfId="14185" xr:uid="{4EB22094-613C-43DC-BFDB-D99D55FE23DD}"/>
    <cellStyle name="Note 2 5 3 4" xfId="9967" xr:uid="{9FDFF29E-3284-4B56-B094-25D769F87220}"/>
    <cellStyle name="Note 2 5 4" xfId="1842" xr:uid="{00000000-0005-0000-0000-00003B210000}"/>
    <cellStyle name="Note 2 5 4 2" xfId="4071" xr:uid="{00000000-0005-0000-0000-00003C210000}"/>
    <cellStyle name="Note 2 5 4 2 2" xfId="8293" xr:uid="{00000000-0005-0000-0000-00003D210000}"/>
    <cellStyle name="Note 2 5 4 2 2 2" xfId="16743" xr:uid="{7E93E609-2B12-498C-9A8E-D23AF51AD02B}"/>
    <cellStyle name="Note 2 5 4 2 3" xfId="12525" xr:uid="{F3EC5C16-ED2B-411E-AD40-F8F707D3B33B}"/>
    <cellStyle name="Note 2 5 4 3" xfId="6148" xr:uid="{00000000-0005-0000-0000-00003E210000}"/>
    <cellStyle name="Note 2 5 4 3 2" xfId="14598" xr:uid="{0B64B2A9-8D28-488F-986E-7C4503A78222}"/>
    <cellStyle name="Note 2 5 4 4" xfId="10380" xr:uid="{B8E12875-8264-477B-834E-E7A7E3674AB0}"/>
    <cellStyle name="Note 2 5 5" xfId="2255" xr:uid="{00000000-0005-0000-0000-00003F210000}"/>
    <cellStyle name="Note 2 5 5 2" xfId="4484" xr:uid="{00000000-0005-0000-0000-000040210000}"/>
    <cellStyle name="Note 2 5 5 2 2" xfId="8706" xr:uid="{00000000-0005-0000-0000-000041210000}"/>
    <cellStyle name="Note 2 5 5 2 2 2" xfId="17156" xr:uid="{21282E88-C302-4671-918D-DBEFFE9CB857}"/>
    <cellStyle name="Note 2 5 5 2 3" xfId="12938" xr:uid="{BD3EB68A-9C69-48C1-9AD8-FFDCFDC189F6}"/>
    <cellStyle name="Note 2 5 5 3" xfId="6561" xr:uid="{00000000-0005-0000-0000-000042210000}"/>
    <cellStyle name="Note 2 5 5 3 2" xfId="15011" xr:uid="{9382B6B6-BA53-41EF-B0E2-6A2A7BDD3FB4}"/>
    <cellStyle name="Note 2 5 5 4" xfId="10793" xr:uid="{475BE394-A3FE-40B9-97A3-D1DC73B3BA16}"/>
    <cellStyle name="Note 2 5 6" xfId="2691" xr:uid="{00000000-0005-0000-0000-000043210000}"/>
    <cellStyle name="Note 2 5 6 2" xfId="6974" xr:uid="{00000000-0005-0000-0000-000044210000}"/>
    <cellStyle name="Note 2 5 6 2 2" xfId="15424" xr:uid="{F063FAB3-52E3-421D-8210-A63F9BFB20CD}"/>
    <cellStyle name="Note 2 5 6 3" xfId="11206" xr:uid="{B056BC3D-5AF2-42B4-8061-93DB3FCD5DB3}"/>
    <cellStyle name="Note 2 5 7" xfId="2750" xr:uid="{00000000-0005-0000-0000-000045210000}"/>
    <cellStyle name="Note 2 5 8" xfId="2831" xr:uid="{00000000-0005-0000-0000-000046210000}"/>
    <cellStyle name="Note 2 5 8 2" xfId="7054" xr:uid="{00000000-0005-0000-0000-000047210000}"/>
    <cellStyle name="Note 2 5 8 2 2" xfId="15504" xr:uid="{630B2EDE-084D-48D1-B399-E3EE56101FAE}"/>
    <cellStyle name="Note 2 5 8 3" xfId="11286" xr:uid="{90AAE6D8-7441-4859-B623-745429FF8B80}"/>
    <cellStyle name="Note 2 5 9" xfId="4909" xr:uid="{00000000-0005-0000-0000-000048210000}"/>
    <cellStyle name="Note 2 5 9 2" xfId="13359" xr:uid="{FDAE7C29-FC9C-4CC6-BDA5-90EFD0BA72C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1CA00D7C-3445-4F63-B7DC-08CE765BA2C5}"/>
    <cellStyle name="Note 3 2 10 3" xfId="11287" xr:uid="{BB8DD5A1-6E77-4B6E-BC5D-B2C1FA7A544A}"/>
    <cellStyle name="Note 3 2 11" xfId="4910" xr:uid="{00000000-0005-0000-0000-00004D210000}"/>
    <cellStyle name="Note 3 2 11 2" xfId="13360" xr:uid="{DD42223C-D296-4BB4-8633-0BE630BAE6EF}"/>
    <cellStyle name="Note 3 2 12" xfId="9142" xr:uid="{59E13B5C-70FE-4285-AC31-F5D814C482AC}"/>
    <cellStyle name="Note 3 2 2" xfId="555" xr:uid="{00000000-0005-0000-0000-00004E210000}"/>
    <cellStyle name="Note 3 2 2 10" xfId="4911" xr:uid="{00000000-0005-0000-0000-00004F210000}"/>
    <cellStyle name="Note 3 2 2 10 2" xfId="13361" xr:uid="{10F00F09-1957-4AA2-A62D-C7C695D52716}"/>
    <cellStyle name="Note 3 2 2 11" xfId="9143" xr:uid="{7D33BAE8-E5F0-41F1-9393-EEF2559CA046}"/>
    <cellStyle name="Note 3 2 2 2" xfId="556" xr:uid="{00000000-0005-0000-0000-000050210000}"/>
    <cellStyle name="Note 3 2 2 2 10" xfId="9144" xr:uid="{70ECE9AC-E738-4719-822E-EA855712C893}"/>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BA24F925-5837-4AE8-9563-FDA69A9B978C}"/>
    <cellStyle name="Note 3 2 2 2 2 2 3" xfId="11702" xr:uid="{3D9FB109-6A03-43C0-9872-C808A5B9DDE3}"/>
    <cellStyle name="Note 3 2 2 2 2 3" xfId="5325" xr:uid="{00000000-0005-0000-0000-000054210000}"/>
    <cellStyle name="Note 3 2 2 2 2 3 2" xfId="13775" xr:uid="{CCD22E8E-FDDD-4B18-B368-3EAAD024481F}"/>
    <cellStyle name="Note 3 2 2 2 2 4" xfId="9557" xr:uid="{6CF5AD88-F749-4D72-B984-F8F6BC40CA34}"/>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6F0FCA72-C129-4F1D-A78F-84F8C4FAF0E2}"/>
    <cellStyle name="Note 3 2 2 2 3 2 3" xfId="12115" xr:uid="{7F865751-2E4B-4A48-A757-E6DA2031DF8C}"/>
    <cellStyle name="Note 3 2 2 2 3 3" xfId="5738" xr:uid="{00000000-0005-0000-0000-000058210000}"/>
    <cellStyle name="Note 3 2 2 2 3 3 2" xfId="14188" xr:uid="{C80C4BDA-88CD-4663-B87C-C014343A4C59}"/>
    <cellStyle name="Note 3 2 2 2 3 4" xfId="9970" xr:uid="{54012A1A-0E29-4738-96F6-5755AE27B97F}"/>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A6BCD709-FACA-49BE-BB08-A6A0E4952319}"/>
    <cellStyle name="Note 3 2 2 2 4 2 3" xfId="12528" xr:uid="{458C22F7-B2D5-499D-A3F8-B7BB96C8F029}"/>
    <cellStyle name="Note 3 2 2 2 4 3" xfId="6151" xr:uid="{00000000-0005-0000-0000-00005C210000}"/>
    <cellStyle name="Note 3 2 2 2 4 3 2" xfId="14601" xr:uid="{F27AE6BD-3462-4BA1-876B-8D14FADFFD22}"/>
    <cellStyle name="Note 3 2 2 2 4 4" xfId="10383" xr:uid="{B59317EB-8EB0-4D77-8D46-661D49721143}"/>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FA38D501-DC7F-4C54-8662-5F6F7FDC7F5A}"/>
    <cellStyle name="Note 3 2 2 2 5 2 3" xfId="12941" xr:uid="{BCD429BE-1795-4493-BA43-3F893428F686}"/>
    <cellStyle name="Note 3 2 2 2 5 3" xfId="6564" xr:uid="{00000000-0005-0000-0000-000060210000}"/>
    <cellStyle name="Note 3 2 2 2 5 3 2" xfId="15014" xr:uid="{02131847-5302-456B-A252-1E50FBAA671A}"/>
    <cellStyle name="Note 3 2 2 2 5 4" xfId="10796" xr:uid="{A22319A4-55C0-4D81-B195-450EEBD08EFA}"/>
    <cellStyle name="Note 3 2 2 2 6" xfId="2694" xr:uid="{00000000-0005-0000-0000-000061210000}"/>
    <cellStyle name="Note 3 2 2 2 6 2" xfId="6977" xr:uid="{00000000-0005-0000-0000-000062210000}"/>
    <cellStyle name="Note 3 2 2 2 6 2 2" xfId="15427" xr:uid="{4376B5D5-5C5B-4F57-BCB4-E07D507B1CD2}"/>
    <cellStyle name="Note 3 2 2 2 6 3" xfId="11209" xr:uid="{94D6EE1F-0123-4952-BCB5-ECD28B283393}"/>
    <cellStyle name="Note 3 2 2 2 7" xfId="2753" xr:uid="{00000000-0005-0000-0000-000063210000}"/>
    <cellStyle name="Note 3 2 2 2 8" xfId="2834" xr:uid="{00000000-0005-0000-0000-000064210000}"/>
    <cellStyle name="Note 3 2 2 2 8 2" xfId="7057" xr:uid="{00000000-0005-0000-0000-000065210000}"/>
    <cellStyle name="Note 3 2 2 2 8 2 2" xfId="15507" xr:uid="{1C244C85-2624-4CB0-9874-AEAE2B0D0459}"/>
    <cellStyle name="Note 3 2 2 2 8 3" xfId="11289" xr:uid="{8CBE8BA1-4236-4B3A-9CA4-87501A20F182}"/>
    <cellStyle name="Note 3 2 2 2 9" xfId="4912" xr:uid="{00000000-0005-0000-0000-000066210000}"/>
    <cellStyle name="Note 3 2 2 2 9 2" xfId="13362" xr:uid="{425B6400-AE1A-44F0-B22D-5FB23757B20C}"/>
    <cellStyle name="Note 3 2 2 3" xfId="1015" xr:uid="{00000000-0005-0000-0000-000067210000}"/>
    <cellStyle name="Note 3 2 2 3 2" xfId="3247" xr:uid="{00000000-0005-0000-0000-000068210000}"/>
    <cellStyle name="Note 3 2 2 3 2 2" xfId="7469" xr:uid="{00000000-0005-0000-0000-000069210000}"/>
    <cellStyle name="Note 3 2 2 3 2 2 2" xfId="15919" xr:uid="{A2635139-7756-44C0-8BD2-034B248C0D77}"/>
    <cellStyle name="Note 3 2 2 3 2 3" xfId="11701" xr:uid="{387A0D8C-4FE6-4624-A51D-3D9BA3D6849C}"/>
    <cellStyle name="Note 3 2 2 3 3" xfId="5324" xr:uid="{00000000-0005-0000-0000-00006A210000}"/>
    <cellStyle name="Note 3 2 2 3 3 2" xfId="13774" xr:uid="{E1562EB1-D452-4194-878E-DCE0503903EA}"/>
    <cellStyle name="Note 3 2 2 3 4" xfId="9556" xr:uid="{D6A824DD-614D-4EB0-AC7D-EBC048366DC4}"/>
    <cellStyle name="Note 3 2 2 4" xfId="1430" xr:uid="{00000000-0005-0000-0000-00006B210000}"/>
    <cellStyle name="Note 3 2 2 4 2" xfId="3660" xr:uid="{00000000-0005-0000-0000-00006C210000}"/>
    <cellStyle name="Note 3 2 2 4 2 2" xfId="7882" xr:uid="{00000000-0005-0000-0000-00006D210000}"/>
    <cellStyle name="Note 3 2 2 4 2 2 2" xfId="16332" xr:uid="{20D76D7B-37FC-4FFE-B8DF-656A15713DF5}"/>
    <cellStyle name="Note 3 2 2 4 2 3" xfId="12114" xr:uid="{111F1047-E9A2-4A3E-B357-77D58A45893F}"/>
    <cellStyle name="Note 3 2 2 4 3" xfId="5737" xr:uid="{00000000-0005-0000-0000-00006E210000}"/>
    <cellStyle name="Note 3 2 2 4 3 2" xfId="14187" xr:uid="{247329DF-851D-42E9-945A-B2249D7EBBEE}"/>
    <cellStyle name="Note 3 2 2 4 4" xfId="9969" xr:uid="{DBD71DDB-60D8-40E6-B4D5-91F13B01E426}"/>
    <cellStyle name="Note 3 2 2 5" xfId="1844" xr:uid="{00000000-0005-0000-0000-00006F210000}"/>
    <cellStyle name="Note 3 2 2 5 2" xfId="4073" xr:uid="{00000000-0005-0000-0000-000070210000}"/>
    <cellStyle name="Note 3 2 2 5 2 2" xfId="8295" xr:uid="{00000000-0005-0000-0000-000071210000}"/>
    <cellStyle name="Note 3 2 2 5 2 2 2" xfId="16745" xr:uid="{226286EC-AB60-480A-B921-FC5B894A640F}"/>
    <cellStyle name="Note 3 2 2 5 2 3" xfId="12527" xr:uid="{49C21BC4-764B-4293-82EE-BDF450E646AE}"/>
    <cellStyle name="Note 3 2 2 5 3" xfId="6150" xr:uid="{00000000-0005-0000-0000-000072210000}"/>
    <cellStyle name="Note 3 2 2 5 3 2" xfId="14600" xr:uid="{C46545CC-3E2E-44FF-9E6E-32F941328B79}"/>
    <cellStyle name="Note 3 2 2 5 4" xfId="10382" xr:uid="{B76D03E6-E295-48C7-922C-E1B183A2E71C}"/>
    <cellStyle name="Note 3 2 2 6" xfId="2257" xr:uid="{00000000-0005-0000-0000-000073210000}"/>
    <cellStyle name="Note 3 2 2 6 2" xfId="4486" xr:uid="{00000000-0005-0000-0000-000074210000}"/>
    <cellStyle name="Note 3 2 2 6 2 2" xfId="8708" xr:uid="{00000000-0005-0000-0000-000075210000}"/>
    <cellStyle name="Note 3 2 2 6 2 2 2" xfId="17158" xr:uid="{1A528DD7-1965-489B-9FED-361B0C1A5413}"/>
    <cellStyle name="Note 3 2 2 6 2 3" xfId="12940" xr:uid="{BF4A6A78-B835-4A50-A8E5-638BFF3A0E65}"/>
    <cellStyle name="Note 3 2 2 6 3" xfId="6563" xr:uid="{00000000-0005-0000-0000-000076210000}"/>
    <cellStyle name="Note 3 2 2 6 3 2" xfId="15013" xr:uid="{4AB476D9-A277-40FF-B6C9-9554751E2103}"/>
    <cellStyle name="Note 3 2 2 6 4" xfId="10795" xr:uid="{5E3E9CC7-E341-4C1B-BABA-3D1F880700EA}"/>
    <cellStyle name="Note 3 2 2 7" xfId="2693" xr:uid="{00000000-0005-0000-0000-000077210000}"/>
    <cellStyle name="Note 3 2 2 7 2" xfId="6976" xr:uid="{00000000-0005-0000-0000-000078210000}"/>
    <cellStyle name="Note 3 2 2 7 2 2" xfId="15426" xr:uid="{67C33929-A35F-411F-A127-7A4E08C76AB2}"/>
    <cellStyle name="Note 3 2 2 7 3" xfId="11208" xr:uid="{F1B67652-A90D-458B-BEE1-9271A2E59B4A}"/>
    <cellStyle name="Note 3 2 2 8" xfId="2752" xr:uid="{00000000-0005-0000-0000-000079210000}"/>
    <cellStyle name="Note 3 2 2 9" xfId="2833" xr:uid="{00000000-0005-0000-0000-00007A210000}"/>
    <cellStyle name="Note 3 2 2 9 2" xfId="7056" xr:uid="{00000000-0005-0000-0000-00007B210000}"/>
    <cellStyle name="Note 3 2 2 9 2 2" xfId="15506" xr:uid="{5CD03129-853C-4717-BEBC-53648A255DED}"/>
    <cellStyle name="Note 3 2 2 9 3" xfId="11288" xr:uid="{1D089AB1-C2EA-408C-A130-09E2A6E23C3F}"/>
    <cellStyle name="Note 3 2 3" xfId="557" xr:uid="{00000000-0005-0000-0000-00007C210000}"/>
    <cellStyle name="Note 3 2 3 10" xfId="9145" xr:uid="{69E8E257-2902-444B-B93F-2C551824E990}"/>
    <cellStyle name="Note 3 2 3 2" xfId="1017" xr:uid="{00000000-0005-0000-0000-00007D210000}"/>
    <cellStyle name="Note 3 2 3 2 2" xfId="3249" xr:uid="{00000000-0005-0000-0000-00007E210000}"/>
    <cellStyle name="Note 3 2 3 2 2 2" xfId="7471" xr:uid="{00000000-0005-0000-0000-00007F210000}"/>
    <cellStyle name="Note 3 2 3 2 2 2 2" xfId="15921" xr:uid="{FAFFA0CD-E9AE-4523-AA18-D1DA1594AADC}"/>
    <cellStyle name="Note 3 2 3 2 2 3" xfId="11703" xr:uid="{00528A19-F139-4380-A954-D647462EDD30}"/>
    <cellStyle name="Note 3 2 3 2 3" xfId="5326" xr:uid="{00000000-0005-0000-0000-000080210000}"/>
    <cellStyle name="Note 3 2 3 2 3 2" xfId="13776" xr:uid="{0271CB83-0FEC-4F60-A8FD-FFBBAC0594A3}"/>
    <cellStyle name="Note 3 2 3 2 4" xfId="9558" xr:uid="{9307CFFF-714B-4B33-8335-1CACC515A6E8}"/>
    <cellStyle name="Note 3 2 3 3" xfId="1432" xr:uid="{00000000-0005-0000-0000-000081210000}"/>
    <cellStyle name="Note 3 2 3 3 2" xfId="3662" xr:uid="{00000000-0005-0000-0000-000082210000}"/>
    <cellStyle name="Note 3 2 3 3 2 2" xfId="7884" xr:uid="{00000000-0005-0000-0000-000083210000}"/>
    <cellStyle name="Note 3 2 3 3 2 2 2" xfId="16334" xr:uid="{EDE045C4-99C7-4061-890E-920B2655B842}"/>
    <cellStyle name="Note 3 2 3 3 2 3" xfId="12116" xr:uid="{593C7737-A26A-4E96-BC41-614822849E70}"/>
    <cellStyle name="Note 3 2 3 3 3" xfId="5739" xr:uid="{00000000-0005-0000-0000-000084210000}"/>
    <cellStyle name="Note 3 2 3 3 3 2" xfId="14189" xr:uid="{27682D89-B910-4469-AAAF-35D0F011A67A}"/>
    <cellStyle name="Note 3 2 3 3 4" xfId="9971" xr:uid="{88794C5C-17A4-46A3-B7EC-1C50B8AC5EDC}"/>
    <cellStyle name="Note 3 2 3 4" xfId="1846" xr:uid="{00000000-0005-0000-0000-000085210000}"/>
    <cellStyle name="Note 3 2 3 4 2" xfId="4075" xr:uid="{00000000-0005-0000-0000-000086210000}"/>
    <cellStyle name="Note 3 2 3 4 2 2" xfId="8297" xr:uid="{00000000-0005-0000-0000-000087210000}"/>
    <cellStyle name="Note 3 2 3 4 2 2 2" xfId="16747" xr:uid="{45989677-34F8-4C33-A421-2438E82B9831}"/>
    <cellStyle name="Note 3 2 3 4 2 3" xfId="12529" xr:uid="{6F96DD8B-3703-47AF-9064-DAEF11B07C6A}"/>
    <cellStyle name="Note 3 2 3 4 3" xfId="6152" xr:uid="{00000000-0005-0000-0000-000088210000}"/>
    <cellStyle name="Note 3 2 3 4 3 2" xfId="14602" xr:uid="{DD774AC1-334D-4C14-9EB7-495BD55C83BC}"/>
    <cellStyle name="Note 3 2 3 4 4" xfId="10384" xr:uid="{20848DFE-0059-470E-80F4-D1D9F292AC66}"/>
    <cellStyle name="Note 3 2 3 5" xfId="2259" xr:uid="{00000000-0005-0000-0000-000089210000}"/>
    <cellStyle name="Note 3 2 3 5 2" xfId="4488" xr:uid="{00000000-0005-0000-0000-00008A210000}"/>
    <cellStyle name="Note 3 2 3 5 2 2" xfId="8710" xr:uid="{00000000-0005-0000-0000-00008B210000}"/>
    <cellStyle name="Note 3 2 3 5 2 2 2" xfId="17160" xr:uid="{F78B4FF9-529E-4269-B54A-2D2E2786877F}"/>
    <cellStyle name="Note 3 2 3 5 2 3" xfId="12942" xr:uid="{0BAA8555-2048-4CA1-9276-A4C15662E5BA}"/>
    <cellStyle name="Note 3 2 3 5 3" xfId="6565" xr:uid="{00000000-0005-0000-0000-00008C210000}"/>
    <cellStyle name="Note 3 2 3 5 3 2" xfId="15015" xr:uid="{A4CD07A6-6073-41DC-B888-66000A633373}"/>
    <cellStyle name="Note 3 2 3 5 4" xfId="10797" xr:uid="{01383C99-12D1-4CC6-8611-14C54A0F2E14}"/>
    <cellStyle name="Note 3 2 3 6" xfId="2695" xr:uid="{00000000-0005-0000-0000-00008D210000}"/>
    <cellStyle name="Note 3 2 3 6 2" xfId="6978" xr:uid="{00000000-0005-0000-0000-00008E210000}"/>
    <cellStyle name="Note 3 2 3 6 2 2" xfId="15428" xr:uid="{1B822A38-31CC-4B2F-B94E-664585F760B9}"/>
    <cellStyle name="Note 3 2 3 6 3" xfId="11210" xr:uid="{34CB0B26-9DA2-486D-B041-EA1D9F5A9D14}"/>
    <cellStyle name="Note 3 2 3 7" xfId="2754" xr:uid="{00000000-0005-0000-0000-00008F210000}"/>
    <cellStyle name="Note 3 2 3 8" xfId="2835" xr:uid="{00000000-0005-0000-0000-000090210000}"/>
    <cellStyle name="Note 3 2 3 8 2" xfId="7058" xr:uid="{00000000-0005-0000-0000-000091210000}"/>
    <cellStyle name="Note 3 2 3 8 2 2" xfId="15508" xr:uid="{0F6F82C7-C117-425F-96E4-EC5B7C7164AA}"/>
    <cellStyle name="Note 3 2 3 8 3" xfId="11290" xr:uid="{3E954557-0E48-494F-947E-E43680CE77CD}"/>
    <cellStyle name="Note 3 2 3 9" xfId="4913" xr:uid="{00000000-0005-0000-0000-000092210000}"/>
    <cellStyle name="Note 3 2 3 9 2" xfId="13363" xr:uid="{0F0F1748-26DC-4A3F-8988-EB60F6E36716}"/>
    <cellStyle name="Note 3 2 4" xfId="1014" xr:uid="{00000000-0005-0000-0000-000093210000}"/>
    <cellStyle name="Note 3 2 4 2" xfId="3246" xr:uid="{00000000-0005-0000-0000-000094210000}"/>
    <cellStyle name="Note 3 2 4 2 2" xfId="7468" xr:uid="{00000000-0005-0000-0000-000095210000}"/>
    <cellStyle name="Note 3 2 4 2 2 2" xfId="15918" xr:uid="{74D52773-5997-4E4B-8DB1-C8097300646C}"/>
    <cellStyle name="Note 3 2 4 2 3" xfId="11700" xr:uid="{48530E94-CB4F-4240-81DE-A88430371F63}"/>
    <cellStyle name="Note 3 2 4 3" xfId="5323" xr:uid="{00000000-0005-0000-0000-000096210000}"/>
    <cellStyle name="Note 3 2 4 3 2" xfId="13773" xr:uid="{F9FB5026-0690-4587-A403-A0EDC12F72AB}"/>
    <cellStyle name="Note 3 2 4 4" xfId="9555" xr:uid="{11C39720-02E9-4E7C-8A2E-6A9ED2703248}"/>
    <cellStyle name="Note 3 2 5" xfId="1429" xr:uid="{00000000-0005-0000-0000-000097210000}"/>
    <cellStyle name="Note 3 2 5 2" xfId="3659" xr:uid="{00000000-0005-0000-0000-000098210000}"/>
    <cellStyle name="Note 3 2 5 2 2" xfId="7881" xr:uid="{00000000-0005-0000-0000-000099210000}"/>
    <cellStyle name="Note 3 2 5 2 2 2" xfId="16331" xr:uid="{42BB5282-E0CD-4F1F-92DD-DC65CA698BA7}"/>
    <cellStyle name="Note 3 2 5 2 3" xfId="12113" xr:uid="{ADDE5D25-0C21-4463-9A41-65514FE4AFD3}"/>
    <cellStyle name="Note 3 2 5 3" xfId="5736" xr:uid="{00000000-0005-0000-0000-00009A210000}"/>
    <cellStyle name="Note 3 2 5 3 2" xfId="14186" xr:uid="{EDAA5F9D-FFFC-49A9-9568-07E394CA92E7}"/>
    <cellStyle name="Note 3 2 5 4" xfId="9968" xr:uid="{4E515877-D807-463E-800F-A7A7CB82C03E}"/>
    <cellStyle name="Note 3 2 6" xfId="1843" xr:uid="{00000000-0005-0000-0000-00009B210000}"/>
    <cellStyle name="Note 3 2 6 2" xfId="4072" xr:uid="{00000000-0005-0000-0000-00009C210000}"/>
    <cellStyle name="Note 3 2 6 2 2" xfId="8294" xr:uid="{00000000-0005-0000-0000-00009D210000}"/>
    <cellStyle name="Note 3 2 6 2 2 2" xfId="16744" xr:uid="{3C668068-4C41-485B-8321-48CD52602AB4}"/>
    <cellStyle name="Note 3 2 6 2 3" xfId="12526" xr:uid="{BEC8464B-1FBC-4BCE-B188-EE9BA56E6766}"/>
    <cellStyle name="Note 3 2 6 3" xfId="6149" xr:uid="{00000000-0005-0000-0000-00009E210000}"/>
    <cellStyle name="Note 3 2 6 3 2" xfId="14599" xr:uid="{184B3F8A-AC65-4DC9-8DEF-811183ED5478}"/>
    <cellStyle name="Note 3 2 6 4" xfId="10381" xr:uid="{9F4EC8D2-7CC0-40EA-AD58-C8B79AACC74D}"/>
    <cellStyle name="Note 3 2 7" xfId="2256" xr:uid="{00000000-0005-0000-0000-00009F210000}"/>
    <cellStyle name="Note 3 2 7 2" xfId="4485" xr:uid="{00000000-0005-0000-0000-0000A0210000}"/>
    <cellStyle name="Note 3 2 7 2 2" xfId="8707" xr:uid="{00000000-0005-0000-0000-0000A1210000}"/>
    <cellStyle name="Note 3 2 7 2 2 2" xfId="17157" xr:uid="{F957BC29-98A1-4F1C-A235-0783AC923063}"/>
    <cellStyle name="Note 3 2 7 2 3" xfId="12939" xr:uid="{DDE934F9-AE9C-434A-AB31-A063621A569C}"/>
    <cellStyle name="Note 3 2 7 3" xfId="6562" xr:uid="{00000000-0005-0000-0000-0000A2210000}"/>
    <cellStyle name="Note 3 2 7 3 2" xfId="15012" xr:uid="{B860064F-FC76-466C-BCB7-5CEF95B24199}"/>
    <cellStyle name="Note 3 2 7 4" xfId="10794" xr:uid="{67F0BC02-163A-4794-98EB-E55990915C55}"/>
    <cellStyle name="Note 3 2 8" xfId="2692" xr:uid="{00000000-0005-0000-0000-0000A3210000}"/>
    <cellStyle name="Note 3 2 8 2" xfId="6975" xr:uid="{00000000-0005-0000-0000-0000A4210000}"/>
    <cellStyle name="Note 3 2 8 2 2" xfId="15425" xr:uid="{C3E660D3-B0C3-4DCD-A468-56E6C5F777D7}"/>
    <cellStyle name="Note 3 2 8 3" xfId="11207" xr:uid="{9D039861-BE6B-4F8E-8319-CDA806B203DE}"/>
    <cellStyle name="Note 3 2 9" xfId="2751" xr:uid="{00000000-0005-0000-0000-0000A5210000}"/>
    <cellStyle name="Note 3 3" xfId="558" xr:uid="{00000000-0005-0000-0000-0000A6210000}"/>
    <cellStyle name="Note 3 3 10" xfId="4914" xr:uid="{00000000-0005-0000-0000-0000A7210000}"/>
    <cellStyle name="Note 3 3 10 2" xfId="13364" xr:uid="{60B5B49B-5A5A-487F-81CB-9EE251489CDA}"/>
    <cellStyle name="Note 3 3 11" xfId="9146" xr:uid="{5B22D273-35FE-4D4B-8F0A-8A2C73DD1EC9}"/>
    <cellStyle name="Note 3 3 2" xfId="559" xr:uid="{00000000-0005-0000-0000-0000A8210000}"/>
    <cellStyle name="Note 3 3 2 10" xfId="9147" xr:uid="{D8B06CEF-0966-43F7-86B5-7DE0C3D23412}"/>
    <cellStyle name="Note 3 3 2 2" xfId="1019" xr:uid="{00000000-0005-0000-0000-0000A9210000}"/>
    <cellStyle name="Note 3 3 2 2 2" xfId="3251" xr:uid="{00000000-0005-0000-0000-0000AA210000}"/>
    <cellStyle name="Note 3 3 2 2 2 2" xfId="7473" xr:uid="{00000000-0005-0000-0000-0000AB210000}"/>
    <cellStyle name="Note 3 3 2 2 2 2 2" xfId="15923" xr:uid="{D3A0FA51-7DD4-4968-A70A-61ED1E2F8FC0}"/>
    <cellStyle name="Note 3 3 2 2 2 3" xfId="11705" xr:uid="{D27D9B8C-718D-4591-A038-2F960AB635EB}"/>
    <cellStyle name="Note 3 3 2 2 3" xfId="5328" xr:uid="{00000000-0005-0000-0000-0000AC210000}"/>
    <cellStyle name="Note 3 3 2 2 3 2" xfId="13778" xr:uid="{AB882F06-C2AE-4077-A7F0-0E4950741B9F}"/>
    <cellStyle name="Note 3 3 2 2 4" xfId="9560" xr:uid="{9F29FA75-4FF2-4564-ADD8-F7FE4479B356}"/>
    <cellStyle name="Note 3 3 2 3" xfId="1434" xr:uid="{00000000-0005-0000-0000-0000AD210000}"/>
    <cellStyle name="Note 3 3 2 3 2" xfId="3664" xr:uid="{00000000-0005-0000-0000-0000AE210000}"/>
    <cellStyle name="Note 3 3 2 3 2 2" xfId="7886" xr:uid="{00000000-0005-0000-0000-0000AF210000}"/>
    <cellStyle name="Note 3 3 2 3 2 2 2" xfId="16336" xr:uid="{28C2546A-9781-4A12-A993-81B540F2B12E}"/>
    <cellStyle name="Note 3 3 2 3 2 3" xfId="12118" xr:uid="{47E05881-BC01-4F10-B8DD-205C56467B97}"/>
    <cellStyle name="Note 3 3 2 3 3" xfId="5741" xr:uid="{00000000-0005-0000-0000-0000B0210000}"/>
    <cellStyle name="Note 3 3 2 3 3 2" xfId="14191" xr:uid="{DACAFA4C-728F-4B8B-B745-ADB9A6555454}"/>
    <cellStyle name="Note 3 3 2 3 4" xfId="9973" xr:uid="{C14CD34B-571F-400E-A288-990810A57989}"/>
    <cellStyle name="Note 3 3 2 4" xfId="1848" xr:uid="{00000000-0005-0000-0000-0000B1210000}"/>
    <cellStyle name="Note 3 3 2 4 2" xfId="4077" xr:uid="{00000000-0005-0000-0000-0000B2210000}"/>
    <cellStyle name="Note 3 3 2 4 2 2" xfId="8299" xr:uid="{00000000-0005-0000-0000-0000B3210000}"/>
    <cellStyle name="Note 3 3 2 4 2 2 2" xfId="16749" xr:uid="{6D3969CF-9835-488B-A8B4-B92C5A014877}"/>
    <cellStyle name="Note 3 3 2 4 2 3" xfId="12531" xr:uid="{159AD928-A880-4B45-ADB2-BE62D805D73A}"/>
    <cellStyle name="Note 3 3 2 4 3" xfId="6154" xr:uid="{00000000-0005-0000-0000-0000B4210000}"/>
    <cellStyle name="Note 3 3 2 4 3 2" xfId="14604" xr:uid="{1C96D74D-5486-40BB-A993-0C498D2804C3}"/>
    <cellStyle name="Note 3 3 2 4 4" xfId="10386" xr:uid="{EC911DDD-C816-44F8-8AC0-A80F3A10948A}"/>
    <cellStyle name="Note 3 3 2 5" xfId="2261" xr:uid="{00000000-0005-0000-0000-0000B5210000}"/>
    <cellStyle name="Note 3 3 2 5 2" xfId="4490" xr:uid="{00000000-0005-0000-0000-0000B6210000}"/>
    <cellStyle name="Note 3 3 2 5 2 2" xfId="8712" xr:uid="{00000000-0005-0000-0000-0000B7210000}"/>
    <cellStyle name="Note 3 3 2 5 2 2 2" xfId="17162" xr:uid="{3A3D73AD-E755-483B-9478-4467200FD095}"/>
    <cellStyle name="Note 3 3 2 5 2 3" xfId="12944" xr:uid="{8B3E74E5-51F1-438C-829E-DC3026967AF0}"/>
    <cellStyle name="Note 3 3 2 5 3" xfId="6567" xr:uid="{00000000-0005-0000-0000-0000B8210000}"/>
    <cellStyle name="Note 3 3 2 5 3 2" xfId="15017" xr:uid="{8543A583-A949-4C5D-BBFD-38CDE1E594B2}"/>
    <cellStyle name="Note 3 3 2 5 4" xfId="10799" xr:uid="{90DE905C-365B-4B4B-8007-638950B08E1A}"/>
    <cellStyle name="Note 3 3 2 6" xfId="2697" xr:uid="{00000000-0005-0000-0000-0000B9210000}"/>
    <cellStyle name="Note 3 3 2 6 2" xfId="6980" xr:uid="{00000000-0005-0000-0000-0000BA210000}"/>
    <cellStyle name="Note 3 3 2 6 2 2" xfId="15430" xr:uid="{48083C88-3623-4DCD-BB0F-5694770137E0}"/>
    <cellStyle name="Note 3 3 2 6 3" xfId="11212" xr:uid="{7E824940-2065-4A68-98D5-58ECE2E2EAC1}"/>
    <cellStyle name="Note 3 3 2 7" xfId="2756" xr:uid="{00000000-0005-0000-0000-0000BB210000}"/>
    <cellStyle name="Note 3 3 2 8" xfId="2837" xr:uid="{00000000-0005-0000-0000-0000BC210000}"/>
    <cellStyle name="Note 3 3 2 8 2" xfId="7060" xr:uid="{00000000-0005-0000-0000-0000BD210000}"/>
    <cellStyle name="Note 3 3 2 8 2 2" xfId="15510" xr:uid="{3BB92B23-6362-466C-A88E-707293B3A9DD}"/>
    <cellStyle name="Note 3 3 2 8 3" xfId="11292" xr:uid="{B79D774D-5E08-4B3C-8A83-E8E0C64ED37D}"/>
    <cellStyle name="Note 3 3 2 9" xfId="4915" xr:uid="{00000000-0005-0000-0000-0000BE210000}"/>
    <cellStyle name="Note 3 3 2 9 2" xfId="13365" xr:uid="{7C1F56D4-31D0-486C-A2B5-5BB05A6D5F24}"/>
    <cellStyle name="Note 3 3 3" xfId="1018" xr:uid="{00000000-0005-0000-0000-0000BF210000}"/>
    <cellStyle name="Note 3 3 3 2" xfId="3250" xr:uid="{00000000-0005-0000-0000-0000C0210000}"/>
    <cellStyle name="Note 3 3 3 2 2" xfId="7472" xr:uid="{00000000-0005-0000-0000-0000C1210000}"/>
    <cellStyle name="Note 3 3 3 2 2 2" xfId="15922" xr:uid="{0CDE74DE-88FD-4959-9404-F4DA2D3DC76B}"/>
    <cellStyle name="Note 3 3 3 2 3" xfId="11704" xr:uid="{A6F89E79-6688-493F-A5E2-91BA700A299C}"/>
    <cellStyle name="Note 3 3 3 3" xfId="5327" xr:uid="{00000000-0005-0000-0000-0000C2210000}"/>
    <cellStyle name="Note 3 3 3 3 2" xfId="13777" xr:uid="{BD5BFA27-7F29-4AA7-BB44-2273AFDE6C5C}"/>
    <cellStyle name="Note 3 3 3 4" xfId="9559" xr:uid="{FA357392-38CE-4440-BC1E-AF4364445D31}"/>
    <cellStyle name="Note 3 3 4" xfId="1433" xr:uid="{00000000-0005-0000-0000-0000C3210000}"/>
    <cellStyle name="Note 3 3 4 2" xfId="3663" xr:uid="{00000000-0005-0000-0000-0000C4210000}"/>
    <cellStyle name="Note 3 3 4 2 2" xfId="7885" xr:uid="{00000000-0005-0000-0000-0000C5210000}"/>
    <cellStyle name="Note 3 3 4 2 2 2" xfId="16335" xr:uid="{C55D5D6E-1F8F-4960-BF7E-C437F52EAB85}"/>
    <cellStyle name="Note 3 3 4 2 3" xfId="12117" xr:uid="{1825DE53-2D41-405C-BC66-43FA22B90DA2}"/>
    <cellStyle name="Note 3 3 4 3" xfId="5740" xr:uid="{00000000-0005-0000-0000-0000C6210000}"/>
    <cellStyle name="Note 3 3 4 3 2" xfId="14190" xr:uid="{57D0C3DF-3004-4B1F-8952-4A11E4B58E00}"/>
    <cellStyle name="Note 3 3 4 4" xfId="9972" xr:uid="{6F957923-9FC0-4BD8-8F83-21407B4C94D7}"/>
    <cellStyle name="Note 3 3 5" xfId="1847" xr:uid="{00000000-0005-0000-0000-0000C7210000}"/>
    <cellStyle name="Note 3 3 5 2" xfId="4076" xr:uid="{00000000-0005-0000-0000-0000C8210000}"/>
    <cellStyle name="Note 3 3 5 2 2" xfId="8298" xr:uid="{00000000-0005-0000-0000-0000C9210000}"/>
    <cellStyle name="Note 3 3 5 2 2 2" xfId="16748" xr:uid="{2D5EEC78-731D-4B87-8FA8-1D506BC0AFA7}"/>
    <cellStyle name="Note 3 3 5 2 3" xfId="12530" xr:uid="{9B2D4411-D95B-4D62-9340-EA1B6EB34107}"/>
    <cellStyle name="Note 3 3 5 3" xfId="6153" xr:uid="{00000000-0005-0000-0000-0000CA210000}"/>
    <cellStyle name="Note 3 3 5 3 2" xfId="14603" xr:uid="{AD02F574-8FA2-4F35-A9B0-D7E6E36ADED4}"/>
    <cellStyle name="Note 3 3 5 4" xfId="10385" xr:uid="{B7A8B0A6-F444-462A-B087-D214430DEFD0}"/>
    <cellStyle name="Note 3 3 6" xfId="2260" xr:uid="{00000000-0005-0000-0000-0000CB210000}"/>
    <cellStyle name="Note 3 3 6 2" xfId="4489" xr:uid="{00000000-0005-0000-0000-0000CC210000}"/>
    <cellStyle name="Note 3 3 6 2 2" xfId="8711" xr:uid="{00000000-0005-0000-0000-0000CD210000}"/>
    <cellStyle name="Note 3 3 6 2 2 2" xfId="17161" xr:uid="{EFB144E8-A653-46C6-88D8-909F06176A93}"/>
    <cellStyle name="Note 3 3 6 2 3" xfId="12943" xr:uid="{E08F62E9-DBEB-4D17-9967-2D7AE6D201B8}"/>
    <cellStyle name="Note 3 3 6 3" xfId="6566" xr:uid="{00000000-0005-0000-0000-0000CE210000}"/>
    <cellStyle name="Note 3 3 6 3 2" xfId="15016" xr:uid="{2C09E2E7-0E55-4800-9911-05926DCB941B}"/>
    <cellStyle name="Note 3 3 6 4" xfId="10798" xr:uid="{EEB638E9-7AE9-48E4-8362-DBBFF0BAE55F}"/>
    <cellStyle name="Note 3 3 7" xfId="2696" xr:uid="{00000000-0005-0000-0000-0000CF210000}"/>
    <cellStyle name="Note 3 3 7 2" xfId="6979" xr:uid="{00000000-0005-0000-0000-0000D0210000}"/>
    <cellStyle name="Note 3 3 7 2 2" xfId="15429" xr:uid="{74657121-6510-44DD-ABAB-97A7D0748E3B}"/>
    <cellStyle name="Note 3 3 7 3" xfId="11211" xr:uid="{21112384-9FCF-4BBD-BFD7-B6A498D15235}"/>
    <cellStyle name="Note 3 3 8" xfId="2755" xr:uid="{00000000-0005-0000-0000-0000D1210000}"/>
    <cellStyle name="Note 3 3 9" xfId="2836" xr:uid="{00000000-0005-0000-0000-0000D2210000}"/>
    <cellStyle name="Note 3 3 9 2" xfId="7059" xr:uid="{00000000-0005-0000-0000-0000D3210000}"/>
    <cellStyle name="Note 3 3 9 2 2" xfId="15509" xr:uid="{DC0ECEAB-3A3A-41B6-8DB3-F72F6F01CED2}"/>
    <cellStyle name="Note 3 3 9 3" xfId="11291" xr:uid="{6956BBF7-99BA-47B6-9E8C-25E9B6A13921}"/>
    <cellStyle name="Note 3 4" xfId="560" xr:uid="{00000000-0005-0000-0000-0000D4210000}"/>
    <cellStyle name="Note 3 4 10" xfId="9148" xr:uid="{290961A7-AB56-414F-94E6-A992D7075A2D}"/>
    <cellStyle name="Note 3 4 2" xfId="1020" xr:uid="{00000000-0005-0000-0000-0000D5210000}"/>
    <cellStyle name="Note 3 4 2 2" xfId="3252" xr:uid="{00000000-0005-0000-0000-0000D6210000}"/>
    <cellStyle name="Note 3 4 2 2 2" xfId="7474" xr:uid="{00000000-0005-0000-0000-0000D7210000}"/>
    <cellStyle name="Note 3 4 2 2 2 2" xfId="15924" xr:uid="{33D2AF15-82FB-4B69-A389-0517CB3378E8}"/>
    <cellStyle name="Note 3 4 2 2 3" xfId="11706" xr:uid="{F32A5F9E-661A-4954-8602-BF8AB1E78A32}"/>
    <cellStyle name="Note 3 4 2 3" xfId="5329" xr:uid="{00000000-0005-0000-0000-0000D8210000}"/>
    <cellStyle name="Note 3 4 2 3 2" xfId="13779" xr:uid="{BD319CA2-E677-474B-8EB7-3D7E0B85CCA7}"/>
    <cellStyle name="Note 3 4 2 4" xfId="9561" xr:uid="{C90D5ED7-9868-4D99-87AD-BDA19D1C01E6}"/>
    <cellStyle name="Note 3 4 3" xfId="1435" xr:uid="{00000000-0005-0000-0000-0000D9210000}"/>
    <cellStyle name="Note 3 4 3 2" xfId="3665" xr:uid="{00000000-0005-0000-0000-0000DA210000}"/>
    <cellStyle name="Note 3 4 3 2 2" xfId="7887" xr:uid="{00000000-0005-0000-0000-0000DB210000}"/>
    <cellStyle name="Note 3 4 3 2 2 2" xfId="16337" xr:uid="{CB339966-F589-4F88-9F3B-BDAF55D5F287}"/>
    <cellStyle name="Note 3 4 3 2 3" xfId="12119" xr:uid="{720DC169-C3D0-483B-89B2-3DB0A8C0E481}"/>
    <cellStyle name="Note 3 4 3 3" xfId="5742" xr:uid="{00000000-0005-0000-0000-0000DC210000}"/>
    <cellStyle name="Note 3 4 3 3 2" xfId="14192" xr:uid="{C765EBD3-8FD3-4D8E-9473-35AB74833C55}"/>
    <cellStyle name="Note 3 4 3 4" xfId="9974" xr:uid="{1E514F07-98EB-4F61-A5BA-0048AD1255EF}"/>
    <cellStyle name="Note 3 4 4" xfId="1849" xr:uid="{00000000-0005-0000-0000-0000DD210000}"/>
    <cellStyle name="Note 3 4 4 2" xfId="4078" xr:uid="{00000000-0005-0000-0000-0000DE210000}"/>
    <cellStyle name="Note 3 4 4 2 2" xfId="8300" xr:uid="{00000000-0005-0000-0000-0000DF210000}"/>
    <cellStyle name="Note 3 4 4 2 2 2" xfId="16750" xr:uid="{4E201E2F-A6B8-4193-8428-422EEC0A477F}"/>
    <cellStyle name="Note 3 4 4 2 3" xfId="12532" xr:uid="{4036B5C8-AA9D-4F1F-8755-68D64BF27C78}"/>
    <cellStyle name="Note 3 4 4 3" xfId="6155" xr:uid="{00000000-0005-0000-0000-0000E0210000}"/>
    <cellStyle name="Note 3 4 4 3 2" xfId="14605" xr:uid="{AF505536-FFA0-4599-ADD9-B35B65BE49CC}"/>
    <cellStyle name="Note 3 4 4 4" xfId="10387" xr:uid="{F0A99987-40C4-4E67-A5F0-856369A5BE4E}"/>
    <cellStyle name="Note 3 4 5" xfId="2262" xr:uid="{00000000-0005-0000-0000-0000E1210000}"/>
    <cellStyle name="Note 3 4 5 2" xfId="4491" xr:uid="{00000000-0005-0000-0000-0000E2210000}"/>
    <cellStyle name="Note 3 4 5 2 2" xfId="8713" xr:uid="{00000000-0005-0000-0000-0000E3210000}"/>
    <cellStyle name="Note 3 4 5 2 2 2" xfId="17163" xr:uid="{EF5337D2-9ED3-4BB5-A497-FF632623B75C}"/>
    <cellStyle name="Note 3 4 5 2 3" xfId="12945" xr:uid="{DA481292-5EF5-47A6-ACC2-6C44E8DC4B38}"/>
    <cellStyle name="Note 3 4 5 3" xfId="6568" xr:uid="{00000000-0005-0000-0000-0000E4210000}"/>
    <cellStyle name="Note 3 4 5 3 2" xfId="15018" xr:uid="{002CBDCD-892F-4684-B287-6BE9611D82A1}"/>
    <cellStyle name="Note 3 4 5 4" xfId="10800" xr:uid="{C4CDB47E-DCF7-4192-B873-4F3D30CC712B}"/>
    <cellStyle name="Note 3 4 6" xfId="2698" xr:uid="{00000000-0005-0000-0000-0000E5210000}"/>
    <cellStyle name="Note 3 4 6 2" xfId="6981" xr:uid="{00000000-0005-0000-0000-0000E6210000}"/>
    <cellStyle name="Note 3 4 6 2 2" xfId="15431" xr:uid="{5559F87B-B420-4198-8015-188644DAA3EC}"/>
    <cellStyle name="Note 3 4 6 3" xfId="11213" xr:uid="{96D9A0C7-9B59-4C2C-9D7A-6E3FA527EE00}"/>
    <cellStyle name="Note 3 4 7" xfId="2757" xr:uid="{00000000-0005-0000-0000-0000E7210000}"/>
    <cellStyle name="Note 3 4 8" xfId="2838" xr:uid="{00000000-0005-0000-0000-0000E8210000}"/>
    <cellStyle name="Note 3 4 8 2" xfId="7061" xr:uid="{00000000-0005-0000-0000-0000E9210000}"/>
    <cellStyle name="Note 3 4 8 2 2" xfId="15511" xr:uid="{791E20BD-1BED-4F9A-962B-5FC1018D2003}"/>
    <cellStyle name="Note 3 4 8 3" xfId="11293" xr:uid="{72A1EB2A-2D1E-4D87-A37D-A4F880E94B7F}"/>
    <cellStyle name="Note 3 4 9" xfId="4916" xr:uid="{00000000-0005-0000-0000-0000EA210000}"/>
    <cellStyle name="Note 3 4 9 2" xfId="13366" xr:uid="{36BCD543-98C8-4D0B-B103-F01CCF0A29BD}"/>
    <cellStyle name="Note 3 5" xfId="561" xr:uid="{00000000-0005-0000-0000-0000EB210000}"/>
    <cellStyle name="Note 3 5 10" xfId="9149" xr:uid="{9DDE49A7-76D8-40F8-A709-034A601D3F69}"/>
    <cellStyle name="Note 3 5 2" xfId="1021" xr:uid="{00000000-0005-0000-0000-0000EC210000}"/>
    <cellStyle name="Note 3 5 2 2" xfId="3253" xr:uid="{00000000-0005-0000-0000-0000ED210000}"/>
    <cellStyle name="Note 3 5 2 2 2" xfId="7475" xr:uid="{00000000-0005-0000-0000-0000EE210000}"/>
    <cellStyle name="Note 3 5 2 2 2 2" xfId="15925" xr:uid="{36A97FB2-3AAB-4D7E-AF3F-3E85097641C5}"/>
    <cellStyle name="Note 3 5 2 2 3" xfId="11707" xr:uid="{A79C9C61-FB1D-4459-907F-14DDAF6F2F08}"/>
    <cellStyle name="Note 3 5 2 3" xfId="5330" xr:uid="{00000000-0005-0000-0000-0000EF210000}"/>
    <cellStyle name="Note 3 5 2 3 2" xfId="13780" xr:uid="{2380692F-30CC-4B7D-A0D6-CCBCD1387A60}"/>
    <cellStyle name="Note 3 5 2 4" xfId="9562" xr:uid="{FB5E0DD6-962D-46FB-B198-C0E498D278D0}"/>
    <cellStyle name="Note 3 5 3" xfId="1436" xr:uid="{00000000-0005-0000-0000-0000F0210000}"/>
    <cellStyle name="Note 3 5 3 2" xfId="3666" xr:uid="{00000000-0005-0000-0000-0000F1210000}"/>
    <cellStyle name="Note 3 5 3 2 2" xfId="7888" xr:uid="{00000000-0005-0000-0000-0000F2210000}"/>
    <cellStyle name="Note 3 5 3 2 2 2" xfId="16338" xr:uid="{3D55E6FD-18F7-4476-989D-C853183EBE26}"/>
    <cellStyle name="Note 3 5 3 2 3" xfId="12120" xr:uid="{B3DDA5C3-0C60-4B89-AC83-3B742A171557}"/>
    <cellStyle name="Note 3 5 3 3" xfId="5743" xr:uid="{00000000-0005-0000-0000-0000F3210000}"/>
    <cellStyle name="Note 3 5 3 3 2" xfId="14193" xr:uid="{64085D95-0477-4409-9E66-63ABFA266785}"/>
    <cellStyle name="Note 3 5 3 4" xfId="9975" xr:uid="{180AAA88-6AA7-4D5F-8D7B-7A75B83D8391}"/>
    <cellStyle name="Note 3 5 4" xfId="1850" xr:uid="{00000000-0005-0000-0000-0000F4210000}"/>
    <cellStyle name="Note 3 5 4 2" xfId="4079" xr:uid="{00000000-0005-0000-0000-0000F5210000}"/>
    <cellStyle name="Note 3 5 4 2 2" xfId="8301" xr:uid="{00000000-0005-0000-0000-0000F6210000}"/>
    <cellStyle name="Note 3 5 4 2 2 2" xfId="16751" xr:uid="{BBBCB077-6B65-416B-9422-78BB04368FE9}"/>
    <cellStyle name="Note 3 5 4 2 3" xfId="12533" xr:uid="{5AA48DFD-03F2-4FE7-9B44-8659D33C9E33}"/>
    <cellStyle name="Note 3 5 4 3" xfId="6156" xr:uid="{00000000-0005-0000-0000-0000F7210000}"/>
    <cellStyle name="Note 3 5 4 3 2" xfId="14606" xr:uid="{98E93A7B-9AB9-4C70-843B-D879B01D108D}"/>
    <cellStyle name="Note 3 5 4 4" xfId="10388" xr:uid="{B3A463A9-1F55-4C47-99F8-14CC500088DD}"/>
    <cellStyle name="Note 3 5 5" xfId="2263" xr:uid="{00000000-0005-0000-0000-0000F8210000}"/>
    <cellStyle name="Note 3 5 5 2" xfId="4492" xr:uid="{00000000-0005-0000-0000-0000F9210000}"/>
    <cellStyle name="Note 3 5 5 2 2" xfId="8714" xr:uid="{00000000-0005-0000-0000-0000FA210000}"/>
    <cellStyle name="Note 3 5 5 2 2 2" xfId="17164" xr:uid="{3425B1D4-6CC5-42D4-8984-9CB5C8096D19}"/>
    <cellStyle name="Note 3 5 5 2 3" xfId="12946" xr:uid="{1231C5D8-EBA5-45FC-BACD-A687EBB855A3}"/>
    <cellStyle name="Note 3 5 5 3" xfId="6569" xr:uid="{00000000-0005-0000-0000-0000FB210000}"/>
    <cellStyle name="Note 3 5 5 3 2" xfId="15019" xr:uid="{4F554347-AF02-43A1-8BB0-FC5474D97BCD}"/>
    <cellStyle name="Note 3 5 5 4" xfId="10801" xr:uid="{0C3707D8-14A3-43C8-A2B1-73C032DB55A7}"/>
    <cellStyle name="Note 3 5 6" xfId="2699" xr:uid="{00000000-0005-0000-0000-0000FC210000}"/>
    <cellStyle name="Note 3 5 6 2" xfId="6982" xr:uid="{00000000-0005-0000-0000-0000FD210000}"/>
    <cellStyle name="Note 3 5 6 2 2" xfId="15432" xr:uid="{34446CA9-13AF-4765-A57A-5703A3C33C10}"/>
    <cellStyle name="Note 3 5 6 3" xfId="11214" xr:uid="{85915174-9DE0-4AC8-B2B0-59446AA57007}"/>
    <cellStyle name="Note 3 5 7" xfId="2758" xr:uid="{00000000-0005-0000-0000-0000FE210000}"/>
    <cellStyle name="Note 3 5 8" xfId="2839" xr:uid="{00000000-0005-0000-0000-0000FF210000}"/>
    <cellStyle name="Note 3 5 8 2" xfId="7062" xr:uid="{00000000-0005-0000-0000-000000220000}"/>
    <cellStyle name="Note 3 5 8 2 2" xfId="15512" xr:uid="{EF82ABB4-CD91-4134-A9EB-0D9FFE8F8BC9}"/>
    <cellStyle name="Note 3 5 8 3" xfId="11294" xr:uid="{3563CCA9-F8E5-47BF-913F-D7549CCBC2C1}"/>
    <cellStyle name="Note 3 5 9" xfId="4917" xr:uid="{00000000-0005-0000-0000-000001220000}"/>
    <cellStyle name="Note 3 5 9 2" xfId="13367" xr:uid="{A6C32210-3F1C-4BD0-90E8-C30BD87BEACC}"/>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503EAEAE-A96C-49F8-8009-D65BA7BD7198}"/>
    <cellStyle name="Percent 4" xfId="4502" xr:uid="{00000000-0005-0000-0000-000007220000}"/>
    <cellStyle name="Percent 4 2" xfId="8717" xr:uid="{00000000-0005-0000-0000-000008220000}"/>
    <cellStyle name="Percent 4 2 2" xfId="17167" xr:uid="{50ECDE45-02F9-4A3D-9321-D5409957F239}"/>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FCF7E56F-2613-44D9-BDFD-883019DD860A}"/>
    <cellStyle name="Percent 4 3 2 2 2 3" xfId="17180" xr:uid="{E3CF2234-401C-4A31-8129-4001AA964E50}"/>
    <cellStyle name="Percent 4 3 2 2 3" xfId="17176" xr:uid="{C6A071B6-00DA-4888-8E9E-A45C36D5231B}"/>
    <cellStyle name="Percent 4 3 2 3" xfId="17173" xr:uid="{0AC3E08D-D516-42A6-93CF-3683E7EBCCE0}"/>
    <cellStyle name="Percent 4 3 3" xfId="17170" xr:uid="{07720045-1D25-45BD-8997-4B084B01E13C}"/>
    <cellStyle name="Percent 4 4" xfId="12953" xr:uid="{E8C7DD5D-EADC-458F-9613-4CE626F056FB}"/>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x14ac:dyDescent="0.25"/>
  <cols>
    <col min="1" max="5" width="2.54296875" customWidth="1"/>
    <col min="6" max="6" width="3" customWidth="1"/>
    <col min="7" max="36" width="2.54296875" customWidth="1"/>
    <col min="37" max="38" width="2.6328125" customWidth="1"/>
    <col min="39" max="16384" width="2.54296875" hidden="1"/>
  </cols>
  <sheetData>
    <row r="1" spans="1:38" x14ac:dyDescent="0.25">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x14ac:dyDescent="0.3">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x14ac:dyDescent="0.25"/>
    <row r="4" spans="1:38" s="5" customFormat="1" ht="13" x14ac:dyDescent="0.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x14ac:dyDescent="0.3">
      <c r="B5" s="2"/>
      <c r="C5" s="2"/>
      <c r="D5" s="4"/>
      <c r="E5" s="4"/>
      <c r="F5" s="4"/>
      <c r="G5" s="4"/>
      <c r="H5" s="4"/>
      <c r="I5" s="4"/>
      <c r="J5" s="4"/>
      <c r="K5" s="4"/>
      <c r="L5" s="4"/>
      <c r="M5" s="4"/>
      <c r="N5" s="4"/>
      <c r="O5" s="4"/>
      <c r="P5" s="4"/>
      <c r="Q5" s="4"/>
      <c r="R5" s="4"/>
      <c r="S5" s="4"/>
      <c r="T5" s="4"/>
      <c r="U5" s="4"/>
      <c r="V5" s="4"/>
      <c r="W5" s="4"/>
      <c r="X5" s="4"/>
      <c r="Y5" s="4"/>
      <c r="Z5" s="4"/>
      <c r="AA5" s="4"/>
      <c r="AB5" s="4"/>
    </row>
    <row r="6" spans="1:38" ht="13" x14ac:dyDescent="0.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x14ac:dyDescent="0.3">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x14ac:dyDescent="0.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x14ac:dyDescent="0.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x14ac:dyDescent="0.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x14ac:dyDescent="0.3">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x14ac:dyDescent="0.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x14ac:dyDescent="0.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x14ac:dyDescent="0.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5" customHeight="1" x14ac:dyDescent="0.3">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5" customHeight="1" x14ac:dyDescent="0.3">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x14ac:dyDescent="0.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x14ac:dyDescent="0.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x14ac:dyDescent="0.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5" customHeight="1" x14ac:dyDescent="0.3">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x14ac:dyDescent="0.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x14ac:dyDescent="0.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5" customHeight="1" x14ac:dyDescent="0.3">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x14ac:dyDescent="0.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x14ac:dyDescent="0.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x14ac:dyDescent="0.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x14ac:dyDescent="0.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x14ac:dyDescent="0.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x14ac:dyDescent="0.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5" customHeight="1" x14ac:dyDescent="0.3">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x14ac:dyDescent="0.3">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x14ac:dyDescent="0.3">
      <c r="A32" s="4"/>
      <c r="C32" s="2"/>
    </row>
    <row r="33" spans="1:38" x14ac:dyDescent="0.25">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x14ac:dyDescent="0.25">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x14ac:dyDescent="0.3">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x14ac:dyDescent="0.3">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x14ac:dyDescent="0.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x14ac:dyDescent="0.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x14ac:dyDescent="0.25">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5" customHeight="1" x14ac:dyDescent="0.3">
      <c r="A40" s="4"/>
      <c r="B40"/>
      <c r="C40" s="2"/>
      <c r="D40" s="4"/>
      <c r="E40" s="4" t="s">
        <v>654</v>
      </c>
      <c r="F40" s="1261" t="s">
        <v>1165</v>
      </c>
    </row>
    <row r="41" spans="1:38" s="1261" customFormat="1" ht="13.25" customHeight="1" x14ac:dyDescent="0.3">
      <c r="A41" s="4"/>
      <c r="B41"/>
      <c r="C41" s="2"/>
      <c r="D41" s="4"/>
      <c r="E41" s="4"/>
    </row>
    <row r="42" spans="1:38" ht="13" x14ac:dyDescent="0.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5" customHeight="1" x14ac:dyDescent="0.3">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x14ac:dyDescent="0.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x14ac:dyDescent="0.3">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x14ac:dyDescent="0.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x14ac:dyDescent="0.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x14ac:dyDescent="0.3">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x14ac:dyDescent="0.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x14ac:dyDescent="0.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x14ac:dyDescent="0.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x14ac:dyDescent="0.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x14ac:dyDescent="0.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x14ac:dyDescent="0.3">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5" customHeight="1" x14ac:dyDescent="0.3">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x14ac:dyDescent="0.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5" customHeight="1" x14ac:dyDescent="0.3">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x14ac:dyDescent="0.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x14ac:dyDescent="0.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x14ac:dyDescent="0.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x14ac:dyDescent="0.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x14ac:dyDescent="0.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x14ac:dyDescent="0.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x14ac:dyDescent="0.3">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x14ac:dyDescent="0.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x14ac:dyDescent="0.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5" customHeight="1" x14ac:dyDescent="0.3">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x14ac:dyDescent="0.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x14ac:dyDescent="0.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x14ac:dyDescent="0.3">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x14ac:dyDescent="0.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x14ac:dyDescent="0.3">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x14ac:dyDescent="0.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x14ac:dyDescent="0.3">
      <c r="A74" s="4"/>
      <c r="C74" s="2"/>
      <c r="D74" s="4"/>
      <c r="E74" s="4"/>
      <c r="F74" s="8"/>
      <c r="G74" s="120" t="s">
        <v>751</v>
      </c>
      <c r="H74" s="4"/>
      <c r="J74" s="120"/>
      <c r="K74" s="120"/>
      <c r="L74" s="120"/>
      <c r="P74" s="4"/>
      <c r="Q74" s="4"/>
      <c r="R74" s="4"/>
      <c r="S74" s="4"/>
      <c r="T74" s="4"/>
      <c r="U74" s="4"/>
      <c r="V74" s="4"/>
      <c r="W74" s="4"/>
      <c r="X74" s="4"/>
      <c r="Y74" s="4"/>
      <c r="Z74" s="4"/>
      <c r="AA74" s="4"/>
      <c r="AB74" s="4"/>
    </row>
    <row r="75" spans="1:37" ht="13" x14ac:dyDescent="0.3">
      <c r="A75" s="4"/>
      <c r="C75" s="2"/>
      <c r="D75" s="4"/>
      <c r="E75" s="4"/>
      <c r="F75" s="8"/>
      <c r="G75" s="120" t="s">
        <v>865</v>
      </c>
      <c r="J75" s="120"/>
      <c r="K75" s="120"/>
      <c r="L75" s="120"/>
      <c r="P75" s="4"/>
      <c r="Q75" s="4"/>
      <c r="R75" s="4"/>
      <c r="S75" s="4"/>
      <c r="T75" s="4"/>
      <c r="U75" s="4"/>
      <c r="V75" s="4"/>
      <c r="W75" s="4"/>
      <c r="X75" s="4"/>
      <c r="Y75" s="4"/>
      <c r="Z75" s="4"/>
      <c r="AA75" s="4"/>
      <c r="AB75" s="4"/>
    </row>
    <row r="76" spans="1:37" ht="13" x14ac:dyDescent="0.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x14ac:dyDescent="0.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x14ac:dyDescent="0.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x14ac:dyDescent="0.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x14ac:dyDescent="0.3">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x14ac:dyDescent="0.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x14ac:dyDescent="0.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x14ac:dyDescent="0.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x14ac:dyDescent="0.3">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x14ac:dyDescent="0.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x14ac:dyDescent="0.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x14ac:dyDescent="0.3">
      <c r="A87" s="4"/>
      <c r="C87" s="2"/>
      <c r="D87" s="4"/>
      <c r="E87" s="4" t="s">
        <v>262</v>
      </c>
      <c r="F87" t="s">
        <v>867</v>
      </c>
      <c r="G87" s="4"/>
      <c r="L87" s="4"/>
      <c r="M87" s="4"/>
      <c r="P87" s="4"/>
      <c r="Q87" s="4"/>
      <c r="R87" s="4"/>
      <c r="S87" s="4"/>
      <c r="T87" s="4"/>
      <c r="U87" s="4"/>
      <c r="V87" s="4"/>
      <c r="W87" s="4"/>
      <c r="X87" s="4"/>
      <c r="Y87" s="4"/>
      <c r="Z87" s="4"/>
      <c r="AA87" s="4"/>
      <c r="AB87" s="4"/>
    </row>
    <row r="88" spans="1:37" ht="13" x14ac:dyDescent="0.3">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x14ac:dyDescent="0.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x14ac:dyDescent="0.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x14ac:dyDescent="0.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x14ac:dyDescent="0.3">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x14ac:dyDescent="0.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x14ac:dyDescent="0.3">
      <c r="A94" s="4"/>
      <c r="C94" s="2"/>
      <c r="D94" s="4"/>
      <c r="E94" s="4" t="s">
        <v>905</v>
      </c>
      <c r="F94" s="205" t="s">
        <v>906</v>
      </c>
      <c r="G94" s="205"/>
      <c r="L94" s="4"/>
      <c r="M94" s="4"/>
      <c r="P94" s="4"/>
      <c r="Q94" s="4"/>
      <c r="R94" s="4"/>
      <c r="S94" s="4"/>
      <c r="T94" s="4"/>
      <c r="U94" s="4"/>
      <c r="V94" s="4"/>
      <c r="W94" s="4"/>
      <c r="X94" s="4"/>
      <c r="Y94" s="4"/>
      <c r="Z94" s="4"/>
      <c r="AA94" s="4"/>
      <c r="AB94" s="4"/>
    </row>
    <row r="95" spans="1:37" ht="13" x14ac:dyDescent="0.3">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x14ac:dyDescent="0.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x14ac:dyDescent="0.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x14ac:dyDescent="0.3">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x14ac:dyDescent="0.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x14ac:dyDescent="0.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x14ac:dyDescent="0.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x14ac:dyDescent="0.3">
      <c r="B102" s="2"/>
      <c r="C102" s="2"/>
      <c r="D102" s="2"/>
      <c r="E102" s="2"/>
      <c r="F102" s="2"/>
      <c r="G102" s="2"/>
      <c r="H102" s="2"/>
      <c r="I102" s="2"/>
      <c r="J102" s="2"/>
      <c r="K102" s="2"/>
    </row>
    <row r="103" spans="1:38" ht="13" x14ac:dyDescent="0.3">
      <c r="B103" s="2"/>
      <c r="C103" s="2" t="s">
        <v>430</v>
      </c>
      <c r="E103" s="2"/>
      <c r="F103" s="2"/>
      <c r="G103" s="2" t="s">
        <v>1187</v>
      </c>
      <c r="H103" s="2"/>
      <c r="I103" s="2"/>
      <c r="K103" s="2"/>
    </row>
    <row r="104" spans="1:38" ht="13" x14ac:dyDescent="0.3">
      <c r="B104" s="2"/>
      <c r="C104" s="2"/>
      <c r="D104" s="2" t="s">
        <v>207</v>
      </c>
      <c r="E104" s="2" t="s">
        <v>1189</v>
      </c>
      <c r="F104" s="2"/>
      <c r="G104" s="2"/>
      <c r="H104" s="2"/>
      <c r="I104" s="2"/>
      <c r="J104" s="2"/>
      <c r="K104" s="2"/>
      <c r="L104" s="2"/>
      <c r="M104" s="2"/>
    </row>
    <row r="105" spans="1:38" ht="13" x14ac:dyDescent="0.3">
      <c r="B105" s="2"/>
      <c r="C105" s="2"/>
      <c r="E105" s="4" t="s">
        <v>112</v>
      </c>
      <c r="F105" s="98" t="s">
        <v>653</v>
      </c>
      <c r="G105" s="2"/>
      <c r="H105" s="2"/>
      <c r="I105" s="2"/>
      <c r="J105" s="2"/>
      <c r="K105" s="2"/>
    </row>
    <row r="106" spans="1:38" x14ac:dyDescent="0.25">
      <c r="E106" s="4"/>
      <c r="F106" t="s">
        <v>655</v>
      </c>
    </row>
    <row r="107" spans="1:38" x14ac:dyDescent="0.25">
      <c r="E107" s="4"/>
      <c r="F107" t="s">
        <v>656</v>
      </c>
    </row>
    <row r="108" spans="1:38" x14ac:dyDescent="0.25">
      <c r="E108" s="4"/>
    </row>
    <row r="109" spans="1:38" ht="13" x14ac:dyDescent="0.3">
      <c r="E109" s="4" t="s">
        <v>113</v>
      </c>
      <c r="F109" s="98" t="s">
        <v>657</v>
      </c>
      <c r="G109" s="2"/>
      <c r="H109" s="2"/>
      <c r="I109" s="2"/>
      <c r="J109" s="2"/>
    </row>
    <row r="110" spans="1:38" x14ac:dyDescent="0.25">
      <c r="E110" s="4"/>
      <c r="F110" t="s">
        <v>658</v>
      </c>
    </row>
    <row r="111" spans="1:38" x14ac:dyDescent="0.25">
      <c r="E111" s="4"/>
    </row>
    <row r="112" spans="1:38" ht="13" x14ac:dyDescent="0.3">
      <c r="E112" s="4" t="s">
        <v>119</v>
      </c>
      <c r="F112" s="98" t="s">
        <v>659</v>
      </c>
      <c r="G112" s="2"/>
      <c r="H112" s="2"/>
      <c r="I112" s="2"/>
      <c r="J112" s="2"/>
      <c r="K112" s="2"/>
      <c r="L112" s="2"/>
      <c r="M112" s="2"/>
      <c r="N112" s="2"/>
      <c r="O112" s="2"/>
      <c r="P112" s="2"/>
    </row>
    <row r="113" spans="2:10" x14ac:dyDescent="0.25">
      <c r="E113" s="4"/>
      <c r="F113" s="4" t="s">
        <v>922</v>
      </c>
    </row>
    <row r="114" spans="2:10" ht="12.75" customHeight="1" x14ac:dyDescent="0.25">
      <c r="F114" s="4" t="s">
        <v>952</v>
      </c>
    </row>
    <row r="115" spans="2:10" x14ac:dyDescent="0.25"/>
    <row r="116" spans="2:10" x14ac:dyDescent="0.25">
      <c r="E116" t="s">
        <v>582</v>
      </c>
      <c r="F116" s="98" t="s">
        <v>923</v>
      </c>
    </row>
    <row r="117" spans="2:10" ht="13" x14ac:dyDescent="0.3">
      <c r="F117" s="4" t="s">
        <v>1016</v>
      </c>
      <c r="G117" s="4"/>
    </row>
    <row r="118" spans="2:10" ht="13" x14ac:dyDescent="0.3">
      <c r="F118" s="99" t="s">
        <v>1188</v>
      </c>
      <c r="G118" s="99"/>
    </row>
    <row r="119" spans="2:10" ht="13" x14ac:dyDescent="0.3">
      <c r="G119" s="99"/>
    </row>
    <row r="120" spans="2:10" x14ac:dyDescent="0.25">
      <c r="E120" s="4" t="s">
        <v>764</v>
      </c>
      <c r="F120" s="98" t="s">
        <v>378</v>
      </c>
    </row>
    <row r="121" spans="2:10" x14ac:dyDescent="0.25">
      <c r="E121" s="4"/>
      <c r="F121" s="4" t="s">
        <v>1008</v>
      </c>
    </row>
    <row r="122" spans="2:10" ht="13" x14ac:dyDescent="0.3">
      <c r="B122" s="2"/>
      <c r="C122" s="2"/>
      <c r="F122" s="2"/>
    </row>
    <row r="123" spans="2:10" ht="13" x14ac:dyDescent="0.3">
      <c r="B123" s="2"/>
      <c r="C123" s="2" t="s">
        <v>431</v>
      </c>
      <c r="G123" s="2" t="s">
        <v>379</v>
      </c>
    </row>
    <row r="124" spans="2:10" ht="13" x14ac:dyDescent="0.3">
      <c r="B124" s="2"/>
      <c r="C124" s="2"/>
      <c r="D124" s="2" t="s">
        <v>207</v>
      </c>
      <c r="E124" s="2" t="s">
        <v>320</v>
      </c>
      <c r="F124" s="2"/>
      <c r="G124" s="2"/>
      <c r="H124" s="2"/>
      <c r="I124" s="2"/>
      <c r="J124" s="2"/>
    </row>
    <row r="125" spans="2:10" ht="13" x14ac:dyDescent="0.3">
      <c r="B125" s="2"/>
      <c r="C125" s="2"/>
      <c r="E125" s="4" t="s">
        <v>924</v>
      </c>
      <c r="F125" s="4"/>
    </row>
    <row r="126" spans="2:10" x14ac:dyDescent="0.25"/>
    <row r="127" spans="2:10" ht="13" x14ac:dyDescent="0.3">
      <c r="D127" s="2" t="s">
        <v>341</v>
      </c>
      <c r="E127" s="2" t="s">
        <v>578</v>
      </c>
    </row>
    <row r="128" spans="2:10" x14ac:dyDescent="0.25">
      <c r="E128" s="4" t="s">
        <v>924</v>
      </c>
      <c r="F128" s="4"/>
    </row>
    <row r="129" spans="4:37" x14ac:dyDescent="0.25"/>
    <row r="130" spans="4:37" ht="13" x14ac:dyDescent="0.3">
      <c r="D130" s="2" t="s">
        <v>575</v>
      </c>
      <c r="E130" s="2" t="s">
        <v>725</v>
      </c>
      <c r="G130" s="2"/>
      <c r="H130" s="2"/>
      <c r="I130" s="2"/>
      <c r="J130" s="2"/>
      <c r="K130" s="2"/>
      <c r="L130" s="2"/>
      <c r="M130" s="2"/>
      <c r="N130" s="2"/>
    </row>
    <row r="131" spans="4:37" ht="13" x14ac:dyDescent="0.3">
      <c r="D131" s="2"/>
      <c r="E131" s="119" t="s">
        <v>1258</v>
      </c>
      <c r="G131" s="2"/>
      <c r="H131" s="2"/>
      <c r="I131" s="2"/>
      <c r="J131" s="2"/>
      <c r="K131" s="2"/>
      <c r="L131" s="2"/>
      <c r="M131" s="2"/>
      <c r="N131" s="2"/>
    </row>
    <row r="132" spans="4:37" ht="12.75" customHeight="1" x14ac:dyDescent="0.25">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x14ac:dyDescent="0.25">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x14ac:dyDescent="0.25">
      <c r="F134" s="4"/>
    </row>
    <row r="135" spans="4:37" ht="13" x14ac:dyDescent="0.3">
      <c r="D135" s="2" t="s">
        <v>515</v>
      </c>
      <c r="E135" s="2" t="s">
        <v>518</v>
      </c>
      <c r="F135" s="2"/>
    </row>
    <row r="136" spans="4:37" x14ac:dyDescent="0.25">
      <c r="E136" s="3" t="s">
        <v>1214</v>
      </c>
      <c r="F136" s="4"/>
    </row>
    <row r="137" spans="4:37" x14ac:dyDescent="0.25">
      <c r="F137" s="4"/>
    </row>
    <row r="138" spans="4:37" ht="13" x14ac:dyDescent="0.3">
      <c r="D138" s="2" t="s">
        <v>303</v>
      </c>
      <c r="E138" s="2" t="s">
        <v>2044</v>
      </c>
      <c r="F138" s="2"/>
      <c r="G138" s="2"/>
      <c r="H138" s="2"/>
    </row>
    <row r="139" spans="4:37" x14ac:dyDescent="0.25">
      <c r="E139" t="s">
        <v>112</v>
      </c>
      <c r="F139" t="s">
        <v>52</v>
      </c>
    </row>
    <row r="140" spans="4:37" x14ac:dyDescent="0.25">
      <c r="E140" t="s">
        <v>113</v>
      </c>
      <c r="F140" t="s">
        <v>467</v>
      </c>
    </row>
    <row r="141" spans="4:37" x14ac:dyDescent="0.25"/>
    <row r="142" spans="4:37" ht="13" x14ac:dyDescent="0.3">
      <c r="D142" s="2" t="s">
        <v>429</v>
      </c>
      <c r="E142" s="2" t="s">
        <v>2045</v>
      </c>
    </row>
    <row r="143" spans="4:37" x14ac:dyDescent="0.25">
      <c r="E143" s="205" t="s">
        <v>2046</v>
      </c>
      <c r="F143" s="205"/>
    </row>
    <row r="144" spans="4:37" x14ac:dyDescent="0.25"/>
    <row r="145" spans="3:7" ht="13" x14ac:dyDescent="0.3">
      <c r="C145" s="2" t="s">
        <v>6</v>
      </c>
      <c r="G145" s="2" t="s">
        <v>380</v>
      </c>
    </row>
    <row r="146" spans="3:7" ht="13" x14ac:dyDescent="0.3">
      <c r="D146" s="2" t="s">
        <v>207</v>
      </c>
      <c r="E146" s="2" t="s">
        <v>135</v>
      </c>
    </row>
    <row r="147" spans="3:7" x14ac:dyDescent="0.25">
      <c r="E147" t="s">
        <v>798</v>
      </c>
    </row>
    <row r="148" spans="3:7" x14ac:dyDescent="0.25"/>
    <row r="149" spans="3:7" ht="13" x14ac:dyDescent="0.3">
      <c r="D149" s="2" t="s">
        <v>341</v>
      </c>
      <c r="E149" s="2" t="s">
        <v>525</v>
      </c>
      <c r="F149" s="2"/>
    </row>
    <row r="150" spans="3:7" x14ac:dyDescent="0.25">
      <c r="E150" s="4" t="s">
        <v>926</v>
      </c>
      <c r="F150" s="4"/>
    </row>
    <row r="151" spans="3:7" x14ac:dyDescent="0.25"/>
    <row r="152" spans="3:7" ht="13" x14ac:dyDescent="0.3">
      <c r="D152" s="2" t="s">
        <v>575</v>
      </c>
      <c r="E152" s="2" t="s">
        <v>554</v>
      </c>
    </row>
    <row r="153" spans="3:7" x14ac:dyDescent="0.25">
      <c r="E153" s="4" t="s">
        <v>927</v>
      </c>
    </row>
    <row r="154" spans="3:7" x14ac:dyDescent="0.25">
      <c r="E154" s="4" t="s">
        <v>925</v>
      </c>
      <c r="G154" s="4"/>
    </row>
    <row r="155" spans="3:7" x14ac:dyDescent="0.25"/>
    <row r="156" spans="3:7" ht="13" x14ac:dyDescent="0.3">
      <c r="D156" s="2" t="s">
        <v>515</v>
      </c>
      <c r="E156" s="2" t="s">
        <v>534</v>
      </c>
    </row>
    <row r="157" spans="3:7" x14ac:dyDescent="0.25">
      <c r="E157" t="s">
        <v>112</v>
      </c>
      <c r="F157" s="4" t="s">
        <v>928</v>
      </c>
    </row>
    <row r="158" spans="3:7" x14ac:dyDescent="0.25">
      <c r="E158" s="4" t="s">
        <v>113</v>
      </c>
      <c r="F158" s="4" t="s">
        <v>929</v>
      </c>
    </row>
    <row r="159" spans="3:7" x14ac:dyDescent="0.25">
      <c r="E159" s="4" t="s">
        <v>119</v>
      </c>
      <c r="F159" t="s">
        <v>726</v>
      </c>
    </row>
    <row r="160" spans="3:7" x14ac:dyDescent="0.25"/>
    <row r="161" spans="3:20" ht="13" x14ac:dyDescent="0.3">
      <c r="D161" s="2" t="s">
        <v>303</v>
      </c>
      <c r="E161" s="2" t="s">
        <v>381</v>
      </c>
    </row>
    <row r="162" spans="3:20" x14ac:dyDescent="0.25">
      <c r="E162" s="4" t="s">
        <v>930</v>
      </c>
      <c r="F162" s="4"/>
    </row>
    <row r="163" spans="3:20" x14ac:dyDescent="0.25"/>
    <row r="164" spans="3:20" ht="13" x14ac:dyDescent="0.3">
      <c r="D164" s="2" t="s">
        <v>429</v>
      </c>
      <c r="E164" s="2" t="s">
        <v>172</v>
      </c>
    </row>
    <row r="165" spans="3:20" x14ac:dyDescent="0.25">
      <c r="E165" s="4" t="s">
        <v>932</v>
      </c>
    </row>
    <row r="166" spans="3:20" x14ac:dyDescent="0.25">
      <c r="E166" s="4" t="s">
        <v>931</v>
      </c>
    </row>
    <row r="167" spans="3:20" x14ac:dyDescent="0.25"/>
    <row r="168" spans="3:20" ht="13" x14ac:dyDescent="0.3">
      <c r="D168" s="2" t="s">
        <v>558</v>
      </c>
      <c r="E168" s="2" t="s">
        <v>623</v>
      </c>
    </row>
    <row r="169" spans="3:20" x14ac:dyDescent="0.25">
      <c r="E169" t="s">
        <v>112</v>
      </c>
      <c r="F169" t="s">
        <v>727</v>
      </c>
    </row>
    <row r="170" spans="3:20" x14ac:dyDescent="0.25">
      <c r="E170" t="s">
        <v>113</v>
      </c>
      <c r="F170" t="s">
        <v>297</v>
      </c>
    </row>
    <row r="171" spans="3:20" x14ac:dyDescent="0.25">
      <c r="F171" s="4"/>
    </row>
    <row r="172" spans="3:20" ht="13" x14ac:dyDescent="0.3">
      <c r="C172" s="2" t="s">
        <v>7</v>
      </c>
      <c r="E172" s="4"/>
      <c r="G172" s="2" t="s">
        <v>382</v>
      </c>
    </row>
    <row r="173" spans="3:20" x14ac:dyDescent="0.25">
      <c r="E173" s="4" t="s">
        <v>868</v>
      </c>
      <c r="F173" s="4"/>
      <c r="I173" s="4"/>
      <c r="J173" s="4"/>
      <c r="K173" s="4"/>
      <c r="L173" s="4"/>
      <c r="M173" s="4"/>
      <c r="N173" s="4"/>
      <c r="O173" s="4"/>
      <c r="P173" s="4"/>
      <c r="Q173" s="4"/>
      <c r="R173" s="4"/>
      <c r="S173" s="4"/>
      <c r="T173" s="4"/>
    </row>
    <row r="174" spans="3:20" x14ac:dyDescent="0.25">
      <c r="F174" s="4"/>
      <c r="H174" s="4"/>
      <c r="I174" s="4"/>
      <c r="J174" s="4"/>
      <c r="K174" s="4"/>
      <c r="L174" s="4"/>
      <c r="M174" s="4"/>
      <c r="N174" s="4"/>
      <c r="O174" s="4"/>
      <c r="P174" s="4"/>
      <c r="Q174" s="4"/>
      <c r="R174" s="4"/>
      <c r="S174" s="4"/>
      <c r="T174" s="4"/>
    </row>
    <row r="175" spans="3:20" ht="13" x14ac:dyDescent="0.3">
      <c r="C175" s="2" t="s">
        <v>8</v>
      </c>
      <c r="D175" s="2"/>
      <c r="F175" s="4"/>
      <c r="G175" s="2" t="s">
        <v>578</v>
      </c>
    </row>
    <row r="176" spans="3:20" ht="13" x14ac:dyDescent="0.3">
      <c r="D176" s="2" t="s">
        <v>207</v>
      </c>
      <c r="E176" s="2" t="s">
        <v>298</v>
      </c>
      <c r="G176" s="4"/>
      <c r="H176" s="4"/>
      <c r="I176" s="4"/>
      <c r="J176" s="4"/>
      <c r="K176" s="4"/>
      <c r="L176" s="4"/>
      <c r="M176" s="4"/>
      <c r="N176" s="4"/>
    </row>
    <row r="177" spans="2:19" x14ac:dyDescent="0.25">
      <c r="E177" t="s">
        <v>112</v>
      </c>
      <c r="F177" s="4" t="s">
        <v>933</v>
      </c>
    </row>
    <row r="178" spans="2:19" ht="13" x14ac:dyDescent="0.3">
      <c r="F178" s="120" t="s">
        <v>1149</v>
      </c>
      <c r="I178" s="120"/>
    </row>
    <row r="179" spans="2:19" ht="13" x14ac:dyDescent="0.3">
      <c r="I179" s="120"/>
    </row>
    <row r="180" spans="2:19" x14ac:dyDescent="0.25">
      <c r="B180" s="4"/>
      <c r="C180" s="4"/>
      <c r="E180" t="s">
        <v>113</v>
      </c>
      <c r="F180" s="3" t="s">
        <v>869</v>
      </c>
      <c r="H180" s="4"/>
    </row>
    <row r="181" spans="2:19" x14ac:dyDescent="0.25">
      <c r="B181" s="4"/>
      <c r="C181" s="4"/>
      <c r="F181" t="s">
        <v>654</v>
      </c>
      <c r="G181" t="s">
        <v>709</v>
      </c>
      <c r="H181" s="4"/>
      <c r="O181" s="4"/>
      <c r="P181" s="4"/>
      <c r="Q181" s="4"/>
      <c r="R181" s="4"/>
      <c r="S181" s="4"/>
    </row>
    <row r="182" spans="2:19" x14ac:dyDescent="0.25">
      <c r="B182" s="4"/>
      <c r="C182" s="4"/>
      <c r="H182" s="4"/>
      <c r="O182" s="4"/>
      <c r="P182" s="4"/>
      <c r="Q182" s="4"/>
      <c r="R182" s="4"/>
      <c r="S182" s="4"/>
    </row>
    <row r="183" spans="2:19" ht="13" x14ac:dyDescent="0.3">
      <c r="D183" s="2" t="s">
        <v>341</v>
      </c>
      <c r="E183" s="2" t="s">
        <v>1009</v>
      </c>
    </row>
    <row r="184" spans="2:19" x14ac:dyDescent="0.25">
      <c r="B184" s="4"/>
      <c r="C184" s="4"/>
      <c r="E184" s="4" t="s">
        <v>710</v>
      </c>
      <c r="F184" s="4"/>
      <c r="I184" s="4"/>
    </row>
    <row r="185" spans="2:19" ht="13" x14ac:dyDescent="0.3">
      <c r="B185" s="4"/>
      <c r="C185" s="4"/>
      <c r="E185" s="4" t="s">
        <v>1007</v>
      </c>
      <c r="F185" s="120"/>
      <c r="G185" s="4"/>
      <c r="I185" s="120"/>
    </row>
    <row r="186" spans="2:19" ht="13" x14ac:dyDescent="0.3">
      <c r="B186" s="4"/>
      <c r="C186" s="4"/>
      <c r="F186" s="120"/>
      <c r="G186" s="4"/>
      <c r="I186" s="120"/>
    </row>
    <row r="187" spans="2:19" ht="13" x14ac:dyDescent="0.3">
      <c r="B187" s="4"/>
      <c r="C187" s="4"/>
      <c r="D187" s="2" t="s">
        <v>575</v>
      </c>
      <c r="E187" s="2" t="s">
        <v>3</v>
      </c>
      <c r="F187" s="120"/>
      <c r="G187" s="4"/>
      <c r="I187" s="120"/>
    </row>
    <row r="188" spans="2:19" ht="13" x14ac:dyDescent="0.3">
      <c r="B188" s="4"/>
      <c r="C188" s="4"/>
      <c r="D188" s="2"/>
      <c r="E188" s="4" t="s">
        <v>299</v>
      </c>
      <c r="F188" s="4"/>
      <c r="G188" s="4"/>
      <c r="I188" s="120"/>
    </row>
    <row r="189" spans="2:19" ht="13" x14ac:dyDescent="0.3">
      <c r="B189" s="4"/>
      <c r="C189" s="4"/>
      <c r="F189" s="120"/>
      <c r="G189" s="4"/>
      <c r="I189" s="120"/>
    </row>
    <row r="190" spans="2:19" ht="13" x14ac:dyDescent="0.3">
      <c r="D190" s="2" t="s">
        <v>515</v>
      </c>
      <c r="E190" s="2" t="s">
        <v>111</v>
      </c>
    </row>
    <row r="191" spans="2:19" ht="13" x14ac:dyDescent="0.3">
      <c r="B191" s="4"/>
      <c r="C191" s="2"/>
      <c r="E191" t="s">
        <v>112</v>
      </c>
      <c r="F191" s="4" t="s">
        <v>1017</v>
      </c>
      <c r="G191" s="4"/>
      <c r="H191" s="4"/>
      <c r="I191" s="4"/>
    </row>
    <row r="192" spans="2:19" ht="13" x14ac:dyDescent="0.3">
      <c r="B192" s="4"/>
      <c r="C192" s="2"/>
      <c r="F192" s="4" t="s">
        <v>654</v>
      </c>
      <c r="G192" s="3" t="s">
        <v>1208</v>
      </c>
    </row>
    <row r="193" spans="2:37" x14ac:dyDescent="0.25">
      <c r="B193" s="4"/>
      <c r="C193" s="4"/>
      <c r="F193" s="4" t="s">
        <v>348</v>
      </c>
      <c r="G193" s="3" t="s">
        <v>1209</v>
      </c>
      <c r="I193" s="4"/>
      <c r="J193" s="4"/>
      <c r="M193" s="4"/>
      <c r="N193" s="4"/>
      <c r="O193" s="4"/>
      <c r="P193" s="4"/>
      <c r="Q193" s="4"/>
      <c r="R193" s="4"/>
      <c r="S193" s="4"/>
    </row>
    <row r="194" spans="2:37" x14ac:dyDescent="0.25">
      <c r="B194" s="4"/>
      <c r="C194" s="4"/>
      <c r="F194" s="4" t="s">
        <v>349</v>
      </c>
      <c r="G194" s="4" t="s">
        <v>934</v>
      </c>
      <c r="I194" s="4"/>
      <c r="J194" s="4"/>
      <c r="M194" s="4"/>
      <c r="N194" s="4"/>
      <c r="O194" s="4"/>
      <c r="P194" s="4"/>
      <c r="Q194" s="4"/>
      <c r="R194" s="4"/>
      <c r="S194" s="4"/>
    </row>
    <row r="195" spans="2:37" x14ac:dyDescent="0.25">
      <c r="B195" s="4"/>
      <c r="C195" s="4"/>
      <c r="F195" s="4"/>
      <c r="G195" s="4"/>
      <c r="I195" s="4"/>
      <c r="J195" s="4"/>
      <c r="M195" s="4"/>
      <c r="N195" s="4"/>
      <c r="O195" s="4"/>
      <c r="P195" s="4"/>
      <c r="Q195" s="4"/>
      <c r="R195" s="4"/>
      <c r="S195" s="4"/>
    </row>
    <row r="196" spans="2:37" ht="13" x14ac:dyDescent="0.3">
      <c r="B196" s="4"/>
      <c r="C196" s="4"/>
      <c r="D196" s="2" t="s">
        <v>303</v>
      </c>
      <c r="E196" s="2" t="s">
        <v>114</v>
      </c>
      <c r="G196" s="4"/>
      <c r="H196" s="4"/>
      <c r="I196" s="4"/>
      <c r="J196" s="4"/>
      <c r="M196" s="4"/>
      <c r="N196" s="4"/>
      <c r="O196" s="4"/>
      <c r="P196" s="4"/>
      <c r="Q196" s="4"/>
      <c r="R196" s="4"/>
      <c r="S196" s="4"/>
    </row>
    <row r="197" spans="2:37" x14ac:dyDescent="0.25">
      <c r="B197" s="4"/>
      <c r="C197" s="4"/>
      <c r="D197" s="4"/>
      <c r="E197" s="4" t="s">
        <v>935</v>
      </c>
      <c r="F197" s="4"/>
      <c r="G197" s="4"/>
      <c r="H197" s="4"/>
      <c r="I197" s="4"/>
      <c r="J197" s="4"/>
      <c r="M197" s="4"/>
      <c r="N197" s="4"/>
      <c r="O197" s="4"/>
      <c r="P197" s="4"/>
      <c r="Q197" s="4"/>
      <c r="R197" s="4"/>
      <c r="S197" s="4"/>
    </row>
    <row r="198" spans="2:37" x14ac:dyDescent="0.25">
      <c r="B198" s="4"/>
      <c r="C198" s="4"/>
      <c r="D198" s="4"/>
      <c r="F198" s="4"/>
      <c r="G198" s="4"/>
      <c r="H198" s="4"/>
      <c r="I198" s="4"/>
      <c r="J198" s="4"/>
      <c r="M198" s="4"/>
      <c r="N198" s="4"/>
      <c r="O198" s="4"/>
      <c r="P198" s="4"/>
      <c r="Q198" s="4"/>
      <c r="R198" s="4"/>
      <c r="S198" s="4"/>
    </row>
    <row r="199" spans="2:37" ht="13" x14ac:dyDescent="0.3">
      <c r="B199" s="4"/>
      <c r="C199" s="4"/>
      <c r="D199" s="2" t="s">
        <v>429</v>
      </c>
      <c r="E199" s="2" t="s">
        <v>120</v>
      </c>
      <c r="G199" s="4"/>
      <c r="H199" s="4"/>
      <c r="I199" s="4"/>
      <c r="J199" s="4"/>
      <c r="M199" s="4"/>
      <c r="N199" s="4"/>
      <c r="O199" s="4"/>
      <c r="P199" s="4"/>
      <c r="Q199" s="4"/>
      <c r="R199" s="4"/>
      <c r="S199" s="4"/>
    </row>
    <row r="200" spans="2:37" ht="13" x14ac:dyDescent="0.3">
      <c r="B200" s="4"/>
      <c r="C200" s="4"/>
      <c r="D200" s="2"/>
      <c r="E200" s="4" t="s">
        <v>112</v>
      </c>
      <c r="F200" s="4" t="s">
        <v>936</v>
      </c>
      <c r="M200" s="4"/>
      <c r="N200" s="4"/>
      <c r="O200" s="4"/>
      <c r="P200" s="4"/>
      <c r="Q200" s="4"/>
      <c r="R200" s="4"/>
      <c r="S200" s="4"/>
    </row>
    <row r="201" spans="2:37" ht="13" x14ac:dyDescent="0.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x14ac:dyDescent="0.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x14ac:dyDescent="0.25">
      <c r="B203" s="4"/>
      <c r="C203" s="4"/>
      <c r="F203" s="4" t="s">
        <v>654</v>
      </c>
      <c r="G203" s="4" t="s">
        <v>937</v>
      </c>
      <c r="I203" s="4"/>
      <c r="J203" s="4"/>
      <c r="M203" s="4"/>
      <c r="N203" s="4"/>
      <c r="O203" s="4"/>
      <c r="P203" s="4"/>
      <c r="Q203" s="4"/>
      <c r="R203" s="4"/>
      <c r="S203" s="4"/>
      <c r="T203" s="4"/>
      <c r="U203" s="4"/>
      <c r="V203" s="4"/>
      <c r="W203" s="4"/>
      <c r="X203" s="4"/>
      <c r="Y203" s="4"/>
    </row>
    <row r="204" spans="2:37" ht="13" x14ac:dyDescent="0.3">
      <c r="B204" s="4"/>
      <c r="C204" s="4"/>
      <c r="D204" s="2"/>
      <c r="E204" s="4" t="s">
        <v>582</v>
      </c>
      <c r="F204" s="4" t="s">
        <v>938</v>
      </c>
      <c r="M204" s="4"/>
      <c r="N204" s="4"/>
      <c r="O204" s="4"/>
      <c r="P204" s="4"/>
      <c r="Q204" s="4"/>
      <c r="R204" s="4"/>
      <c r="S204" s="4"/>
    </row>
    <row r="205" spans="2:37" ht="13" x14ac:dyDescent="0.3">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x14ac:dyDescent="0.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x14ac:dyDescent="0.3">
      <c r="B207" s="4"/>
      <c r="C207" s="4"/>
      <c r="D207" s="2"/>
      <c r="M207" s="4"/>
      <c r="N207" s="4"/>
      <c r="O207" s="4"/>
      <c r="P207" s="4"/>
      <c r="Q207" s="4"/>
      <c r="R207" s="4"/>
      <c r="S207" s="4"/>
    </row>
    <row r="208" spans="2:37" ht="13" x14ac:dyDescent="0.3">
      <c r="B208" s="4"/>
      <c r="C208" s="4"/>
      <c r="D208" s="2" t="s">
        <v>558</v>
      </c>
      <c r="E208" s="2" t="s">
        <v>765</v>
      </c>
      <c r="G208" s="4"/>
      <c r="H208" s="4"/>
      <c r="I208" s="4"/>
      <c r="J208" s="4"/>
      <c r="M208" s="4"/>
      <c r="N208" s="4"/>
      <c r="O208" s="4"/>
      <c r="P208" s="4"/>
      <c r="Q208" s="4"/>
      <c r="R208" s="4"/>
      <c r="S208" s="4"/>
      <c r="T208" s="4"/>
      <c r="U208" s="4"/>
      <c r="V208" s="4"/>
      <c r="W208" s="4"/>
    </row>
    <row r="209" spans="1:38" x14ac:dyDescent="0.25">
      <c r="B209" s="4"/>
      <c r="C209" s="4"/>
      <c r="E209" s="4" t="s">
        <v>712</v>
      </c>
      <c r="F209" s="4"/>
      <c r="I209" s="4"/>
      <c r="J209" s="4"/>
      <c r="M209" s="4"/>
      <c r="N209" s="4"/>
      <c r="O209" s="4"/>
      <c r="P209" s="4"/>
      <c r="Q209" s="4"/>
      <c r="R209" s="4"/>
      <c r="S209" s="4"/>
      <c r="T209" s="4"/>
      <c r="U209" s="4"/>
      <c r="V209" s="4"/>
      <c r="W209" s="4"/>
    </row>
    <row r="210" spans="1:38" x14ac:dyDescent="0.25">
      <c r="B210" s="4"/>
      <c r="C210" s="4"/>
      <c r="F210" s="4"/>
      <c r="G210" s="4"/>
      <c r="I210" s="4"/>
      <c r="J210" s="4"/>
      <c r="M210" s="4"/>
      <c r="N210" s="4"/>
      <c r="O210" s="4"/>
      <c r="P210" s="4"/>
      <c r="Q210" s="4"/>
      <c r="R210" s="4"/>
      <c r="S210" s="4"/>
      <c r="T210" s="4"/>
      <c r="U210" s="4"/>
      <c r="V210" s="4"/>
      <c r="W210" s="4"/>
    </row>
    <row r="211" spans="1:38" ht="13" x14ac:dyDescent="0.3">
      <c r="B211" s="4"/>
      <c r="C211" s="4"/>
      <c r="D211" s="2" t="s">
        <v>556</v>
      </c>
      <c r="E211" s="2" t="s">
        <v>248</v>
      </c>
      <c r="F211" s="4"/>
      <c r="G211" s="4"/>
      <c r="I211" s="4"/>
      <c r="J211" s="4"/>
      <c r="M211" s="4"/>
      <c r="N211" s="4"/>
      <c r="O211" s="4"/>
      <c r="P211" s="4"/>
      <c r="Q211" s="4"/>
      <c r="R211" s="4"/>
      <c r="S211" s="4"/>
      <c r="T211" s="4"/>
      <c r="U211" s="4"/>
      <c r="V211" s="4"/>
      <c r="W211" s="4"/>
    </row>
    <row r="212" spans="1:38" ht="13" x14ac:dyDescent="0.3">
      <c r="B212" s="4"/>
      <c r="C212" s="4"/>
      <c r="D212" s="2"/>
      <c r="E212" s="4" t="s">
        <v>299</v>
      </c>
      <c r="F212" s="4"/>
      <c r="G212" s="4"/>
      <c r="I212" s="4"/>
      <c r="J212" s="4"/>
      <c r="M212" s="4"/>
      <c r="N212" s="4"/>
      <c r="O212" s="4"/>
      <c r="P212" s="4"/>
      <c r="Q212" s="4"/>
      <c r="R212" s="4"/>
      <c r="S212" s="4"/>
      <c r="T212" s="4"/>
      <c r="U212" s="4"/>
      <c r="V212" s="4"/>
      <c r="W212" s="4"/>
    </row>
    <row r="213" spans="1:38" ht="13" x14ac:dyDescent="0.3">
      <c r="B213" s="4"/>
      <c r="C213" s="4"/>
      <c r="D213" s="2"/>
      <c r="M213" s="4"/>
      <c r="N213" s="4"/>
      <c r="O213" s="4"/>
      <c r="P213" s="4"/>
      <c r="Q213" s="4"/>
      <c r="R213" s="4"/>
      <c r="S213" s="4"/>
    </row>
    <row r="214" spans="1:38" ht="13" x14ac:dyDescent="0.3">
      <c r="C214" s="2" t="s">
        <v>713</v>
      </c>
      <c r="D214" s="2"/>
      <c r="G214" s="2" t="s">
        <v>810</v>
      </c>
      <c r="M214" s="4"/>
      <c r="N214" s="4"/>
      <c r="O214" s="4"/>
      <c r="P214" s="4"/>
      <c r="Q214" s="4"/>
      <c r="R214" s="4"/>
      <c r="S214" s="4"/>
    </row>
    <row r="215" spans="1:38" x14ac:dyDescent="0.25">
      <c r="B215" s="4"/>
      <c r="C215" s="4"/>
      <c r="E215" t="s">
        <v>112</v>
      </c>
      <c r="F215" s="4" t="s">
        <v>809</v>
      </c>
      <c r="G215" s="4"/>
      <c r="H215" s="4"/>
      <c r="I215" s="4"/>
      <c r="L215" s="4"/>
      <c r="N215" s="4"/>
      <c r="O215" s="4"/>
      <c r="P215" s="4"/>
      <c r="Q215" s="4"/>
      <c r="R215" s="4"/>
      <c r="S215" s="4"/>
    </row>
    <row r="216" spans="1:38" x14ac:dyDescent="0.25">
      <c r="B216" s="4"/>
      <c r="C216" s="4"/>
      <c r="F216" s="4" t="s">
        <v>654</v>
      </c>
      <c r="G216" s="4" t="s">
        <v>716</v>
      </c>
      <c r="I216" s="4"/>
      <c r="M216" s="4"/>
      <c r="N216" s="4"/>
      <c r="O216" s="4"/>
      <c r="P216" s="4"/>
      <c r="Q216" s="4"/>
      <c r="R216" s="4"/>
      <c r="S216" s="4"/>
    </row>
    <row r="217" spans="1:38" x14ac:dyDescent="0.25">
      <c r="B217" s="4"/>
      <c r="C217" s="4"/>
      <c r="E217" t="s">
        <v>113</v>
      </c>
      <c r="F217" s="4" t="s">
        <v>400</v>
      </c>
      <c r="G217" s="4"/>
      <c r="H217" s="4"/>
      <c r="I217" s="4"/>
      <c r="M217" s="4"/>
      <c r="N217" s="4"/>
      <c r="O217" s="4"/>
      <c r="P217" s="4"/>
      <c r="Q217" s="4"/>
      <c r="R217" s="4"/>
      <c r="S217" s="4"/>
    </row>
    <row r="218" spans="1:38" x14ac:dyDescent="0.25">
      <c r="B218" s="4"/>
      <c r="C218" s="4"/>
      <c r="F218" s="4" t="s">
        <v>654</v>
      </c>
      <c r="G218" s="4" t="s">
        <v>714</v>
      </c>
      <c r="I218" s="4"/>
      <c r="M218" s="4"/>
      <c r="N218" s="4"/>
      <c r="O218" s="4"/>
      <c r="P218" s="4"/>
      <c r="Q218" s="4"/>
      <c r="R218" s="4"/>
      <c r="S218" s="4"/>
    </row>
    <row r="219" spans="1:38" x14ac:dyDescent="0.25">
      <c r="B219" s="4"/>
      <c r="C219" s="4"/>
      <c r="F219" s="4"/>
      <c r="G219" s="4" t="s">
        <v>715</v>
      </c>
      <c r="I219" s="4"/>
      <c r="M219" s="4"/>
      <c r="N219" s="4"/>
      <c r="O219" s="4"/>
      <c r="P219" s="4"/>
      <c r="Q219" s="4"/>
      <c r="R219" s="4"/>
      <c r="S219" s="4"/>
    </row>
    <row r="220" spans="1:38" x14ac:dyDescent="0.25">
      <c r="B220" s="4"/>
      <c r="C220" s="4"/>
      <c r="F220" s="4"/>
      <c r="K220" s="4"/>
      <c r="M220" s="4"/>
      <c r="N220" s="4"/>
      <c r="O220" s="4"/>
      <c r="P220" s="4"/>
      <c r="Q220" s="4"/>
      <c r="R220" s="4"/>
      <c r="S220" s="4"/>
    </row>
    <row r="221" spans="1:38" ht="13" x14ac:dyDescent="0.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x14ac:dyDescent="0.3">
      <c r="B222" s="2"/>
      <c r="D222" s="2"/>
      <c r="E222" s="4"/>
      <c r="F222" s="4"/>
      <c r="G222" s="4"/>
      <c r="H222" s="4"/>
      <c r="I222" s="4"/>
      <c r="J222" s="4"/>
      <c r="L222" s="4"/>
      <c r="M222" s="4"/>
      <c r="N222" s="4"/>
      <c r="O222" s="4"/>
      <c r="P222" s="4"/>
      <c r="Q222" s="4"/>
      <c r="R222" s="4"/>
      <c r="S222" s="4"/>
    </row>
    <row r="223" spans="1:38" ht="13" x14ac:dyDescent="0.3">
      <c r="B223" s="4"/>
      <c r="C223" s="2" t="s">
        <v>430</v>
      </c>
      <c r="D223" s="4"/>
      <c r="E223" s="4"/>
      <c r="F223" s="4"/>
      <c r="G223" s="2" t="s">
        <v>453</v>
      </c>
      <c r="I223" s="4"/>
      <c r="J223" s="4"/>
      <c r="K223" s="4"/>
      <c r="M223" s="4"/>
      <c r="N223" s="4"/>
      <c r="O223" s="4"/>
      <c r="P223" s="4"/>
      <c r="Q223" s="4"/>
      <c r="R223" s="4"/>
      <c r="S223" s="4"/>
    </row>
    <row r="224" spans="1:38" ht="13" x14ac:dyDescent="0.3">
      <c r="B224" s="2"/>
      <c r="E224" s="4" t="s">
        <v>112</v>
      </c>
      <c r="F224" s="4" t="s">
        <v>717</v>
      </c>
      <c r="G224" s="4"/>
      <c r="I224" s="4"/>
      <c r="J224" s="4"/>
      <c r="K224" s="4"/>
      <c r="L224" s="4"/>
      <c r="M224" s="4"/>
      <c r="N224" s="4"/>
      <c r="O224" s="4"/>
      <c r="P224" s="4"/>
      <c r="Q224" s="4"/>
      <c r="R224" s="4"/>
      <c r="S224" s="4"/>
    </row>
    <row r="225" spans="2:19" ht="13" x14ac:dyDescent="0.3">
      <c r="B225" s="2"/>
      <c r="E225" s="4" t="s">
        <v>113</v>
      </c>
      <c r="F225" s="4" t="s">
        <v>681</v>
      </c>
      <c r="G225" s="4"/>
      <c r="I225" s="4"/>
      <c r="J225" s="4"/>
      <c r="K225" s="4"/>
      <c r="L225" s="4"/>
      <c r="M225" s="4"/>
      <c r="N225" s="4"/>
      <c r="O225" s="4"/>
      <c r="P225" s="4"/>
      <c r="Q225" s="4"/>
      <c r="R225" s="4"/>
      <c r="S225" s="4"/>
    </row>
    <row r="226" spans="2:19" ht="13" x14ac:dyDescent="0.3">
      <c r="B226" s="2"/>
      <c r="E226" s="4"/>
      <c r="F226" s="4"/>
      <c r="G226" s="4"/>
      <c r="H226" s="4"/>
      <c r="I226" s="4"/>
      <c r="J226" s="4"/>
      <c r="K226" s="4"/>
      <c r="L226" s="4"/>
      <c r="M226" s="4"/>
      <c r="N226" s="4"/>
      <c r="O226" s="4"/>
      <c r="P226" s="4"/>
      <c r="Q226" s="4"/>
      <c r="R226" s="4"/>
      <c r="S226" s="4"/>
    </row>
    <row r="227" spans="2:19" ht="13" x14ac:dyDescent="0.3">
      <c r="B227" s="2"/>
      <c r="C227" s="2" t="s">
        <v>431</v>
      </c>
      <c r="D227" s="4"/>
      <c r="E227" s="4"/>
      <c r="F227" s="4"/>
      <c r="G227" s="2" t="s">
        <v>21</v>
      </c>
      <c r="I227" s="4"/>
      <c r="J227" s="4"/>
      <c r="K227" s="4"/>
      <c r="L227" s="4"/>
      <c r="M227" s="4"/>
      <c r="N227" s="4"/>
      <c r="O227" s="4"/>
      <c r="P227" s="4"/>
      <c r="Q227" s="4"/>
      <c r="R227" s="4"/>
      <c r="S227" s="4"/>
    </row>
    <row r="228" spans="2:19" ht="13" x14ac:dyDescent="0.3">
      <c r="B228" s="2"/>
      <c r="E228" s="4" t="s">
        <v>112</v>
      </c>
      <c r="F228" s="4" t="s">
        <v>718</v>
      </c>
      <c r="G228" s="4"/>
      <c r="I228" s="4"/>
      <c r="J228" s="4"/>
      <c r="K228" s="4"/>
      <c r="L228" s="4"/>
      <c r="M228" s="4"/>
      <c r="N228" s="4"/>
      <c r="O228" s="4"/>
      <c r="P228" s="4"/>
      <c r="Q228" s="4"/>
      <c r="R228" s="4"/>
      <c r="S228" s="4"/>
    </row>
    <row r="229" spans="2:19" ht="13" x14ac:dyDescent="0.3">
      <c r="B229" s="2"/>
      <c r="E229" s="4"/>
      <c r="F229" s="4" t="s">
        <v>719</v>
      </c>
      <c r="G229" s="4"/>
      <c r="H229" s="4"/>
      <c r="I229" s="4"/>
      <c r="J229" s="4"/>
      <c r="K229" s="4"/>
      <c r="L229" s="4"/>
      <c r="M229" s="4"/>
      <c r="N229" s="4"/>
      <c r="O229" s="4"/>
      <c r="P229" s="4"/>
      <c r="Q229" s="4"/>
      <c r="R229" s="4"/>
      <c r="S229" s="4"/>
    </row>
    <row r="230" spans="2:19" ht="13" x14ac:dyDescent="0.3">
      <c r="B230" s="2"/>
      <c r="D230" s="4"/>
      <c r="E230" s="4" t="s">
        <v>113</v>
      </c>
      <c r="F230" s="4" t="s">
        <v>681</v>
      </c>
      <c r="G230" s="4"/>
      <c r="I230" s="4"/>
      <c r="J230" s="4"/>
      <c r="K230" s="4"/>
      <c r="L230" s="4"/>
      <c r="M230" s="4"/>
      <c r="N230" s="4"/>
      <c r="O230" s="4"/>
      <c r="P230" s="4"/>
      <c r="Q230" s="4"/>
      <c r="R230" s="4"/>
      <c r="S230" s="4"/>
    </row>
    <row r="231" spans="2:19" ht="13" x14ac:dyDescent="0.3">
      <c r="B231" s="2"/>
      <c r="E231" s="4" t="s">
        <v>119</v>
      </c>
      <c r="F231" s="98" t="s">
        <v>953</v>
      </c>
      <c r="G231" s="4"/>
      <c r="I231" s="4"/>
      <c r="J231" s="4"/>
      <c r="K231" s="4"/>
      <c r="L231" s="4"/>
      <c r="M231" s="4"/>
      <c r="N231" s="4"/>
      <c r="O231" s="4"/>
      <c r="P231" s="4"/>
      <c r="Q231" s="4"/>
      <c r="R231" s="4"/>
      <c r="S231" s="4"/>
    </row>
    <row r="232" spans="2:19" ht="13" x14ac:dyDescent="0.3">
      <c r="B232" s="2"/>
      <c r="D232" s="4"/>
      <c r="E232" s="4"/>
      <c r="F232" s="4"/>
      <c r="G232" s="4"/>
      <c r="H232" s="4"/>
      <c r="I232" s="4"/>
      <c r="J232" s="4"/>
      <c r="K232" s="4"/>
      <c r="L232" s="4"/>
      <c r="M232" s="4"/>
      <c r="N232" s="4"/>
      <c r="O232" s="4"/>
      <c r="P232" s="4"/>
      <c r="Q232" s="4"/>
      <c r="R232" s="4"/>
      <c r="S232" s="4"/>
    </row>
    <row r="233" spans="2:19" ht="13" x14ac:dyDescent="0.3">
      <c r="B233" s="4"/>
      <c r="C233" s="2"/>
      <c r="E233" s="2" t="s">
        <v>327</v>
      </c>
      <c r="F233" s="4"/>
      <c r="J233" s="4"/>
      <c r="K233" s="4"/>
      <c r="M233" s="4"/>
      <c r="N233" s="4"/>
      <c r="O233" s="4"/>
      <c r="P233" s="4"/>
      <c r="Q233" s="4"/>
      <c r="R233" s="4"/>
      <c r="S233" s="4"/>
    </row>
    <row r="234" spans="2:19" ht="13" x14ac:dyDescent="0.3">
      <c r="B234" s="4"/>
      <c r="C234" s="4"/>
      <c r="E234" t="s">
        <v>112</v>
      </c>
      <c r="F234" s="4" t="s">
        <v>327</v>
      </c>
      <c r="G234" s="2"/>
      <c r="H234" s="2"/>
      <c r="I234" s="2"/>
      <c r="L234" s="2"/>
      <c r="M234" s="2"/>
      <c r="N234" s="2"/>
      <c r="O234" s="2"/>
      <c r="P234" s="2"/>
      <c r="Q234" s="2"/>
      <c r="R234" s="4"/>
      <c r="S234" s="4"/>
    </row>
    <row r="235" spans="2:19" x14ac:dyDescent="0.25">
      <c r="B235" s="4"/>
      <c r="C235" s="4"/>
      <c r="F235" s="4" t="s">
        <v>654</v>
      </c>
      <c r="G235" s="4" t="s">
        <v>720</v>
      </c>
      <c r="I235" s="4"/>
      <c r="M235" s="4"/>
      <c r="N235" s="4"/>
      <c r="O235" s="4"/>
      <c r="P235" s="4"/>
      <c r="Q235" s="4"/>
      <c r="R235" s="4"/>
      <c r="S235" s="4"/>
    </row>
    <row r="236" spans="2:19" x14ac:dyDescent="0.25">
      <c r="B236" s="4"/>
      <c r="C236" s="4"/>
      <c r="F236" s="4"/>
      <c r="G236" s="4" t="s">
        <v>799</v>
      </c>
      <c r="I236" s="4"/>
      <c r="M236" s="4"/>
      <c r="N236" s="4"/>
      <c r="O236" s="4"/>
      <c r="P236" s="4"/>
      <c r="Q236" s="4"/>
      <c r="R236" s="4"/>
      <c r="S236" s="4"/>
    </row>
    <row r="237" spans="2:19" ht="13" x14ac:dyDescent="0.3">
      <c r="B237" s="4"/>
      <c r="C237" s="4"/>
      <c r="E237" t="s">
        <v>113</v>
      </c>
      <c r="F237" s="136" t="s">
        <v>446</v>
      </c>
      <c r="G237" s="2"/>
      <c r="H237" s="2"/>
      <c r="I237" s="2"/>
      <c r="L237" s="2"/>
      <c r="M237" s="2"/>
      <c r="N237" s="2"/>
      <c r="O237" s="2"/>
      <c r="P237" s="2"/>
      <c r="Q237" s="2"/>
      <c r="R237" s="2"/>
      <c r="S237" s="2"/>
    </row>
    <row r="238" spans="2:19" x14ac:dyDescent="0.25">
      <c r="B238" s="4"/>
      <c r="C238" s="4"/>
      <c r="F238" s="4" t="s">
        <v>654</v>
      </c>
      <c r="G238" s="4" t="s">
        <v>723</v>
      </c>
      <c r="I238" s="4"/>
      <c r="M238" s="4"/>
      <c r="N238" s="4"/>
      <c r="O238" s="4"/>
      <c r="P238" s="4"/>
      <c r="Q238" s="4"/>
      <c r="R238" s="4"/>
      <c r="S238" s="4"/>
    </row>
    <row r="239" spans="2:19" x14ac:dyDescent="0.25">
      <c r="B239" s="4"/>
      <c r="C239" s="4"/>
      <c r="F239" s="4"/>
      <c r="G239" s="4" t="s">
        <v>688</v>
      </c>
      <c r="H239" s="4" t="s">
        <v>942</v>
      </c>
      <c r="I239" s="4"/>
      <c r="M239" s="4"/>
      <c r="N239" s="4"/>
      <c r="O239" s="4"/>
      <c r="P239" s="4"/>
      <c r="Q239" s="4"/>
      <c r="R239" s="4"/>
      <c r="S239" s="4"/>
    </row>
    <row r="240" spans="2:19" x14ac:dyDescent="0.25">
      <c r="B240" s="4"/>
      <c r="C240" s="4"/>
      <c r="F240" s="4" t="s">
        <v>348</v>
      </c>
      <c r="G240" s="136" t="s">
        <v>724</v>
      </c>
      <c r="I240" s="4"/>
      <c r="M240" s="4"/>
      <c r="N240" s="4"/>
      <c r="O240" s="4"/>
      <c r="P240" s="4"/>
      <c r="Q240" s="4"/>
      <c r="R240" s="4"/>
      <c r="S240" s="4"/>
    </row>
    <row r="241" spans="2:21" x14ac:dyDescent="0.25">
      <c r="B241" s="4"/>
      <c r="C241" s="4"/>
      <c r="E241" t="s">
        <v>119</v>
      </c>
      <c r="F241" s="4" t="s">
        <v>654</v>
      </c>
      <c r="G241" s="136" t="s">
        <v>943</v>
      </c>
      <c r="I241" s="4"/>
      <c r="M241" s="4"/>
      <c r="N241" s="4"/>
      <c r="O241" s="4"/>
      <c r="P241" s="4"/>
      <c r="Q241" s="4"/>
      <c r="R241" s="4"/>
      <c r="S241" s="4"/>
    </row>
    <row r="242" spans="2:21" x14ac:dyDescent="0.25">
      <c r="B242" s="4"/>
      <c r="C242" s="4"/>
      <c r="F242" s="4" t="s">
        <v>348</v>
      </c>
      <c r="G242" s="136" t="s">
        <v>944</v>
      </c>
      <c r="I242" s="4"/>
      <c r="M242" s="4"/>
      <c r="N242" s="4"/>
      <c r="O242" s="4"/>
      <c r="P242" s="4"/>
      <c r="Q242" s="4"/>
      <c r="R242" s="4"/>
      <c r="S242" s="4"/>
    </row>
    <row r="243" spans="2:21" x14ac:dyDescent="0.25">
      <c r="B243" s="4"/>
      <c r="C243" s="4"/>
      <c r="F243" s="4" t="s">
        <v>349</v>
      </c>
      <c r="G243" s="136" t="s">
        <v>721</v>
      </c>
      <c r="I243" s="4"/>
      <c r="M243" s="4"/>
      <c r="N243" s="4"/>
      <c r="O243" s="4"/>
      <c r="P243" s="4"/>
      <c r="Q243" s="4"/>
      <c r="R243" s="4"/>
      <c r="S243" s="4"/>
    </row>
    <row r="244" spans="2:21" x14ac:dyDescent="0.25">
      <c r="B244" s="4"/>
      <c r="C244" s="4"/>
      <c r="F244" s="4"/>
      <c r="G244" s="136" t="s">
        <v>722</v>
      </c>
      <c r="I244" s="4"/>
      <c r="M244" s="4"/>
      <c r="N244" s="4"/>
      <c r="O244" s="4"/>
      <c r="P244" s="4"/>
      <c r="Q244" s="4"/>
      <c r="R244" s="4"/>
      <c r="S244" s="4"/>
    </row>
    <row r="245" spans="2:21" ht="13" x14ac:dyDescent="0.3">
      <c r="B245" s="4"/>
      <c r="C245" s="4"/>
      <c r="D245" s="2"/>
      <c r="E245" s="4" t="s">
        <v>119</v>
      </c>
      <c r="F245" s="4" t="s">
        <v>328</v>
      </c>
      <c r="H245" s="4"/>
      <c r="I245" s="4"/>
      <c r="M245" s="4"/>
      <c r="N245" s="4"/>
      <c r="O245" s="4"/>
      <c r="P245" s="4"/>
      <c r="Q245" s="4"/>
      <c r="R245" s="4"/>
      <c r="S245" s="4"/>
    </row>
    <row r="246" spans="2:21" ht="13" x14ac:dyDescent="0.3">
      <c r="B246" s="4"/>
      <c r="C246" s="4"/>
      <c r="D246" s="2"/>
      <c r="E246" s="2"/>
      <c r="F246" t="s">
        <v>654</v>
      </c>
      <c r="G246" s="4" t="s">
        <v>432</v>
      </c>
      <c r="I246" s="4"/>
      <c r="M246" s="4"/>
      <c r="N246" s="4"/>
      <c r="O246" s="4"/>
      <c r="P246" s="4"/>
      <c r="Q246" s="4"/>
      <c r="R246" s="4"/>
      <c r="S246" s="4"/>
    </row>
    <row r="247" spans="2:21" ht="13" x14ac:dyDescent="0.3">
      <c r="B247" s="4"/>
      <c r="C247" s="4"/>
      <c r="D247" s="2"/>
      <c r="E247" s="2"/>
      <c r="F247" s="4"/>
      <c r="G247" s="4" t="s">
        <v>433</v>
      </c>
      <c r="I247" s="4"/>
      <c r="M247" s="4"/>
      <c r="N247" s="4"/>
      <c r="O247" s="4"/>
      <c r="P247" s="4"/>
      <c r="Q247" s="4"/>
      <c r="R247" s="4"/>
      <c r="S247" s="4"/>
    </row>
    <row r="248" spans="2:21" ht="13" x14ac:dyDescent="0.3">
      <c r="B248" s="4"/>
      <c r="C248" s="4"/>
      <c r="D248" s="2"/>
      <c r="E248" s="2"/>
      <c r="F248" s="4"/>
      <c r="G248" s="4"/>
      <c r="I248" s="4"/>
      <c r="M248" s="4"/>
      <c r="N248" s="4"/>
      <c r="O248" s="4"/>
      <c r="P248" s="4"/>
      <c r="Q248" s="4"/>
      <c r="R248" s="4"/>
      <c r="S248" s="4"/>
    </row>
    <row r="249" spans="2:21" ht="13" x14ac:dyDescent="0.3">
      <c r="B249" s="2"/>
      <c r="C249" s="2" t="s">
        <v>6</v>
      </c>
      <c r="E249" s="4"/>
      <c r="F249" s="4"/>
      <c r="G249" s="2" t="s">
        <v>383</v>
      </c>
      <c r="I249" s="4"/>
      <c r="J249" s="4"/>
      <c r="K249" s="4"/>
      <c r="L249" s="4"/>
      <c r="M249" s="4"/>
      <c r="N249" s="4"/>
      <c r="O249" s="4"/>
      <c r="P249" s="4"/>
      <c r="Q249" s="4"/>
      <c r="R249" s="4"/>
      <c r="S249" s="4"/>
    </row>
    <row r="250" spans="2:21" ht="13" x14ac:dyDescent="0.3">
      <c r="B250" s="2"/>
      <c r="C250" s="2"/>
      <c r="E250" s="4" t="s">
        <v>112</v>
      </c>
      <c r="F250" s="4" t="s">
        <v>71</v>
      </c>
      <c r="G250" s="4"/>
      <c r="I250" s="4"/>
      <c r="J250" s="4"/>
      <c r="K250" s="4"/>
      <c r="L250" s="4"/>
      <c r="M250" s="4"/>
      <c r="N250" s="4"/>
      <c r="O250" s="4"/>
      <c r="P250" s="4"/>
      <c r="Q250" s="4"/>
      <c r="R250" s="4"/>
      <c r="S250" s="4"/>
      <c r="T250" s="4"/>
      <c r="U250" s="4"/>
    </row>
    <row r="251" spans="2:21" ht="13" x14ac:dyDescent="0.3">
      <c r="B251" s="2"/>
      <c r="C251" s="2"/>
      <c r="E251" s="4"/>
      <c r="F251" s="120" t="s">
        <v>1150</v>
      </c>
      <c r="G251" s="4"/>
      <c r="I251" s="120"/>
      <c r="J251" s="4"/>
      <c r="K251" s="4"/>
      <c r="L251" s="4"/>
      <c r="M251" s="4"/>
      <c r="N251" s="4"/>
      <c r="O251" s="4"/>
      <c r="P251" s="4"/>
      <c r="Q251" s="4"/>
      <c r="R251" s="4"/>
      <c r="S251" s="4"/>
      <c r="T251" s="4"/>
      <c r="U251" s="4"/>
    </row>
    <row r="252" spans="2:21" ht="13" x14ac:dyDescent="0.3">
      <c r="B252" s="2"/>
      <c r="C252" s="2"/>
      <c r="E252" s="4" t="s">
        <v>113</v>
      </c>
      <c r="F252" s="4" t="s">
        <v>939</v>
      </c>
      <c r="I252" s="4"/>
      <c r="J252" s="4"/>
      <c r="K252" s="4"/>
      <c r="L252" s="4"/>
      <c r="M252" s="4"/>
      <c r="N252" s="4"/>
      <c r="O252" s="4"/>
      <c r="P252" s="4"/>
      <c r="Q252" s="4"/>
      <c r="R252" s="4"/>
      <c r="S252" s="4"/>
      <c r="T252" s="4"/>
      <c r="U252" s="4"/>
    </row>
    <row r="253" spans="2:21" ht="13" x14ac:dyDescent="0.3">
      <c r="B253" s="2"/>
      <c r="C253" s="2"/>
      <c r="E253" s="4"/>
      <c r="F253" s="205" t="s">
        <v>654</v>
      </c>
      <c r="G253" s="205" t="s">
        <v>812</v>
      </c>
      <c r="I253" s="3"/>
      <c r="K253" s="3"/>
      <c r="L253" s="3"/>
      <c r="M253" s="3"/>
      <c r="N253" s="3"/>
      <c r="O253" s="3"/>
      <c r="Q253" s="4"/>
      <c r="R253" s="4"/>
      <c r="S253" s="4"/>
      <c r="T253" s="4"/>
      <c r="U253" s="4"/>
    </row>
    <row r="254" spans="2:21" ht="13" x14ac:dyDescent="0.3">
      <c r="B254" s="2"/>
      <c r="C254" s="2"/>
      <c r="E254" s="4"/>
      <c r="F254" s="205"/>
      <c r="G254" s="205" t="s">
        <v>813</v>
      </c>
      <c r="I254" s="3"/>
      <c r="K254" s="3"/>
      <c r="L254" s="3"/>
      <c r="M254" s="3"/>
      <c r="N254" s="3"/>
      <c r="O254" s="3"/>
      <c r="P254" s="3"/>
    </row>
    <row r="255" spans="2:21" ht="13" x14ac:dyDescent="0.3">
      <c r="B255" s="2"/>
      <c r="C255" s="2"/>
      <c r="E255" s="4"/>
      <c r="F255" s="205" t="s">
        <v>348</v>
      </c>
      <c r="G255" s="205" t="s">
        <v>945</v>
      </c>
      <c r="I255" s="4"/>
      <c r="K255" s="4"/>
      <c r="L255" s="4"/>
      <c r="M255" s="4"/>
      <c r="N255" s="4"/>
      <c r="O255" s="4"/>
      <c r="P255" s="3"/>
    </row>
    <row r="256" spans="2:21" ht="13" x14ac:dyDescent="0.3">
      <c r="B256" s="2"/>
      <c r="C256" s="2"/>
      <c r="E256" s="4"/>
      <c r="F256" s="205"/>
      <c r="G256" s="205" t="s">
        <v>871</v>
      </c>
      <c r="I256" s="4"/>
      <c r="K256" s="4"/>
      <c r="L256" s="4"/>
      <c r="M256" s="4"/>
      <c r="N256" s="4"/>
      <c r="O256" s="4"/>
      <c r="P256" s="4"/>
      <c r="Q256" s="3"/>
      <c r="R256" s="3"/>
      <c r="S256" s="3"/>
      <c r="T256" s="3"/>
      <c r="U256" s="3"/>
    </row>
    <row r="257" spans="2:21" ht="13" x14ac:dyDescent="0.3">
      <c r="B257" s="2"/>
      <c r="C257" s="2"/>
      <c r="E257" s="4"/>
      <c r="G257" s="4"/>
      <c r="I257" s="4"/>
      <c r="K257" s="4"/>
      <c r="L257" s="4"/>
      <c r="M257" s="4"/>
      <c r="N257" s="4"/>
      <c r="O257" s="4"/>
      <c r="P257" s="4"/>
      <c r="Q257" s="3"/>
      <c r="R257" s="3"/>
      <c r="S257" s="3"/>
      <c r="T257" s="3"/>
      <c r="U257" s="3"/>
    </row>
    <row r="258" spans="2:21" ht="13" x14ac:dyDescent="0.3">
      <c r="B258" s="2"/>
      <c r="C258" s="2"/>
      <c r="D258" s="2" t="s">
        <v>207</v>
      </c>
      <c r="E258" s="2" t="s">
        <v>384</v>
      </c>
      <c r="G258" s="4"/>
      <c r="H258" s="4"/>
      <c r="I258" s="4"/>
      <c r="J258" s="4"/>
      <c r="K258" s="4"/>
      <c r="L258" s="4"/>
      <c r="M258" s="4"/>
      <c r="N258" s="4"/>
      <c r="O258" s="4"/>
      <c r="P258" s="4"/>
      <c r="Q258" s="4"/>
      <c r="R258" s="4"/>
      <c r="S258" s="4"/>
    </row>
    <row r="259" spans="2:21" ht="13" x14ac:dyDescent="0.3">
      <c r="B259" s="2"/>
      <c r="C259" s="2"/>
      <c r="E259" s="4" t="s">
        <v>112</v>
      </c>
      <c r="F259" s="4" t="s">
        <v>253</v>
      </c>
      <c r="G259" s="4"/>
      <c r="I259" s="4"/>
      <c r="J259" s="4"/>
      <c r="K259" s="4"/>
      <c r="L259" s="4"/>
      <c r="M259" s="4"/>
      <c r="N259" s="4"/>
      <c r="O259" s="4"/>
      <c r="P259" s="4"/>
      <c r="Q259" s="4"/>
      <c r="R259" s="4"/>
      <c r="S259" s="4"/>
    </row>
    <row r="260" spans="2:21" ht="13" x14ac:dyDescent="0.3">
      <c r="B260" s="2"/>
      <c r="C260" s="2"/>
      <c r="E260" s="4" t="s">
        <v>113</v>
      </c>
      <c r="F260" s="4" t="s">
        <v>804</v>
      </c>
      <c r="G260" s="4"/>
      <c r="I260" s="4"/>
      <c r="J260" s="4"/>
      <c r="K260" s="4"/>
      <c r="L260" s="4"/>
      <c r="M260" s="4"/>
      <c r="N260" s="4"/>
      <c r="O260" s="4"/>
      <c r="P260" s="4"/>
      <c r="Q260" s="4"/>
      <c r="R260" s="4"/>
      <c r="S260" s="4"/>
    </row>
    <row r="261" spans="2:21" ht="13" x14ac:dyDescent="0.3">
      <c r="B261" s="2"/>
      <c r="C261" s="2"/>
      <c r="E261" s="4" t="s">
        <v>119</v>
      </c>
      <c r="F261" s="4" t="s">
        <v>254</v>
      </c>
      <c r="I261" s="4"/>
      <c r="J261" s="4"/>
      <c r="K261" s="4"/>
      <c r="L261" s="4"/>
      <c r="M261" s="4"/>
      <c r="N261" s="4"/>
      <c r="O261" s="4"/>
      <c r="P261" s="4"/>
      <c r="Q261" s="4"/>
      <c r="R261" s="4"/>
      <c r="S261" s="4"/>
    </row>
    <row r="262" spans="2:21" ht="13" x14ac:dyDescent="0.3">
      <c r="B262" s="2"/>
      <c r="C262" s="2"/>
      <c r="E262" s="2"/>
      <c r="F262" s="4" t="s">
        <v>805</v>
      </c>
      <c r="I262" s="4"/>
      <c r="J262" s="4"/>
      <c r="K262" s="4"/>
      <c r="L262" s="4"/>
      <c r="M262" s="4"/>
      <c r="N262" s="4"/>
      <c r="O262" s="4"/>
      <c r="P262" s="4"/>
      <c r="Q262" s="4"/>
      <c r="R262" s="4"/>
      <c r="S262" s="4"/>
    </row>
    <row r="263" spans="2:21" ht="13" x14ac:dyDescent="0.3">
      <c r="B263" s="2"/>
      <c r="C263" s="2"/>
      <c r="E263" s="4" t="s">
        <v>582</v>
      </c>
      <c r="F263" s="205" t="s">
        <v>814</v>
      </c>
      <c r="I263" s="4"/>
      <c r="J263" s="4"/>
      <c r="K263" s="4"/>
      <c r="L263" s="4"/>
      <c r="M263" s="4"/>
      <c r="N263" s="4"/>
      <c r="O263" s="4"/>
      <c r="P263" s="4"/>
      <c r="Q263" s="4"/>
      <c r="R263" s="4"/>
      <c r="S263" s="4"/>
    </row>
    <row r="264" spans="2:21" ht="13" x14ac:dyDescent="0.3">
      <c r="B264" s="2"/>
      <c r="C264" s="2"/>
      <c r="E264" s="2"/>
      <c r="F264" s="4"/>
      <c r="H264" s="4"/>
      <c r="I264" s="4"/>
      <c r="J264" s="4"/>
      <c r="K264" s="4"/>
      <c r="L264" s="4"/>
      <c r="M264" s="4"/>
      <c r="N264" s="4"/>
      <c r="O264" s="4"/>
      <c r="P264" s="4"/>
      <c r="Q264" s="4"/>
      <c r="R264" s="4"/>
      <c r="S264" s="4"/>
    </row>
    <row r="265" spans="2:21" ht="13" x14ac:dyDescent="0.3">
      <c r="B265" s="2"/>
      <c r="C265" s="2"/>
      <c r="D265" s="2" t="s">
        <v>341</v>
      </c>
      <c r="E265" s="2" t="s">
        <v>72</v>
      </c>
      <c r="G265" s="4"/>
      <c r="H265" s="4"/>
      <c r="I265" s="4"/>
      <c r="J265" s="4"/>
      <c r="K265" s="4"/>
      <c r="L265" s="4"/>
      <c r="M265" s="4"/>
      <c r="N265" s="4"/>
      <c r="O265" s="4"/>
      <c r="P265" s="4"/>
      <c r="Q265" s="4"/>
      <c r="R265" s="4"/>
      <c r="S265" s="4"/>
    </row>
    <row r="266" spans="2:21" ht="13" x14ac:dyDescent="0.3">
      <c r="B266" s="2"/>
      <c r="C266" s="2"/>
      <c r="E266" s="4" t="s">
        <v>1019</v>
      </c>
      <c r="F266" s="4"/>
      <c r="G266" s="4"/>
      <c r="O266" s="4"/>
      <c r="P266" s="4"/>
      <c r="Q266" s="4"/>
      <c r="R266" s="4"/>
      <c r="S266" s="4"/>
    </row>
    <row r="267" spans="2:21" ht="13" x14ac:dyDescent="0.3">
      <c r="B267" s="2"/>
      <c r="C267" s="2"/>
      <c r="E267" s="2"/>
      <c r="G267" s="4"/>
      <c r="H267" s="4"/>
      <c r="O267" s="4"/>
      <c r="P267" s="4"/>
      <c r="Q267" s="4"/>
      <c r="R267" s="4"/>
      <c r="S267" s="4"/>
    </row>
    <row r="268" spans="2:21" ht="13" x14ac:dyDescent="0.3">
      <c r="B268" s="2"/>
      <c r="C268" s="2"/>
      <c r="D268" s="2" t="s">
        <v>575</v>
      </c>
      <c r="E268" s="2" t="s">
        <v>287</v>
      </c>
      <c r="G268" s="4"/>
    </row>
    <row r="269" spans="2:21" ht="13" x14ac:dyDescent="0.3">
      <c r="B269" s="2"/>
      <c r="C269" s="2"/>
      <c r="E269" s="4" t="s">
        <v>255</v>
      </c>
      <c r="F269" s="4"/>
      <c r="G269" s="4"/>
      <c r="J269" s="4"/>
      <c r="K269" s="4"/>
      <c r="L269" s="4"/>
      <c r="M269" s="4"/>
      <c r="N269" s="4"/>
    </row>
    <row r="270" spans="2:21" ht="13" x14ac:dyDescent="0.3">
      <c r="B270" s="2"/>
      <c r="C270" s="2"/>
      <c r="E270" s="4" t="s">
        <v>946</v>
      </c>
      <c r="F270" s="4"/>
      <c r="G270" s="4"/>
      <c r="J270" s="4"/>
      <c r="K270" s="4"/>
      <c r="L270" s="4"/>
      <c r="M270" s="4"/>
      <c r="N270" s="4"/>
    </row>
    <row r="271" spans="2:21" ht="13" x14ac:dyDescent="0.3">
      <c r="B271" s="2"/>
      <c r="C271" s="2"/>
      <c r="E271" s="2"/>
      <c r="G271" s="4"/>
      <c r="H271" s="4"/>
      <c r="J271" s="4"/>
      <c r="K271" s="4"/>
      <c r="L271" s="4"/>
      <c r="M271" s="4"/>
      <c r="N271" s="4"/>
      <c r="O271" s="4"/>
      <c r="P271" s="4"/>
      <c r="Q271" s="4"/>
      <c r="R271" s="4"/>
      <c r="S271" s="4"/>
      <c r="T271" s="4"/>
      <c r="U271" s="4"/>
    </row>
    <row r="272" spans="2:21" ht="13" x14ac:dyDescent="0.3">
      <c r="B272" s="2"/>
      <c r="D272" s="2" t="s">
        <v>515</v>
      </c>
      <c r="E272" s="2" t="s">
        <v>613</v>
      </c>
      <c r="G272" s="4"/>
      <c r="H272" s="4"/>
      <c r="J272" s="4"/>
      <c r="K272" s="4"/>
      <c r="L272" s="4"/>
      <c r="M272" s="4"/>
      <c r="N272" s="4"/>
      <c r="O272" s="4"/>
      <c r="P272" s="4"/>
      <c r="Q272" s="4"/>
      <c r="R272" s="4"/>
      <c r="S272" s="4"/>
      <c r="T272" s="4"/>
      <c r="U272" s="4"/>
    </row>
    <row r="273" spans="2:23" ht="13" x14ac:dyDescent="0.3">
      <c r="B273" s="2"/>
      <c r="D273" s="4"/>
      <c r="E273" s="4" t="s">
        <v>1012</v>
      </c>
      <c r="J273" s="4"/>
      <c r="K273" s="4"/>
      <c r="L273" s="4"/>
      <c r="M273" s="4"/>
      <c r="N273" s="4"/>
      <c r="O273" s="4"/>
      <c r="P273" s="4"/>
      <c r="Q273" s="4"/>
      <c r="R273" s="4"/>
      <c r="S273" s="4"/>
      <c r="T273" s="4"/>
      <c r="U273" s="4"/>
    </row>
    <row r="274" spans="2:23" ht="13" x14ac:dyDescent="0.3">
      <c r="B274" s="2"/>
      <c r="D274" s="4"/>
      <c r="E274" s="4" t="s">
        <v>940</v>
      </c>
      <c r="J274" s="4"/>
      <c r="K274" s="4"/>
      <c r="L274" s="4"/>
      <c r="M274" s="4"/>
      <c r="N274" s="4"/>
      <c r="O274" s="4"/>
      <c r="P274" s="4"/>
      <c r="Q274" s="4"/>
      <c r="R274" s="4"/>
      <c r="S274" s="4"/>
      <c r="T274" s="4"/>
      <c r="U274" s="4"/>
    </row>
    <row r="275" spans="2:23" ht="13" x14ac:dyDescent="0.3">
      <c r="B275" s="2"/>
      <c r="D275" s="4"/>
      <c r="E275" s="4"/>
      <c r="J275" s="4"/>
      <c r="K275" s="4"/>
      <c r="L275" s="4"/>
      <c r="M275" s="4"/>
      <c r="N275" s="4"/>
      <c r="O275" s="4"/>
      <c r="P275" s="4"/>
      <c r="Q275" s="4"/>
      <c r="R275" s="4"/>
      <c r="S275" s="4"/>
      <c r="T275" s="4"/>
      <c r="U275" s="4"/>
    </row>
    <row r="276" spans="2:23" ht="13" x14ac:dyDescent="0.3">
      <c r="B276" s="2"/>
      <c r="D276" s="2" t="s">
        <v>303</v>
      </c>
      <c r="E276" s="2" t="s">
        <v>288</v>
      </c>
      <c r="K276" s="4"/>
      <c r="L276" s="4"/>
      <c r="M276" s="4"/>
      <c r="N276" s="4"/>
      <c r="O276" s="4"/>
      <c r="P276" s="4"/>
      <c r="Q276" s="4"/>
      <c r="R276" s="4"/>
      <c r="S276" s="4"/>
      <c r="T276" s="4"/>
      <c r="U276" s="4"/>
    </row>
    <row r="277" spans="2:23" ht="13" x14ac:dyDescent="0.3">
      <c r="B277" s="2"/>
      <c r="D277" s="2"/>
      <c r="E277" t="s">
        <v>256</v>
      </c>
      <c r="K277" s="4"/>
      <c r="L277" s="4"/>
      <c r="M277" s="4"/>
      <c r="N277" s="4"/>
      <c r="O277" s="4"/>
      <c r="P277" s="4"/>
      <c r="Q277" s="4"/>
      <c r="R277" s="4"/>
      <c r="S277" s="4"/>
    </row>
    <row r="278" spans="2:23" ht="13" x14ac:dyDescent="0.3">
      <c r="B278" s="2"/>
      <c r="D278" s="4"/>
      <c r="E278" s="4" t="s">
        <v>947</v>
      </c>
      <c r="I278" s="4"/>
      <c r="J278" s="4"/>
      <c r="K278" s="4"/>
      <c r="L278" s="4"/>
      <c r="M278" s="4"/>
      <c r="N278" s="4"/>
      <c r="O278" s="4"/>
      <c r="P278" s="4"/>
      <c r="Q278" s="4"/>
      <c r="R278" s="4"/>
      <c r="S278" s="4"/>
    </row>
    <row r="279" spans="2:23" ht="13" x14ac:dyDescent="0.3">
      <c r="B279" s="2"/>
      <c r="D279" s="4"/>
      <c r="E279" s="4"/>
      <c r="I279" s="4"/>
      <c r="J279" s="4"/>
      <c r="K279" s="4"/>
      <c r="L279" s="4"/>
      <c r="M279" s="4"/>
      <c r="N279" s="4"/>
      <c r="O279" s="4"/>
      <c r="P279" s="4"/>
      <c r="Q279" s="4"/>
      <c r="R279" s="4"/>
      <c r="S279" s="4"/>
    </row>
    <row r="280" spans="2:23" ht="13" x14ac:dyDescent="0.3">
      <c r="B280" s="2"/>
      <c r="D280" s="2" t="s">
        <v>429</v>
      </c>
      <c r="E280" s="2" t="s">
        <v>425</v>
      </c>
      <c r="G280" s="4"/>
      <c r="H280" s="4"/>
      <c r="I280" s="4"/>
      <c r="J280" s="4"/>
      <c r="K280" s="4"/>
      <c r="L280" s="4"/>
      <c r="M280" s="4"/>
      <c r="O280" s="4"/>
      <c r="P280" s="4"/>
      <c r="Q280" s="4"/>
      <c r="R280" s="4"/>
      <c r="S280" s="4"/>
    </row>
    <row r="281" spans="2:23" ht="13" x14ac:dyDescent="0.3">
      <c r="B281" s="2"/>
      <c r="D281" s="2"/>
      <c r="E281" t="s">
        <v>257</v>
      </c>
      <c r="G281" s="4"/>
      <c r="H281" s="4"/>
      <c r="I281" s="4"/>
      <c r="J281" s="4"/>
      <c r="K281" s="4"/>
      <c r="L281" s="4"/>
      <c r="M281" s="4"/>
      <c r="P281" s="4"/>
      <c r="Q281" s="4"/>
      <c r="R281" s="4"/>
      <c r="S281" s="4"/>
    </row>
    <row r="282" spans="2:23" ht="13" x14ac:dyDescent="0.3">
      <c r="B282" s="2"/>
      <c r="D282" s="2"/>
      <c r="E282" t="s">
        <v>258</v>
      </c>
      <c r="G282" s="4"/>
      <c r="H282" s="4"/>
      <c r="I282" s="4"/>
      <c r="J282" s="4"/>
      <c r="K282" s="4"/>
      <c r="L282" s="4"/>
      <c r="M282" s="4"/>
      <c r="P282" s="4"/>
      <c r="Q282" s="4"/>
      <c r="R282" s="4"/>
      <c r="S282" s="4"/>
    </row>
    <row r="283" spans="2:23" ht="13" x14ac:dyDescent="0.3">
      <c r="B283" s="2"/>
      <c r="D283" s="2"/>
      <c r="E283" s="120" t="s">
        <v>948</v>
      </c>
      <c r="F283" s="120"/>
      <c r="G283" s="4"/>
      <c r="H283" s="120"/>
      <c r="I283" s="120"/>
      <c r="J283" s="4"/>
      <c r="K283" s="4"/>
      <c r="L283" s="4"/>
      <c r="M283" s="4"/>
      <c r="P283" s="4"/>
      <c r="Q283" s="4"/>
      <c r="R283" s="4"/>
      <c r="S283" s="4"/>
    </row>
    <row r="284" spans="2:23" ht="13" x14ac:dyDescent="0.3">
      <c r="B284" s="2"/>
      <c r="D284" s="2"/>
      <c r="E284" s="450" t="s">
        <v>870</v>
      </c>
      <c r="G284" s="4"/>
      <c r="H284" s="120"/>
      <c r="I284" s="120"/>
      <c r="J284" s="4"/>
      <c r="K284" s="4"/>
      <c r="L284" s="4"/>
      <c r="M284" s="4"/>
      <c r="O284" s="4"/>
      <c r="P284" s="4"/>
      <c r="Q284" s="4"/>
      <c r="R284" s="4"/>
      <c r="S284" s="4"/>
    </row>
    <row r="285" spans="2:23" ht="13" x14ac:dyDescent="0.3">
      <c r="B285" s="2"/>
      <c r="D285" s="2"/>
      <c r="E285" s="4"/>
      <c r="F285" s="4"/>
      <c r="G285" s="4"/>
      <c r="H285" s="4"/>
      <c r="I285" s="4"/>
      <c r="J285" s="4"/>
      <c r="K285" s="4"/>
      <c r="L285" s="4"/>
      <c r="M285" s="4"/>
    </row>
    <row r="286" spans="2:23" ht="13" x14ac:dyDescent="0.3">
      <c r="B286" s="2"/>
      <c r="D286" s="2" t="s">
        <v>558</v>
      </c>
      <c r="E286" s="2" t="s">
        <v>559</v>
      </c>
      <c r="K286" s="4"/>
      <c r="L286" s="4"/>
      <c r="M286" s="4"/>
      <c r="N286" s="4"/>
    </row>
    <row r="287" spans="2:23" ht="13" x14ac:dyDescent="0.3">
      <c r="B287" s="2"/>
      <c r="D287" s="4"/>
      <c r="E287" s="4" t="s">
        <v>112</v>
      </c>
      <c r="F287" s="4" t="s">
        <v>560</v>
      </c>
      <c r="G287" s="4"/>
      <c r="O287" s="4"/>
      <c r="P287" s="4"/>
      <c r="Q287" s="4"/>
      <c r="R287" s="4"/>
      <c r="S287" s="4"/>
      <c r="T287" s="4"/>
      <c r="U287" s="4"/>
      <c r="V287" s="4"/>
      <c r="W287" s="4"/>
    </row>
    <row r="288" spans="2:23" ht="13" x14ac:dyDescent="0.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x14ac:dyDescent="0.3">
      <c r="B289" s="2"/>
      <c r="D289" s="4"/>
      <c r="E289" s="4" t="s">
        <v>113</v>
      </c>
      <c r="F289" s="4" t="s">
        <v>561</v>
      </c>
      <c r="G289" s="4"/>
      <c r="L289" s="4"/>
      <c r="M289" s="4"/>
      <c r="N289" s="4"/>
      <c r="O289" s="4"/>
      <c r="P289" s="4"/>
      <c r="Q289" s="4"/>
      <c r="R289" s="4"/>
      <c r="S289" s="4"/>
      <c r="T289" s="4"/>
      <c r="U289" s="4"/>
      <c r="V289" s="4"/>
      <c r="W289" s="4"/>
    </row>
    <row r="290" spans="2:23" ht="13" x14ac:dyDescent="0.3">
      <c r="B290" s="2"/>
      <c r="D290" s="4"/>
      <c r="E290" s="4" t="s">
        <v>119</v>
      </c>
      <c r="F290" s="4" t="s">
        <v>259</v>
      </c>
      <c r="G290" s="4"/>
      <c r="H290" s="4"/>
      <c r="K290" s="4"/>
      <c r="L290" s="4"/>
      <c r="M290" s="4"/>
      <c r="N290" s="4"/>
      <c r="O290" s="4"/>
      <c r="P290" s="4"/>
      <c r="Q290" s="4"/>
      <c r="R290" s="4"/>
      <c r="S290" s="4"/>
      <c r="T290" s="4"/>
      <c r="U290" s="4"/>
      <c r="V290" s="4"/>
      <c r="W290" s="4"/>
    </row>
    <row r="291" spans="2:23" ht="13" x14ac:dyDescent="0.3">
      <c r="B291" s="2"/>
      <c r="D291" s="4"/>
      <c r="E291" s="4"/>
      <c r="F291" s="4" t="s">
        <v>654</v>
      </c>
      <c r="G291" s="4" t="s">
        <v>260</v>
      </c>
      <c r="K291" s="4"/>
      <c r="L291" s="4"/>
      <c r="M291" s="4"/>
      <c r="N291" s="4"/>
      <c r="O291" s="4"/>
      <c r="P291" s="4"/>
      <c r="Q291" s="4"/>
      <c r="R291" s="4"/>
      <c r="S291" s="4"/>
      <c r="T291" s="4"/>
      <c r="U291" s="4"/>
      <c r="V291" s="4"/>
      <c r="W291" s="4"/>
    </row>
    <row r="292" spans="2:23" ht="13" x14ac:dyDescent="0.3">
      <c r="B292" s="2"/>
      <c r="D292" s="4"/>
      <c r="E292" s="4"/>
      <c r="F292" s="4" t="s">
        <v>348</v>
      </c>
      <c r="G292" s="4" t="s">
        <v>941</v>
      </c>
      <c r="H292" s="4"/>
      <c r="K292" s="4"/>
      <c r="L292" s="4"/>
      <c r="M292" s="4"/>
      <c r="N292" s="4"/>
      <c r="O292" s="4"/>
      <c r="P292" s="4"/>
      <c r="Q292" s="4"/>
      <c r="R292" s="4"/>
      <c r="S292" s="4"/>
      <c r="T292" s="4"/>
      <c r="U292" s="4"/>
      <c r="V292" s="4"/>
      <c r="W292" s="4"/>
    </row>
    <row r="293" spans="2:23" ht="13" x14ac:dyDescent="0.3">
      <c r="B293" s="2"/>
      <c r="D293" s="4"/>
      <c r="E293" s="4"/>
      <c r="F293" s="4" t="s">
        <v>349</v>
      </c>
      <c r="G293" s="4" t="s">
        <v>562</v>
      </c>
      <c r="K293" s="4"/>
      <c r="L293" s="4"/>
      <c r="M293" s="4"/>
      <c r="N293" s="4"/>
      <c r="O293" s="4"/>
      <c r="P293" s="4"/>
      <c r="Q293" s="4"/>
      <c r="R293" s="4"/>
      <c r="S293" s="4"/>
      <c r="T293" s="4"/>
      <c r="U293" s="4"/>
      <c r="V293" s="4"/>
      <c r="W293" s="4"/>
    </row>
    <row r="294" spans="2:23" ht="13" x14ac:dyDescent="0.3">
      <c r="B294" s="2"/>
      <c r="D294" s="4"/>
      <c r="E294" s="4"/>
      <c r="F294" s="4" t="s">
        <v>445</v>
      </c>
      <c r="G294" s="4" t="s">
        <v>261</v>
      </c>
      <c r="H294" s="4"/>
      <c r="K294" s="4"/>
      <c r="L294" s="4"/>
      <c r="M294" s="4"/>
      <c r="N294" s="4"/>
      <c r="O294" s="4"/>
      <c r="P294" s="4"/>
      <c r="Q294" s="4"/>
      <c r="R294" s="4"/>
      <c r="S294" s="4"/>
      <c r="T294" s="4"/>
      <c r="U294" s="4"/>
      <c r="V294" s="4"/>
      <c r="W294" s="4"/>
    </row>
    <row r="295" spans="2:23" ht="13" x14ac:dyDescent="0.3">
      <c r="B295" s="2"/>
      <c r="D295" s="4"/>
      <c r="E295" s="4"/>
      <c r="F295" s="4" t="s">
        <v>262</v>
      </c>
      <c r="G295" s="4" t="s">
        <v>390</v>
      </c>
      <c r="K295" s="4"/>
      <c r="L295" s="4"/>
      <c r="M295" s="4"/>
      <c r="N295" s="4"/>
      <c r="O295" s="4"/>
      <c r="P295" s="4"/>
      <c r="Q295" s="4"/>
      <c r="R295" s="4"/>
      <c r="S295" s="4"/>
      <c r="T295" s="4"/>
      <c r="U295" s="4"/>
      <c r="V295" s="4"/>
      <c r="W295" s="4"/>
    </row>
    <row r="296" spans="2:23" ht="13" x14ac:dyDescent="0.3">
      <c r="B296" s="2"/>
      <c r="D296" s="4"/>
      <c r="E296" s="4"/>
      <c r="F296" s="4" t="s">
        <v>263</v>
      </c>
      <c r="G296" s="4" t="s">
        <v>170</v>
      </c>
      <c r="H296" s="4"/>
      <c r="K296" s="4"/>
      <c r="L296" s="4"/>
      <c r="M296" s="4"/>
      <c r="N296" s="4"/>
      <c r="O296" s="4"/>
      <c r="P296" s="4"/>
      <c r="Q296" s="4"/>
      <c r="R296" s="4"/>
      <c r="S296" s="4"/>
      <c r="T296" s="4"/>
      <c r="U296" s="4"/>
      <c r="V296" s="4"/>
      <c r="W296" s="4"/>
    </row>
    <row r="297" spans="2:23" ht="13" x14ac:dyDescent="0.3">
      <c r="B297" s="2"/>
      <c r="D297" s="4"/>
      <c r="E297" s="4" t="s">
        <v>582</v>
      </c>
      <c r="F297" s="4" t="s">
        <v>743</v>
      </c>
      <c r="G297" s="4"/>
      <c r="K297" s="4"/>
      <c r="L297" s="4"/>
      <c r="M297" s="4"/>
      <c r="N297" s="4"/>
      <c r="O297" s="4"/>
      <c r="P297" s="4"/>
      <c r="Q297" s="4"/>
      <c r="R297" s="4"/>
      <c r="S297" s="4"/>
      <c r="T297" s="4"/>
      <c r="U297" s="4"/>
      <c r="V297" s="4"/>
      <c r="W297" s="4"/>
    </row>
    <row r="298" spans="2:23" ht="13" x14ac:dyDescent="0.3">
      <c r="B298" s="2"/>
      <c r="D298" s="4"/>
      <c r="E298" s="4" t="s">
        <v>764</v>
      </c>
      <c r="F298" s="4" t="s">
        <v>750</v>
      </c>
      <c r="G298" s="4"/>
      <c r="K298" s="4"/>
      <c r="L298" s="4"/>
      <c r="M298" s="4"/>
      <c r="N298" s="4"/>
      <c r="O298" s="4"/>
      <c r="P298" s="4"/>
      <c r="Q298" s="4"/>
      <c r="R298" s="4"/>
      <c r="S298" s="4"/>
      <c r="T298" s="4"/>
      <c r="U298" s="4"/>
      <c r="V298" s="4"/>
      <c r="W298" s="4"/>
    </row>
    <row r="299" spans="2:23" ht="13" x14ac:dyDescent="0.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x14ac:dyDescent="0.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x14ac:dyDescent="0.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x14ac:dyDescent="0.3">
      <c r="B302" s="2"/>
      <c r="D302" s="4"/>
      <c r="E302" s="4"/>
      <c r="F302" s="120"/>
      <c r="G302" s="120"/>
      <c r="H302" s="120"/>
      <c r="I302" s="120"/>
      <c r="J302" s="120"/>
      <c r="K302" s="120"/>
      <c r="L302" s="120"/>
      <c r="M302" s="4"/>
      <c r="N302" s="4"/>
      <c r="O302" s="4"/>
      <c r="P302" s="4"/>
      <c r="Q302" s="4"/>
      <c r="R302" s="4"/>
      <c r="S302" s="4"/>
      <c r="T302" s="4"/>
      <c r="U302" s="4"/>
      <c r="V302" s="4"/>
      <c r="W302" s="4"/>
    </row>
    <row r="303" spans="2:23" ht="13" x14ac:dyDescent="0.3">
      <c r="B303" s="2"/>
      <c r="D303" s="2" t="s">
        <v>556</v>
      </c>
      <c r="E303" s="2" t="s">
        <v>289</v>
      </c>
      <c r="G303" s="4"/>
      <c r="H303" s="4"/>
      <c r="I303" s="4"/>
      <c r="J303" s="4"/>
      <c r="K303" s="4"/>
      <c r="L303" s="4"/>
      <c r="M303" s="4"/>
      <c r="N303" s="4"/>
      <c r="O303" s="4"/>
      <c r="P303" s="4"/>
      <c r="Q303" s="4"/>
      <c r="R303" s="4"/>
      <c r="S303" s="4"/>
      <c r="T303" s="4"/>
      <c r="U303" s="4"/>
      <c r="V303" s="4"/>
      <c r="W303" s="4"/>
    </row>
    <row r="304" spans="2:23" ht="13" x14ac:dyDescent="0.3">
      <c r="B304" s="2"/>
      <c r="D304" s="2"/>
      <c r="E304" s="4" t="s">
        <v>949</v>
      </c>
      <c r="F304" s="4"/>
      <c r="K304" s="4"/>
      <c r="L304" s="4"/>
      <c r="M304" s="4"/>
      <c r="N304" s="4"/>
      <c r="O304" s="4"/>
      <c r="P304" s="4"/>
      <c r="Q304" s="4"/>
      <c r="R304" s="4"/>
      <c r="S304" s="4"/>
      <c r="T304" s="4"/>
      <c r="U304" s="4"/>
      <c r="V304" s="4"/>
      <c r="W304" s="4"/>
    </row>
    <row r="305" spans="2:23" ht="13" x14ac:dyDescent="0.3">
      <c r="B305" s="2"/>
      <c r="D305" s="2"/>
      <c r="E305" s="4" t="s">
        <v>947</v>
      </c>
      <c r="F305" s="4"/>
      <c r="I305" s="4"/>
      <c r="J305" s="4"/>
      <c r="K305" s="4"/>
      <c r="L305" s="4"/>
      <c r="M305" s="4"/>
      <c r="N305" s="4"/>
      <c r="O305" s="4"/>
      <c r="P305" s="4"/>
      <c r="Q305" s="4"/>
      <c r="R305" s="4"/>
      <c r="S305" s="4"/>
      <c r="T305" s="4"/>
      <c r="U305" s="4"/>
      <c r="V305" s="4"/>
      <c r="W305" s="4"/>
    </row>
    <row r="306" spans="2:23" ht="13" x14ac:dyDescent="0.3">
      <c r="B306" s="2"/>
      <c r="D306" s="4"/>
      <c r="E306" s="4"/>
      <c r="F306" s="120"/>
      <c r="G306" s="120"/>
      <c r="H306" s="120"/>
      <c r="I306" s="120"/>
      <c r="J306" s="120"/>
      <c r="K306" s="120"/>
      <c r="L306" s="120"/>
      <c r="M306" s="4"/>
      <c r="N306" s="4"/>
      <c r="O306" s="4"/>
      <c r="P306" s="4"/>
      <c r="Q306" s="4"/>
      <c r="R306" s="4"/>
      <c r="S306" s="4"/>
      <c r="T306" s="4"/>
      <c r="U306" s="4"/>
      <c r="V306" s="4"/>
      <c r="W306" s="4"/>
    </row>
    <row r="307" spans="2:23" ht="13" x14ac:dyDescent="0.3">
      <c r="B307" s="2"/>
      <c r="C307" s="2" t="s">
        <v>7</v>
      </c>
      <c r="D307" s="2"/>
      <c r="F307" s="2"/>
      <c r="G307" s="2" t="s">
        <v>615</v>
      </c>
      <c r="I307" s="4"/>
      <c r="J307" s="4"/>
      <c r="K307" s="4"/>
      <c r="L307" s="4"/>
      <c r="M307" s="4"/>
      <c r="N307" s="4"/>
      <c r="O307" s="4"/>
      <c r="P307" s="4"/>
    </row>
    <row r="308" spans="2:23" ht="13" x14ac:dyDescent="0.3">
      <c r="B308" s="2"/>
      <c r="D308" s="2" t="s">
        <v>207</v>
      </c>
      <c r="E308" s="2" t="s">
        <v>264</v>
      </c>
      <c r="G308" s="2"/>
      <c r="H308" s="2"/>
      <c r="I308" s="2"/>
      <c r="J308" s="2"/>
      <c r="K308" s="2"/>
      <c r="L308" s="2"/>
      <c r="M308" s="2"/>
      <c r="N308" s="2"/>
      <c r="O308" s="2"/>
      <c r="P308" s="2"/>
      <c r="Q308" s="2"/>
      <c r="R308" s="2"/>
    </row>
    <row r="309" spans="2:23" ht="13" x14ac:dyDescent="0.3">
      <c r="B309" s="2"/>
      <c r="D309" s="2"/>
      <c r="E309" t="s">
        <v>265</v>
      </c>
      <c r="G309" s="4"/>
      <c r="I309" s="4"/>
      <c r="K309" s="4"/>
    </row>
    <row r="310" spans="2:23" ht="13" x14ac:dyDescent="0.3">
      <c r="B310" s="2"/>
      <c r="D310" s="2"/>
      <c r="E310" s="4" t="s">
        <v>800</v>
      </c>
      <c r="F310" s="4"/>
      <c r="G310" s="4"/>
      <c r="I310" s="4"/>
      <c r="K310" s="4"/>
    </row>
    <row r="311" spans="2:23" ht="13" x14ac:dyDescent="0.3">
      <c r="B311" s="2"/>
      <c r="D311" s="2"/>
      <c r="E311" s="4" t="s">
        <v>950</v>
      </c>
      <c r="F311" s="4"/>
      <c r="G311" s="4"/>
      <c r="I311" s="4"/>
      <c r="K311" s="4"/>
    </row>
    <row r="312" spans="2:23" ht="13" x14ac:dyDescent="0.3">
      <c r="B312" s="2"/>
      <c r="D312" s="2"/>
      <c r="E312" s="4" t="s">
        <v>801</v>
      </c>
      <c r="F312" s="4"/>
      <c r="G312" s="4"/>
      <c r="I312" s="4"/>
      <c r="K312" s="4"/>
    </row>
    <row r="313" spans="2:23" ht="13" x14ac:dyDescent="0.3">
      <c r="B313" s="2"/>
      <c r="D313" s="2"/>
      <c r="G313" s="4"/>
      <c r="I313" s="4"/>
      <c r="K313" s="4"/>
    </row>
    <row r="314" spans="2:23" ht="13" x14ac:dyDescent="0.3">
      <c r="B314" s="2"/>
      <c r="D314" s="2" t="s">
        <v>341</v>
      </c>
      <c r="E314" s="2" t="s">
        <v>752</v>
      </c>
      <c r="G314" s="4"/>
      <c r="H314" s="4"/>
      <c r="I314" s="4"/>
      <c r="J314" s="4"/>
      <c r="K314" s="4"/>
      <c r="P314" s="4"/>
      <c r="Q314" s="4"/>
      <c r="R314" s="4"/>
      <c r="S314" s="4"/>
    </row>
    <row r="315" spans="2:23" ht="13" x14ac:dyDescent="0.3">
      <c r="B315" s="2"/>
      <c r="D315" s="2"/>
      <c r="E315" t="s">
        <v>266</v>
      </c>
      <c r="G315" s="4"/>
      <c r="I315" s="4"/>
      <c r="J315" s="4"/>
      <c r="K315" s="4"/>
      <c r="L315" s="4"/>
      <c r="M315" s="4"/>
      <c r="N315" s="4"/>
      <c r="O315" s="4"/>
      <c r="P315" s="4"/>
      <c r="Q315" s="4"/>
      <c r="R315" s="4"/>
      <c r="S315" s="4"/>
    </row>
    <row r="316" spans="2:23" ht="13" x14ac:dyDescent="0.3">
      <c r="B316" s="2"/>
      <c r="D316" s="2"/>
      <c r="G316" s="4"/>
      <c r="I316" s="4"/>
      <c r="J316" s="4"/>
      <c r="K316" s="4"/>
      <c r="L316" s="4"/>
      <c r="M316" s="4"/>
      <c r="N316" s="4"/>
      <c r="O316" s="4"/>
      <c r="P316" s="4"/>
      <c r="Q316" s="4"/>
      <c r="R316" s="4"/>
      <c r="S316" s="4"/>
    </row>
    <row r="317" spans="2:23" ht="13" x14ac:dyDescent="0.3">
      <c r="B317" s="2"/>
      <c r="D317" s="170" t="s">
        <v>575</v>
      </c>
      <c r="E317" s="170" t="s">
        <v>736</v>
      </c>
      <c r="F317" s="3"/>
      <c r="G317" s="4"/>
      <c r="H317" s="4"/>
      <c r="I317" s="4"/>
      <c r="J317" s="4"/>
      <c r="K317" s="4"/>
      <c r="L317" s="4"/>
      <c r="M317" s="4"/>
      <c r="N317" s="4"/>
      <c r="O317" s="4"/>
      <c r="P317" s="4"/>
      <c r="Q317" s="4"/>
      <c r="R317" s="4"/>
      <c r="S317" s="4"/>
    </row>
    <row r="318" spans="2:23" ht="13" x14ac:dyDescent="0.3">
      <c r="B318" s="2"/>
      <c r="E318" t="s">
        <v>733</v>
      </c>
      <c r="I318" s="4"/>
      <c r="J318" s="4"/>
      <c r="K318" s="4"/>
      <c r="L318" s="4"/>
      <c r="M318" s="4"/>
      <c r="N318" s="4"/>
      <c r="O318" s="4"/>
      <c r="P318" s="4"/>
      <c r="Q318" s="4"/>
      <c r="R318" s="4"/>
      <c r="S318" s="4"/>
    </row>
    <row r="319" spans="2:23" ht="13" x14ac:dyDescent="0.3">
      <c r="B319" s="2"/>
      <c r="E319" t="s">
        <v>734</v>
      </c>
      <c r="I319" s="4"/>
      <c r="J319" s="4"/>
      <c r="K319" s="4"/>
      <c r="L319" s="4"/>
      <c r="M319" s="4"/>
      <c r="N319" s="4"/>
      <c r="O319" s="4"/>
      <c r="P319" s="4"/>
      <c r="Q319" s="4"/>
      <c r="R319" s="4"/>
      <c r="S319" s="4"/>
    </row>
    <row r="320" spans="2:23" ht="13" x14ac:dyDescent="0.3">
      <c r="B320" s="2"/>
      <c r="E320" t="s">
        <v>735</v>
      </c>
      <c r="I320" s="4"/>
      <c r="J320" s="4"/>
      <c r="K320" s="4"/>
      <c r="L320" s="4"/>
      <c r="M320" s="4"/>
      <c r="N320" s="4"/>
      <c r="O320" s="4"/>
      <c r="P320" s="4"/>
      <c r="Q320" s="4"/>
      <c r="R320" s="4"/>
      <c r="S320" s="4"/>
    </row>
    <row r="321" spans="1:38" ht="13" x14ac:dyDescent="0.3">
      <c r="B321" s="2"/>
      <c r="I321" s="4"/>
      <c r="J321" s="4"/>
      <c r="K321" s="4"/>
      <c r="L321" s="4"/>
      <c r="M321" s="4"/>
      <c r="N321" s="4"/>
      <c r="O321" s="4"/>
      <c r="P321" s="4"/>
      <c r="Q321" s="4"/>
      <c r="R321" s="4"/>
      <c r="S321" s="4"/>
    </row>
    <row r="322" spans="1:38" ht="13" x14ac:dyDescent="0.3">
      <c r="B322" s="2"/>
      <c r="C322" s="2" t="s">
        <v>8</v>
      </c>
      <c r="G322" s="2" t="s">
        <v>616</v>
      </c>
      <c r="I322" s="4"/>
      <c r="J322" s="4"/>
      <c r="K322" s="4"/>
      <c r="L322" s="4"/>
      <c r="M322" s="4"/>
      <c r="N322" s="4"/>
      <c r="O322" s="4"/>
      <c r="P322" s="4"/>
      <c r="Q322" s="4"/>
      <c r="R322" s="4"/>
      <c r="S322" s="4"/>
    </row>
    <row r="323" spans="1:38" ht="13" x14ac:dyDescent="0.3">
      <c r="A323" t="s">
        <v>250</v>
      </c>
      <c r="D323" s="2" t="s">
        <v>207</v>
      </c>
      <c r="E323" s="2" t="s">
        <v>616</v>
      </c>
      <c r="J323" s="2"/>
      <c r="K323" s="2"/>
      <c r="L323" s="2"/>
      <c r="M323" s="4"/>
      <c r="N323" s="4"/>
      <c r="O323" s="4"/>
      <c r="P323" s="4"/>
      <c r="Q323" s="4"/>
      <c r="R323" s="4"/>
      <c r="S323" s="4"/>
    </row>
    <row r="324" spans="1:38" x14ac:dyDescent="0.25">
      <c r="E324" t="s">
        <v>112</v>
      </c>
      <c r="F324" s="4" t="s">
        <v>951</v>
      </c>
      <c r="J324" s="4"/>
      <c r="K324" s="4"/>
      <c r="L324" s="4"/>
      <c r="M324" s="4"/>
      <c r="N324" s="4"/>
      <c r="O324" s="4"/>
      <c r="P324" s="4"/>
      <c r="Q324" s="4"/>
      <c r="R324" s="4"/>
      <c r="S324" s="4"/>
    </row>
    <row r="325" spans="1:38" x14ac:dyDescent="0.25">
      <c r="E325" s="4" t="s">
        <v>113</v>
      </c>
      <c r="F325" t="s">
        <v>737</v>
      </c>
      <c r="J325" s="4"/>
      <c r="K325" s="4"/>
      <c r="L325" s="4"/>
      <c r="M325" s="4"/>
      <c r="N325" s="4"/>
      <c r="O325" s="4"/>
      <c r="P325" s="4"/>
      <c r="Q325" s="4"/>
      <c r="R325" s="4"/>
      <c r="S325" s="4"/>
    </row>
    <row r="326" spans="1:38" ht="13" x14ac:dyDescent="0.3">
      <c r="F326" s="120" t="s">
        <v>1152</v>
      </c>
      <c r="I326" s="120"/>
      <c r="J326" s="4"/>
      <c r="K326" s="4"/>
      <c r="L326" s="4"/>
      <c r="M326" s="4"/>
      <c r="N326" s="4"/>
      <c r="O326" s="4"/>
      <c r="P326" s="4"/>
      <c r="Q326" s="4"/>
      <c r="R326" s="4"/>
      <c r="S326" s="4"/>
    </row>
    <row r="327" spans="1:38" ht="13" x14ac:dyDescent="0.3">
      <c r="F327" s="120" t="s">
        <v>1153</v>
      </c>
      <c r="I327" s="120"/>
      <c r="J327" s="4"/>
      <c r="K327" s="4"/>
      <c r="L327" s="4"/>
      <c r="M327" s="4"/>
      <c r="N327" s="4"/>
      <c r="O327" s="4"/>
      <c r="P327" s="4"/>
      <c r="Q327" s="4"/>
      <c r="R327" s="4"/>
      <c r="S327" s="4"/>
    </row>
    <row r="328" spans="1:38" x14ac:dyDescent="0.25">
      <c r="J328" s="4"/>
      <c r="K328" s="4"/>
      <c r="L328" s="4"/>
      <c r="M328" s="4"/>
      <c r="N328" s="4"/>
      <c r="O328" s="4"/>
      <c r="P328" s="4"/>
      <c r="Q328" s="4"/>
      <c r="R328" s="4"/>
      <c r="S328" s="4"/>
    </row>
    <row r="329" spans="1:38" ht="13" x14ac:dyDescent="0.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x14ac:dyDescent="0.3">
      <c r="B330" s="2"/>
      <c r="D330" s="2"/>
      <c r="E330" s="2"/>
      <c r="F330" s="2"/>
      <c r="G330" s="2"/>
      <c r="H330" s="2"/>
      <c r="I330" s="2"/>
      <c r="J330" s="4"/>
      <c r="K330" s="4"/>
      <c r="L330" s="4"/>
      <c r="M330" s="4"/>
      <c r="N330" s="4"/>
      <c r="O330" s="4"/>
      <c r="P330" s="4"/>
      <c r="Q330" s="4"/>
      <c r="R330" s="4"/>
      <c r="S330" s="4"/>
    </row>
    <row r="331" spans="1:38" ht="13" x14ac:dyDescent="0.3">
      <c r="B331" s="2"/>
      <c r="C331" s="2" t="s">
        <v>430</v>
      </c>
      <c r="G331" s="2" t="s">
        <v>22</v>
      </c>
      <c r="I331" s="2"/>
      <c r="J331" s="4"/>
      <c r="K331" s="4"/>
      <c r="L331" s="4"/>
      <c r="M331" s="4"/>
      <c r="N331" s="4"/>
      <c r="O331" s="4"/>
      <c r="P331" s="4"/>
      <c r="Q331" s="4"/>
      <c r="R331" s="4"/>
      <c r="S331" s="4"/>
    </row>
    <row r="332" spans="1:38" ht="13" x14ac:dyDescent="0.3">
      <c r="B332" s="2"/>
      <c r="C332" s="2"/>
      <c r="D332" s="2" t="s">
        <v>207</v>
      </c>
      <c r="E332" s="2" t="s">
        <v>22</v>
      </c>
      <c r="G332" s="2"/>
      <c r="I332" s="2"/>
      <c r="J332" s="4"/>
      <c r="K332" s="4"/>
      <c r="L332" s="4"/>
      <c r="M332" s="4"/>
      <c r="N332" s="4"/>
      <c r="O332" s="4"/>
      <c r="P332" s="4"/>
      <c r="Q332" s="4"/>
      <c r="R332" s="4"/>
      <c r="S332" s="4"/>
    </row>
    <row r="333" spans="1:38" ht="13" x14ac:dyDescent="0.3">
      <c r="B333" s="2"/>
      <c r="E333" t="s">
        <v>112</v>
      </c>
      <c r="F333" t="s">
        <v>740</v>
      </c>
      <c r="J333" s="4"/>
      <c r="K333" s="4"/>
      <c r="L333" s="4"/>
      <c r="M333" s="4"/>
      <c r="N333" s="4"/>
      <c r="O333" s="4"/>
      <c r="P333" s="4"/>
      <c r="Q333" s="4"/>
      <c r="R333" s="4"/>
      <c r="S333" s="4"/>
    </row>
    <row r="334" spans="1:38" ht="13" x14ac:dyDescent="0.3">
      <c r="B334" s="2"/>
      <c r="E334" s="4"/>
      <c r="F334" s="4" t="s">
        <v>741</v>
      </c>
      <c r="J334" s="4"/>
      <c r="K334" s="4"/>
      <c r="L334" s="4"/>
      <c r="M334" s="4"/>
      <c r="N334" s="4"/>
      <c r="O334" s="4"/>
      <c r="P334" s="4"/>
      <c r="Q334" s="4"/>
      <c r="R334" s="4"/>
      <c r="S334" s="4"/>
    </row>
    <row r="335" spans="1:38" ht="13" x14ac:dyDescent="0.3">
      <c r="B335" s="2"/>
      <c r="E335" s="4"/>
      <c r="F335" s="4" t="s">
        <v>742</v>
      </c>
      <c r="I335" s="4"/>
      <c r="J335" s="4"/>
      <c r="K335" s="4"/>
      <c r="L335" s="4"/>
      <c r="M335" s="4"/>
      <c r="N335" s="4"/>
      <c r="O335" s="4"/>
      <c r="P335" s="4"/>
      <c r="Q335" s="4"/>
      <c r="R335" s="4"/>
      <c r="S335" s="4"/>
    </row>
    <row r="336" spans="1:38" ht="13" x14ac:dyDescent="0.3">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x14ac:dyDescent="0.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x14ac:dyDescent="0.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x14ac:dyDescent="0.3">
      <c r="B339" s="2"/>
      <c r="F339" s="4"/>
      <c r="H339" s="4"/>
      <c r="I339" s="4"/>
      <c r="J339" s="4"/>
      <c r="K339" s="4"/>
      <c r="L339" s="4"/>
      <c r="M339" s="4"/>
      <c r="N339" s="4"/>
      <c r="O339" s="4"/>
      <c r="P339" s="4"/>
      <c r="Q339" s="4"/>
      <c r="R339" s="4"/>
      <c r="S339" s="4"/>
    </row>
    <row r="340" spans="2:37" ht="13" x14ac:dyDescent="0.3">
      <c r="B340" s="2"/>
      <c r="C340" s="2" t="s">
        <v>431</v>
      </c>
      <c r="G340" s="2" t="s">
        <v>1229</v>
      </c>
      <c r="I340" s="2"/>
      <c r="J340" s="4"/>
      <c r="K340" s="4"/>
      <c r="L340" s="4"/>
      <c r="M340" s="4"/>
      <c r="N340" s="4"/>
      <c r="O340" s="4"/>
      <c r="P340" s="4"/>
      <c r="Q340" s="4"/>
      <c r="R340" s="4"/>
      <c r="S340" s="4"/>
    </row>
    <row r="341" spans="2:37" ht="13.25" customHeight="1" x14ac:dyDescent="0.3">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x14ac:dyDescent="0.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x14ac:dyDescent="0.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x14ac:dyDescent="0.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x14ac:dyDescent="0.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x14ac:dyDescent="0.3">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x14ac:dyDescent="0.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x14ac:dyDescent="0.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x14ac:dyDescent="0.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x14ac:dyDescent="0.3">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x14ac:dyDescent="0.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x14ac:dyDescent="0.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x14ac:dyDescent="0.3">
      <c r="B353" s="2"/>
      <c r="F353" s="4"/>
      <c r="H353" s="4"/>
      <c r="I353" s="4"/>
      <c r="J353" s="4"/>
      <c r="K353" s="4"/>
      <c r="L353" s="4"/>
      <c r="M353" s="4"/>
      <c r="N353" s="4"/>
      <c r="O353" s="4"/>
      <c r="P353" s="4"/>
      <c r="Q353" s="4"/>
      <c r="R353" s="4"/>
      <c r="S353" s="4"/>
    </row>
    <row r="354" spans="1:38" ht="13" x14ac:dyDescent="0.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x14ac:dyDescent="0.3">
      <c r="B355" s="2"/>
      <c r="D355" s="513"/>
      <c r="E355" s="2"/>
      <c r="M355" s="4"/>
      <c r="N355" s="4"/>
      <c r="O355" s="4"/>
      <c r="P355" s="4"/>
      <c r="Q355" s="4"/>
      <c r="R355" s="4"/>
      <c r="S355" s="4"/>
      <c r="T355" s="4"/>
    </row>
    <row r="356" spans="1:38" ht="13.25" customHeight="1" x14ac:dyDescent="0.3">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5" customHeight="1" x14ac:dyDescent="0.3">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x14ac:dyDescent="0.3">
      <c r="B358" s="2"/>
      <c r="D358" s="2" t="s">
        <v>207</v>
      </c>
      <c r="E358" s="2" t="s">
        <v>122</v>
      </c>
      <c r="I358" s="4"/>
      <c r="J358" s="4"/>
      <c r="K358" s="4"/>
      <c r="L358" s="4"/>
      <c r="M358" s="4"/>
      <c r="N358" s="4"/>
      <c r="O358" s="4"/>
      <c r="P358" s="4"/>
      <c r="Q358" s="4"/>
      <c r="R358" s="4"/>
      <c r="S358" s="4"/>
    </row>
    <row r="359" spans="1:38" ht="13" x14ac:dyDescent="0.3">
      <c r="B359" s="2"/>
      <c r="E359" t="s">
        <v>112</v>
      </c>
      <c r="F359" s="4" t="s">
        <v>744</v>
      </c>
      <c r="I359" s="4"/>
      <c r="J359" s="4"/>
      <c r="K359" s="4"/>
      <c r="L359" s="4"/>
      <c r="M359" s="4"/>
      <c r="N359" s="4"/>
      <c r="O359" s="4"/>
      <c r="P359" s="4"/>
      <c r="Q359" s="4"/>
      <c r="R359" s="4"/>
      <c r="S359" s="4"/>
    </row>
    <row r="360" spans="1:38" ht="13" x14ac:dyDescent="0.3">
      <c r="B360" s="2"/>
      <c r="F360" s="4" t="s">
        <v>745</v>
      </c>
      <c r="I360" s="4"/>
      <c r="J360" s="4"/>
      <c r="K360" s="4"/>
      <c r="L360" s="4"/>
      <c r="M360" s="4"/>
      <c r="N360" s="4"/>
      <c r="O360" s="4"/>
      <c r="P360" s="4"/>
      <c r="Q360" s="4"/>
      <c r="R360" s="4"/>
      <c r="S360" s="4"/>
    </row>
    <row r="361" spans="1:38" ht="13" x14ac:dyDescent="0.3">
      <c r="B361" s="2"/>
      <c r="F361" s="4" t="s">
        <v>873</v>
      </c>
      <c r="G361" s="4"/>
      <c r="K361" s="4"/>
      <c r="L361" s="4"/>
      <c r="M361" s="4"/>
      <c r="N361" s="4"/>
      <c r="O361" s="4"/>
      <c r="P361" s="4"/>
      <c r="Q361" s="4"/>
      <c r="R361" s="4"/>
      <c r="S361" s="4"/>
    </row>
    <row r="362" spans="1:38" ht="13" x14ac:dyDescent="0.3">
      <c r="B362" s="2"/>
      <c r="E362" t="s">
        <v>113</v>
      </c>
      <c r="F362" s="4" t="s">
        <v>872</v>
      </c>
      <c r="I362" s="4"/>
      <c r="J362" s="4"/>
      <c r="K362" s="4"/>
      <c r="L362" s="4"/>
      <c r="M362" s="4"/>
      <c r="N362" s="4"/>
      <c r="O362" s="4"/>
      <c r="P362" s="4"/>
      <c r="Q362" s="4"/>
      <c r="R362" s="4"/>
      <c r="S362" s="4"/>
    </row>
    <row r="363" spans="1:38" ht="13" x14ac:dyDescent="0.3">
      <c r="B363" s="2"/>
      <c r="E363" t="s">
        <v>119</v>
      </c>
      <c r="F363" s="4" t="s">
        <v>746</v>
      </c>
      <c r="I363" s="4"/>
      <c r="J363" s="4"/>
      <c r="K363" s="4"/>
      <c r="L363" s="4"/>
      <c r="M363" s="4"/>
      <c r="N363" s="4"/>
      <c r="O363" s="4"/>
      <c r="P363" s="4"/>
      <c r="Q363" s="4"/>
      <c r="R363" s="4"/>
      <c r="S363" s="4"/>
    </row>
    <row r="364" spans="1:38" ht="13" x14ac:dyDescent="0.3">
      <c r="B364" s="2"/>
      <c r="F364" s="4" t="s">
        <v>747</v>
      </c>
      <c r="J364" s="4"/>
      <c r="K364" s="4"/>
      <c r="L364" s="4"/>
      <c r="M364" s="4"/>
      <c r="N364" s="4"/>
      <c r="O364" s="4"/>
      <c r="P364" s="4"/>
      <c r="Q364" s="4"/>
      <c r="R364" s="4"/>
      <c r="S364" s="4"/>
    </row>
    <row r="365" spans="1:38" ht="13" x14ac:dyDescent="0.3">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x14ac:dyDescent="0.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x14ac:dyDescent="0.3">
      <c r="A367"/>
      <c r="B367" s="2"/>
      <c r="C367"/>
      <c r="D367"/>
      <c r="E367" s="1266" t="s">
        <v>1259</v>
      </c>
    </row>
    <row r="368" spans="1:38" s="1267" customFormat="1" ht="13" x14ac:dyDescent="0.3">
      <c r="A368"/>
      <c r="B368" s="2"/>
      <c r="C368" s="2"/>
      <c r="D368"/>
    </row>
    <row r="369" spans="1:38" ht="13" x14ac:dyDescent="0.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x14ac:dyDescent="0.3">
      <c r="B370" s="2"/>
      <c r="D370" s="2" t="s">
        <v>341</v>
      </c>
      <c r="E370" s="2" t="s">
        <v>569</v>
      </c>
      <c r="J370" s="4"/>
      <c r="K370" s="4"/>
      <c r="L370" s="4"/>
      <c r="M370" s="4"/>
      <c r="N370" s="4"/>
      <c r="O370" s="4"/>
      <c r="P370" s="4"/>
      <c r="Q370" s="4"/>
      <c r="R370" s="4"/>
      <c r="S370" s="4"/>
    </row>
    <row r="371" spans="1:38" ht="13" x14ac:dyDescent="0.3">
      <c r="B371" s="2"/>
      <c r="E371" s="4" t="s">
        <v>748</v>
      </c>
      <c r="F371" s="4"/>
      <c r="G371" s="4"/>
      <c r="H371" s="4"/>
      <c r="I371" s="4"/>
      <c r="J371" s="4"/>
      <c r="K371" s="4"/>
      <c r="L371" s="4"/>
      <c r="M371" s="4"/>
      <c r="N371" s="4"/>
      <c r="O371" s="4"/>
      <c r="P371" s="4"/>
      <c r="Q371" s="4"/>
      <c r="R371" s="4"/>
      <c r="S371" s="4"/>
    </row>
    <row r="372" spans="1:38" ht="13" x14ac:dyDescent="0.3">
      <c r="B372" s="2"/>
      <c r="E372" s="4" t="s">
        <v>749</v>
      </c>
      <c r="F372" s="4"/>
      <c r="G372" s="4"/>
      <c r="H372" s="4"/>
      <c r="I372" s="4"/>
      <c r="J372" s="4"/>
      <c r="K372" s="4"/>
      <c r="L372" s="4"/>
      <c r="M372" s="4"/>
      <c r="N372" s="4"/>
      <c r="O372" s="4"/>
      <c r="P372" s="4"/>
      <c r="Q372" s="4"/>
      <c r="R372" s="4"/>
      <c r="S372" s="4"/>
    </row>
    <row r="373" spans="1:38" ht="13" x14ac:dyDescent="0.3">
      <c r="B373" s="2"/>
      <c r="E373" s="4"/>
      <c r="F373" s="4"/>
      <c r="G373" s="4"/>
      <c r="H373" s="4"/>
      <c r="I373" s="4"/>
      <c r="J373" s="4"/>
      <c r="K373" s="4"/>
      <c r="L373" s="4"/>
      <c r="M373" s="4"/>
      <c r="N373" s="4"/>
      <c r="O373" s="4"/>
      <c r="P373" s="4"/>
      <c r="Q373" s="4"/>
      <c r="R373" s="4"/>
      <c r="S373" s="4"/>
    </row>
    <row r="374" spans="1:38" ht="13" x14ac:dyDescent="0.3">
      <c r="B374" s="2"/>
      <c r="D374" s="2" t="s">
        <v>575</v>
      </c>
      <c r="E374" s="2" t="s">
        <v>282</v>
      </c>
      <c r="J374" s="4"/>
      <c r="K374" s="4"/>
      <c r="L374" s="4"/>
      <c r="M374" s="4"/>
      <c r="N374" s="4"/>
      <c r="O374" s="4"/>
      <c r="P374" s="4"/>
      <c r="Q374" s="4"/>
      <c r="R374" s="4"/>
      <c r="S374" s="4"/>
    </row>
    <row r="375" spans="1:38" ht="13" x14ac:dyDescent="0.3">
      <c r="B375" s="2"/>
      <c r="E375" s="4" t="s">
        <v>112</v>
      </c>
      <c r="F375" s="4" t="s">
        <v>251</v>
      </c>
      <c r="G375" s="4"/>
      <c r="I375" s="4"/>
      <c r="J375" s="4"/>
      <c r="K375" s="4"/>
      <c r="L375" s="4"/>
      <c r="M375" s="4"/>
      <c r="N375" s="4"/>
      <c r="O375" s="4"/>
      <c r="P375" s="4"/>
      <c r="Q375" s="4"/>
      <c r="R375" s="4"/>
      <c r="S375" s="4"/>
    </row>
    <row r="376" spans="1:38" ht="13" x14ac:dyDescent="0.3">
      <c r="B376" s="2"/>
      <c r="E376" s="4"/>
      <c r="F376" s="120" t="s">
        <v>1154</v>
      </c>
      <c r="G376" s="4"/>
      <c r="I376" s="120"/>
      <c r="J376" s="4"/>
      <c r="K376" s="4"/>
      <c r="L376" s="4"/>
      <c r="M376" s="4"/>
      <c r="N376" s="4"/>
      <c r="O376" s="4"/>
      <c r="P376" s="4"/>
      <c r="Q376" s="4"/>
      <c r="R376" s="4"/>
      <c r="S376" s="4"/>
    </row>
    <row r="377" spans="1:38" ht="13" x14ac:dyDescent="0.3">
      <c r="B377" s="2"/>
      <c r="E377" s="4" t="s">
        <v>113</v>
      </c>
      <c r="F377" s="4" t="s">
        <v>252</v>
      </c>
      <c r="G377" s="4"/>
      <c r="I377" s="120"/>
      <c r="J377" s="4"/>
      <c r="K377" s="4"/>
      <c r="L377" s="4"/>
      <c r="M377" s="4"/>
      <c r="N377" s="4"/>
      <c r="O377" s="4"/>
      <c r="P377" s="4"/>
      <c r="Q377" s="4"/>
      <c r="R377" s="4"/>
      <c r="S377" s="4"/>
    </row>
    <row r="378" spans="1:38" ht="13" x14ac:dyDescent="0.3">
      <c r="B378" s="2"/>
      <c r="E378" s="4"/>
      <c r="F378" s="4"/>
      <c r="G378" s="4"/>
      <c r="I378" s="120"/>
      <c r="J378" s="4"/>
      <c r="K378" s="4"/>
      <c r="L378" s="4"/>
      <c r="M378" s="4"/>
      <c r="N378" s="4"/>
      <c r="O378" s="4"/>
      <c r="P378" s="4"/>
      <c r="Q378" s="4"/>
      <c r="R378" s="4"/>
      <c r="S378" s="4"/>
    </row>
    <row r="379" spans="1:38" ht="13" x14ac:dyDescent="0.3">
      <c r="B379" s="2"/>
      <c r="D379" s="2" t="s">
        <v>515</v>
      </c>
      <c r="E379" s="2" t="s">
        <v>1260</v>
      </c>
      <c r="J379" s="3"/>
      <c r="K379" s="3"/>
      <c r="L379" s="3"/>
      <c r="M379" s="3"/>
      <c r="N379" s="3"/>
      <c r="O379" s="3"/>
      <c r="P379" s="3"/>
      <c r="Q379" s="3"/>
      <c r="R379" s="3"/>
      <c r="S379" s="3"/>
    </row>
    <row r="380" spans="1:38" ht="13" x14ac:dyDescent="0.3">
      <c r="B380" s="2"/>
      <c r="D380" s="2"/>
      <c r="E380" s="3" t="s">
        <v>748</v>
      </c>
      <c r="F380" s="3"/>
      <c r="G380" s="3"/>
      <c r="J380" s="3"/>
      <c r="K380" s="3"/>
      <c r="L380" s="3"/>
      <c r="M380" s="3"/>
      <c r="N380" s="3"/>
      <c r="O380" s="3"/>
      <c r="P380" s="3"/>
      <c r="Q380" s="3"/>
      <c r="R380" s="3"/>
      <c r="S380" s="3"/>
    </row>
    <row r="381" spans="1:38" ht="13" x14ac:dyDescent="0.3">
      <c r="B381" s="2"/>
      <c r="D381" s="2"/>
      <c r="E381" s="3" t="s">
        <v>1157</v>
      </c>
      <c r="F381" s="3"/>
      <c r="G381" s="3"/>
      <c r="J381" s="3"/>
      <c r="K381" s="3"/>
      <c r="L381" s="3"/>
      <c r="M381" s="3"/>
      <c r="N381" s="3"/>
      <c r="O381" s="3"/>
      <c r="P381" s="3"/>
      <c r="Q381" s="3"/>
      <c r="R381" s="3"/>
      <c r="S381" s="3"/>
    </row>
    <row r="382" spans="1:38" ht="13" x14ac:dyDescent="0.3">
      <c r="B382" s="2"/>
      <c r="D382" s="2"/>
      <c r="E382" s="3"/>
      <c r="F382" s="3"/>
      <c r="G382" s="3"/>
      <c r="J382" s="3"/>
      <c r="K382" s="3"/>
      <c r="L382" s="3"/>
      <c r="M382" s="3"/>
      <c r="N382" s="3"/>
      <c r="O382" s="3"/>
      <c r="P382" s="3"/>
      <c r="Q382" s="3"/>
      <c r="R382" s="3"/>
      <c r="S382" s="3"/>
    </row>
    <row r="383" spans="1:38" s="169" customFormat="1" ht="13" x14ac:dyDescent="0.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x14ac:dyDescent="0.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x14ac:dyDescent="0.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x14ac:dyDescent="0.3">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x14ac:dyDescent="0.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x14ac:dyDescent="0.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x14ac:dyDescent="0.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x14ac:dyDescent="0.3">
      <c r="B390" s="2"/>
      <c r="C390" s="2"/>
      <c r="D390" s="2" t="s">
        <v>429</v>
      </c>
      <c r="E390" s="2" t="s">
        <v>1276</v>
      </c>
      <c r="F390" s="3"/>
      <c r="G390" s="2"/>
      <c r="I390" s="120"/>
      <c r="J390" s="3"/>
      <c r="K390" s="3"/>
      <c r="L390" s="3"/>
      <c r="M390" s="3"/>
      <c r="N390" s="3"/>
      <c r="O390" s="3"/>
      <c r="P390" s="3"/>
      <c r="Q390" s="3"/>
      <c r="R390" s="3"/>
      <c r="S390" s="3"/>
    </row>
    <row r="391" spans="1:38" ht="13.25" customHeight="1" x14ac:dyDescent="0.3">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x14ac:dyDescent="0.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x14ac:dyDescent="0.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x14ac:dyDescent="0.3">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x14ac:dyDescent="0.3">
      <c r="B395" s="2"/>
      <c r="S395" s="4"/>
    </row>
    <row r="396" spans="1:38" ht="13" hidden="1" x14ac:dyDescent="0.3">
      <c r="B396" s="2"/>
      <c r="S396" s="4"/>
    </row>
    <row r="397" spans="1:38" ht="13" hidden="1" x14ac:dyDescent="0.3">
      <c r="B397" s="2"/>
      <c r="S397" s="4"/>
    </row>
    <row r="398" spans="1:38" ht="13" hidden="1" x14ac:dyDescent="0.3">
      <c r="B398" s="2"/>
      <c r="S398" s="4"/>
    </row>
    <row r="399" spans="1:38" ht="13" hidden="1" x14ac:dyDescent="0.3">
      <c r="B399" s="2"/>
      <c r="S399" s="4"/>
    </row>
    <row r="400" spans="1:38" ht="13" hidden="1" x14ac:dyDescent="0.3">
      <c r="B400" s="2"/>
      <c r="S400" s="4"/>
    </row>
    <row r="401" spans="2:19" ht="13" hidden="1" x14ac:dyDescent="0.3">
      <c r="B401" s="2"/>
      <c r="S401" s="4"/>
    </row>
    <row r="402" spans="2:19" ht="13" hidden="1" x14ac:dyDescent="0.3">
      <c r="B402" s="2"/>
      <c r="S402" s="4"/>
    </row>
    <row r="403" spans="2:19" ht="13" hidden="1" x14ac:dyDescent="0.3">
      <c r="B403" s="2"/>
      <c r="S403" s="4"/>
    </row>
    <row r="404" spans="2:19" ht="13" hidden="1" x14ac:dyDescent="0.3">
      <c r="B404" s="2"/>
      <c r="S404" s="4"/>
    </row>
    <row r="405" spans="2:19" ht="13" hidden="1" x14ac:dyDescent="0.3">
      <c r="B405" s="2"/>
      <c r="S405" s="4"/>
    </row>
    <row r="406" spans="2:19" ht="13" hidden="1" x14ac:dyDescent="0.3">
      <c r="B406" s="2"/>
      <c r="D406" s="2"/>
      <c r="E406" s="4"/>
      <c r="F406" s="4"/>
      <c r="G406" s="4"/>
      <c r="H406" s="4"/>
      <c r="I406" s="4"/>
      <c r="J406" s="4"/>
      <c r="K406" s="4"/>
      <c r="L406" s="4"/>
      <c r="M406" s="4"/>
      <c r="N406" s="4"/>
      <c r="O406" s="4"/>
      <c r="P406" s="4"/>
      <c r="Q406" s="4"/>
      <c r="R406" s="4"/>
      <c r="S406" s="4"/>
    </row>
    <row r="407" spans="2:19" ht="13" hidden="1" x14ac:dyDescent="0.3">
      <c r="B407" s="2"/>
      <c r="D407" s="2"/>
      <c r="E407" s="4"/>
      <c r="F407" s="4"/>
      <c r="G407" s="4"/>
      <c r="H407" s="4"/>
      <c r="I407" s="4"/>
      <c r="J407" s="4"/>
      <c r="K407" s="4"/>
      <c r="L407" s="4"/>
      <c r="M407" s="4"/>
      <c r="N407" s="4"/>
      <c r="O407" s="4"/>
      <c r="P407" s="4"/>
      <c r="Q407" s="4"/>
      <c r="R407" s="4"/>
      <c r="S407" s="4"/>
    </row>
    <row r="408" spans="2:19" hidden="1" x14ac:dyDescent="0.25">
      <c r="J408" s="4"/>
      <c r="K408" s="4"/>
      <c r="L408" s="4"/>
      <c r="M408" s="4"/>
      <c r="N408" s="4"/>
      <c r="O408" s="4"/>
      <c r="P408" s="4"/>
      <c r="Q408" s="4"/>
      <c r="R408" s="4"/>
      <c r="S408" s="4"/>
    </row>
    <row r="409" spans="2:19" hidden="1" x14ac:dyDescent="0.25">
      <c r="J409" s="4"/>
      <c r="K409" s="4"/>
      <c r="L409" s="4"/>
      <c r="M409" s="4"/>
      <c r="N409" s="4"/>
      <c r="O409" s="4"/>
      <c r="P409" s="4"/>
      <c r="Q409" s="4"/>
      <c r="R409" s="4"/>
      <c r="S409" s="4"/>
    </row>
    <row r="410" spans="2:19" hidden="1" x14ac:dyDescent="0.25">
      <c r="J410" s="4"/>
      <c r="K410" s="4"/>
      <c r="L410" s="4"/>
      <c r="M410" s="4"/>
      <c r="N410" s="4"/>
      <c r="O410" s="4"/>
      <c r="P410" s="4"/>
      <c r="Q410" s="4"/>
      <c r="R410" s="4"/>
      <c r="S410" s="4"/>
    </row>
    <row r="411" spans="2:19" hidden="1" x14ac:dyDescent="0.25">
      <c r="J411" s="4"/>
      <c r="K411" s="4"/>
      <c r="L411" s="4"/>
      <c r="M411" s="4"/>
      <c r="N411" s="4"/>
      <c r="O411" s="4"/>
      <c r="P411" s="4"/>
      <c r="Q411" s="4"/>
      <c r="R411" s="4"/>
      <c r="S411" s="4"/>
    </row>
    <row r="412" spans="2:19" hidden="1" x14ac:dyDescent="0.25">
      <c r="J412" s="4"/>
      <c r="K412" s="4"/>
      <c r="L412" s="4"/>
      <c r="M412" s="4"/>
      <c r="N412" s="4"/>
      <c r="O412" s="4"/>
      <c r="P412" s="4"/>
      <c r="Q412" s="4"/>
      <c r="R412" s="4"/>
      <c r="S412" s="4"/>
    </row>
    <row r="413" spans="2:19" hidden="1" x14ac:dyDescent="0.25">
      <c r="J413" s="4"/>
      <c r="K413" s="4"/>
      <c r="L413" s="4"/>
      <c r="M413" s="4"/>
      <c r="N413" s="4"/>
      <c r="O413" s="4"/>
      <c r="P413" s="4"/>
      <c r="Q413" s="4"/>
      <c r="R413" s="4"/>
      <c r="S413" s="4"/>
    </row>
    <row r="414" spans="2:19" hidden="1" x14ac:dyDescent="0.25">
      <c r="J414" s="4"/>
      <c r="K414" s="4"/>
      <c r="L414" s="4"/>
      <c r="M414" s="4"/>
      <c r="N414" s="4"/>
      <c r="O414" s="4"/>
      <c r="P414" s="4"/>
      <c r="Q414" s="4"/>
      <c r="R414" s="4"/>
      <c r="S414" s="4"/>
    </row>
    <row r="415" spans="2:19" hidden="1" x14ac:dyDescent="0.25">
      <c r="J415" s="4"/>
      <c r="K415" s="4"/>
      <c r="L415" s="4"/>
      <c r="M415" s="4"/>
      <c r="N415" s="4"/>
      <c r="O415" s="4"/>
      <c r="P415" s="4"/>
      <c r="Q415" s="4"/>
      <c r="R415" s="4"/>
      <c r="S415" s="4"/>
    </row>
    <row r="416" spans="2:19" hidden="1" x14ac:dyDescent="0.25">
      <c r="J416" s="4"/>
      <c r="K416" s="4"/>
      <c r="L416" s="4"/>
      <c r="M416" s="4"/>
      <c r="N416" s="4"/>
      <c r="O416" s="4"/>
      <c r="P416" s="4"/>
      <c r="Q416" s="4"/>
      <c r="R416" s="4"/>
      <c r="S416" s="4"/>
    </row>
    <row r="417" spans="2:19" hidden="1" x14ac:dyDescent="0.25">
      <c r="L417" s="4"/>
      <c r="M417" s="4"/>
      <c r="N417" s="4"/>
      <c r="O417" s="4"/>
      <c r="P417" s="4"/>
      <c r="Q417" s="4"/>
      <c r="R417" s="4"/>
      <c r="S417" s="4"/>
    </row>
    <row r="418" spans="2:19" hidden="1" x14ac:dyDescent="0.25">
      <c r="J418" s="4"/>
      <c r="K418" s="4"/>
      <c r="L418" s="4"/>
      <c r="M418" s="4"/>
      <c r="N418" s="4"/>
      <c r="O418" s="4"/>
      <c r="P418" s="4"/>
      <c r="Q418" s="4"/>
      <c r="R418" s="4"/>
      <c r="S418" s="4"/>
    </row>
    <row r="419" spans="2:19" ht="13" hidden="1" x14ac:dyDescent="0.3">
      <c r="B419" s="2"/>
      <c r="D419" s="2"/>
      <c r="E419" s="4"/>
      <c r="F419" s="4"/>
      <c r="G419" s="4"/>
      <c r="H419" s="4"/>
      <c r="I419" s="4"/>
      <c r="J419" s="4"/>
      <c r="K419" s="4"/>
      <c r="L419" s="4"/>
      <c r="M419" s="4"/>
      <c r="N419" s="4"/>
      <c r="O419" s="4"/>
      <c r="P419" s="4"/>
      <c r="Q419" s="4"/>
      <c r="R419" s="4"/>
      <c r="S419" s="4"/>
    </row>
    <row r="420" spans="2:19" ht="13" hidden="1" x14ac:dyDescent="0.3">
      <c r="B420" s="2"/>
      <c r="C420" s="2"/>
      <c r="D420" s="2"/>
      <c r="E420" s="4"/>
      <c r="F420" s="4"/>
      <c r="G420" s="4"/>
      <c r="H420" s="4"/>
      <c r="I420" s="4"/>
      <c r="J420" s="4"/>
      <c r="K420" s="4"/>
      <c r="L420" s="4"/>
      <c r="M420" s="4"/>
      <c r="N420" s="4"/>
      <c r="O420" s="4"/>
      <c r="P420" s="4"/>
      <c r="Q420" s="4"/>
      <c r="R420" s="4"/>
      <c r="S420" s="4"/>
    </row>
    <row r="421" spans="2:19" ht="13" hidden="1" x14ac:dyDescent="0.3">
      <c r="D421" s="2"/>
    </row>
    <row r="422" spans="2:19" x14ac:dyDescent="0.25"/>
    <row r="423" spans="2:19" x14ac:dyDescent="0.25"/>
    <row r="424" spans="2:19" x14ac:dyDescent="0.25"/>
    <row r="425" spans="2:19" x14ac:dyDescent="0.25"/>
    <row r="426" spans="2:19" x14ac:dyDescent="0.25"/>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D63" workbookViewId="0">
      <selection activeCell="G77" sqref="G77"/>
    </sheetView>
  </sheetViews>
  <sheetFormatPr defaultColWidth="9.08984375" defaultRowHeight="14" x14ac:dyDescent="0.3"/>
  <cols>
    <col min="1" max="1" width="2.453125" style="1045" customWidth="1"/>
    <col min="2" max="9" width="14.6328125" style="1045" customWidth="1"/>
    <col min="10" max="10" width="2.36328125" style="1045" customWidth="1"/>
    <col min="11" max="11" width="11.90625" style="1046" customWidth="1"/>
    <col min="12" max="12" width="10.6328125" style="1045" customWidth="1"/>
    <col min="13" max="13" width="10.453125" style="1045" customWidth="1"/>
    <col min="14" max="14" width="10.90625" style="1045" customWidth="1"/>
    <col min="15" max="18" width="9.08984375" style="1045"/>
    <col min="19" max="19" width="9.453125" style="1045" bestFit="1" customWidth="1"/>
    <col min="20" max="16384" width="9.08984375" style="1045"/>
  </cols>
  <sheetData>
    <row r="1" spans="1:13" ht="30" customHeight="1" x14ac:dyDescent="0.3">
      <c r="A1" s="2657" t="s">
        <v>1586</v>
      </c>
      <c r="B1" s="2657"/>
      <c r="C1" s="2657"/>
      <c r="D1" s="2657"/>
      <c r="E1" s="2657"/>
      <c r="F1" s="2657"/>
      <c r="G1" s="2657"/>
      <c r="H1" s="2657"/>
      <c r="I1" s="2657"/>
      <c r="J1" s="2657"/>
    </row>
    <row r="2" spans="1:13" ht="15" customHeight="1" thickBot="1" x14ac:dyDescent="0.35">
      <c r="A2" s="1047"/>
      <c r="B2" s="1047"/>
      <c r="I2" s="1048"/>
      <c r="K2" s="1049"/>
    </row>
    <row r="3" spans="1:13" s="1052" customFormat="1" ht="20.149999999999999" customHeight="1" x14ac:dyDescent="0.25">
      <c r="A3" s="1102"/>
      <c r="B3" s="1103"/>
      <c r="C3" s="1104"/>
      <c r="D3" s="1109"/>
      <c r="E3" s="1104"/>
      <c r="F3" s="1105" t="s">
        <v>1992</v>
      </c>
      <c r="G3" s="1104"/>
      <c r="H3" s="1106">
        <f>E18</f>
        <v>38786030</v>
      </c>
      <c r="I3" s="1107"/>
    </row>
    <row r="4" spans="1:13" s="1052" customFormat="1" ht="20.149999999999999" customHeight="1" x14ac:dyDescent="0.25">
      <c r="B4" s="1096"/>
      <c r="D4" s="1110"/>
      <c r="F4" s="1094" t="s">
        <v>1994</v>
      </c>
      <c r="G4" s="1093" t="s">
        <v>1993</v>
      </c>
      <c r="H4" s="1095">
        <f>I18</f>
        <v>32117753.267973855</v>
      </c>
      <c r="I4" s="1097"/>
      <c r="K4" s="1056"/>
    </row>
    <row r="5" spans="1:13" s="1052" customFormat="1" ht="20.149999999999999" customHeight="1" thickBot="1" x14ac:dyDescent="0.3">
      <c r="B5" s="1098"/>
      <c r="C5" s="1099"/>
      <c r="D5" s="1111"/>
      <c r="E5" s="1100"/>
      <c r="F5" s="1111" t="s">
        <v>1943</v>
      </c>
      <c r="G5" s="1112"/>
      <c r="H5" s="1108">
        <f>IFERROR(H3/H4,0)</f>
        <v>1.2076196512374171</v>
      </c>
      <c r="I5" s="1101"/>
      <c r="K5" s="1056"/>
    </row>
    <row r="6" spans="1:13" s="1052" customFormat="1" ht="15" customHeight="1" x14ac:dyDescent="0.25">
      <c r="B6" s="1053"/>
      <c r="C6" s="1054"/>
      <c r="F6" s="1055"/>
      <c r="K6" s="1056"/>
    </row>
    <row r="7" spans="1:13" s="1052" customFormat="1" ht="15" customHeight="1" x14ac:dyDescent="0.25">
      <c r="E7" s="1057"/>
      <c r="F7" s="1055"/>
      <c r="K7" s="1058"/>
    </row>
    <row r="8" spans="1:13" s="1052" customFormat="1" ht="15" customHeight="1" x14ac:dyDescent="0.25">
      <c r="A8" s="1059"/>
      <c r="B8" s="2660" t="s">
        <v>1941</v>
      </c>
      <c r="C8" s="2661"/>
      <c r="D8" s="2661"/>
      <c r="E8" s="2662"/>
      <c r="G8" s="2663" t="s">
        <v>1942</v>
      </c>
      <c r="H8" s="2664"/>
      <c r="I8" s="2665"/>
      <c r="K8" s="1058"/>
    </row>
    <row r="9" spans="1:13" ht="15" customHeight="1" x14ac:dyDescent="0.3">
      <c r="A9" s="1047"/>
      <c r="B9" s="2658" t="s">
        <v>1975</v>
      </c>
      <c r="C9" s="2658"/>
      <c r="D9" s="2658"/>
      <c r="E9" s="1060">
        <f>G33</f>
        <v>5037500</v>
      </c>
      <c r="G9" s="2666" t="s">
        <v>1973</v>
      </c>
      <c r="H9" s="2666"/>
      <c r="I9" s="1061">
        <f>Application!AM554</f>
        <v>40700000</v>
      </c>
      <c r="K9" s="1062"/>
      <c r="M9" s="1063"/>
    </row>
    <row r="10" spans="1:13" ht="15" customHeight="1" thickBot="1" x14ac:dyDescent="0.35">
      <c r="A10" s="1047"/>
      <c r="B10" s="2658" t="s">
        <v>1976</v>
      </c>
      <c r="C10" s="2658"/>
      <c r="D10" s="2658"/>
      <c r="E10" s="1061">
        <f>G47</f>
        <v>22274280</v>
      </c>
      <c r="G10" s="2670" t="s">
        <v>1944</v>
      </c>
      <c r="H10" s="2670"/>
      <c r="I10" s="1142">
        <f>'Basis &amp; Credits'!AB78</f>
        <v>0</v>
      </c>
      <c r="M10" s="1063"/>
    </row>
    <row r="11" spans="1:13" ht="15" customHeight="1" x14ac:dyDescent="0.3">
      <c r="A11" s="1047"/>
      <c r="B11" s="2674" t="s">
        <v>2267</v>
      </c>
      <c r="C11" s="2675"/>
      <c r="D11" s="2676"/>
      <c r="E11" s="1061">
        <f>SUM(E12,E13)</f>
        <v>1500000</v>
      </c>
      <c r="G11" s="2673" t="s">
        <v>1984</v>
      </c>
      <c r="H11" s="2673"/>
      <c r="I11" s="1141">
        <f>I9+I10</f>
        <v>40700000</v>
      </c>
      <c r="M11" s="1063"/>
    </row>
    <row r="12" spans="1:13" ht="15" customHeight="1" x14ac:dyDescent="0.3">
      <c r="A12" s="1064"/>
      <c r="B12" s="2659" t="s">
        <v>2269</v>
      </c>
      <c r="C12" s="2659"/>
      <c r="D12" s="2659"/>
      <c r="E12" s="1167">
        <f>G56</f>
        <v>500000</v>
      </c>
      <c r="M12" s="1063"/>
    </row>
    <row r="13" spans="1:13" ht="15" customHeight="1" x14ac:dyDescent="0.3">
      <c r="A13" s="1050"/>
      <c r="B13" s="2659" t="s">
        <v>2270</v>
      </c>
      <c r="C13" s="2659"/>
      <c r="D13" s="2659"/>
      <c r="E13" s="1167">
        <f>G65</f>
        <v>1000000</v>
      </c>
      <c r="G13" s="2663" t="s">
        <v>2008</v>
      </c>
      <c r="H13" s="2664"/>
      <c r="I13" s="2665"/>
      <c r="M13" s="1063"/>
    </row>
    <row r="14" spans="1:13" ht="15" customHeight="1" x14ac:dyDescent="0.3">
      <c r="A14" s="1050"/>
      <c r="B14" s="2674" t="s">
        <v>2268</v>
      </c>
      <c r="C14" s="2675"/>
      <c r="D14" s="2676"/>
      <c r="E14" s="1169">
        <f>MAX(E15,E16)+E17</f>
        <v>9974250</v>
      </c>
      <c r="G14" s="2666" t="s">
        <v>139</v>
      </c>
      <c r="H14" s="2666"/>
      <c r="I14" s="1065">
        <f>15%*(AND(G120="Yes",G122&lt;&gt;""))</f>
        <v>0.15</v>
      </c>
      <c r="M14" s="1063"/>
    </row>
    <row r="15" spans="1:13" ht="15" customHeight="1" x14ac:dyDescent="0.3">
      <c r="A15" s="1050"/>
      <c r="B15" s="2677" t="s">
        <v>2274</v>
      </c>
      <c r="C15" s="2678"/>
      <c r="D15" s="2679"/>
      <c r="E15" s="1167">
        <f>G80</f>
        <v>3022500</v>
      </c>
      <c r="G15" s="1139" t="s">
        <v>1985</v>
      </c>
      <c r="H15" s="1139"/>
      <c r="I15" s="1065">
        <f>IF(Application!AJ1032&gt;0,10%,IF(Application!AJ1036&gt;0,5%,0))</f>
        <v>0</v>
      </c>
      <c r="M15" s="1063"/>
    </row>
    <row r="16" spans="1:13" ht="15" customHeight="1" x14ac:dyDescent="0.3">
      <c r="A16" s="1050"/>
      <c r="B16" s="2677" t="s">
        <v>2273</v>
      </c>
      <c r="C16" s="2678"/>
      <c r="D16" s="2679"/>
      <c r="E16" s="1167">
        <f>G90</f>
        <v>0</v>
      </c>
      <c r="G16" s="2666" t="s">
        <v>1986</v>
      </c>
      <c r="H16" s="2666"/>
      <c r="I16" s="1065">
        <f>G132</f>
        <v>6.0866013071895424E-2</v>
      </c>
    </row>
    <row r="17" spans="1:21" ht="15" customHeight="1" thickBot="1" x14ac:dyDescent="0.35">
      <c r="A17" s="1050"/>
      <c r="B17" s="2677" t="s">
        <v>2272</v>
      </c>
      <c r="C17" s="2678"/>
      <c r="D17" s="2679"/>
      <c r="E17" s="1167">
        <f>G115</f>
        <v>6951750</v>
      </c>
      <c r="G17" s="2666" t="s">
        <v>2282</v>
      </c>
      <c r="H17" s="2666"/>
      <c r="I17" s="1065">
        <f>IF(AND(G139="Yes",OR(G136,G137)),IF(G143&gt;15%,15%,G143),0)</f>
        <v>0</v>
      </c>
    </row>
    <row r="18" spans="1:21" ht="15" customHeight="1" x14ac:dyDescent="0.3">
      <c r="A18" s="1047"/>
      <c r="B18" s="2669" t="s">
        <v>1940</v>
      </c>
      <c r="C18" s="2669"/>
      <c r="D18" s="2669"/>
      <c r="E18" s="1113">
        <f>SUM(E9:E11,E14)</f>
        <v>38786030</v>
      </c>
      <c r="G18" s="1140" t="s">
        <v>1974</v>
      </c>
      <c r="H18" s="1140"/>
      <c r="I18" s="1114">
        <f>I11-((I11*I14)+(I11*I15)+(I11*I16)+(I11*I17))</f>
        <v>32117753.267973855</v>
      </c>
      <c r="M18" s="1066">
        <f>SUM(Cdlac[Quantity])</f>
        <v>100</v>
      </c>
      <c r="O18" s="1086" t="s">
        <v>583</v>
      </c>
      <c r="P18" s="1045">
        <f>MATCH(Application!T189,Application!CB160:CB217,0)</f>
        <v>19</v>
      </c>
      <c r="T18" s="1066">
        <f>SUM(Cdlac[Population])</f>
        <v>75</v>
      </c>
    </row>
    <row r="19" spans="1:21" ht="15" customHeight="1" x14ac:dyDescent="0.3">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x14ac:dyDescent="0.3">
      <c r="B20" s="1067" t="str">
        <f>B9</f>
        <v>A. Unit Production Benefit</v>
      </c>
      <c r="C20" s="1068"/>
      <c r="D20" s="1068"/>
      <c r="E20" s="1068"/>
      <c r="F20" s="1068"/>
      <c r="G20" s="1068"/>
      <c r="H20" s="1068"/>
      <c r="I20" s="1069"/>
      <c r="L20" s="1045">
        <f>IFERROR(MIN(4,MATCH(Application!B718,UnitSizes,0)-1),"")</f>
        <v>1</v>
      </c>
      <c r="M20" s="1066">
        <f>Application!G718</f>
        <v>50</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50</v>
      </c>
      <c r="U20" s="1045" t="b">
        <f>AND('Subsidy Contract Calculation'!F4&gt;0,OR('Subsidy Contract Calculation'!C4="Federal",'Subsidy Contract Calculation'!C4="Local - Approved by ED"),Cdlac[[#This Row],[Quantity]]&gt;0)</f>
        <v>1</v>
      </c>
    </row>
    <row r="21" spans="1:21" ht="15" customHeight="1" x14ac:dyDescent="0.3">
      <c r="A21" s="1047"/>
      <c r="B21" s="1047"/>
      <c r="I21" s="1070"/>
      <c r="L21" s="1045">
        <f>IFERROR(MIN(4,MATCH(Application!B719,UnitSizes,0)-1),"")</f>
        <v>1</v>
      </c>
      <c r="M21" s="1066">
        <f>Application!G719</f>
        <v>25</v>
      </c>
      <c r="N21" s="1072">
        <f>Application!AC719</f>
        <v>0.6</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25</v>
      </c>
      <c r="U21" s="1045" t="b">
        <f>AND('Subsidy Contract Calculation'!F5&gt;0,OR('Subsidy Contract Calculation'!C5="Federal",'Subsidy Contract Calculation'!C5="Local - Approved by ED"),Cdlac[[#This Row],[Quantity]]&gt;0)</f>
        <v>1</v>
      </c>
    </row>
    <row r="22" spans="1:21" ht="15" customHeight="1" x14ac:dyDescent="0.3">
      <c r="A22" s="1050"/>
      <c r="C22" s="2667" t="s">
        <v>1988</v>
      </c>
      <c r="D22" s="2667" t="s">
        <v>1989</v>
      </c>
      <c r="E22" s="2667" t="s">
        <v>1990</v>
      </c>
      <c r="F22" s="2667" t="s">
        <v>1991</v>
      </c>
      <c r="G22" s="2667" t="s">
        <v>1987</v>
      </c>
      <c r="H22" s="1071"/>
      <c r="I22" s="1070"/>
      <c r="L22" s="1045">
        <f>IFERROR(MIN(4,MATCH(Application!B720,UnitSizes,0)-1),"")</f>
        <v>1</v>
      </c>
      <c r="M22" s="1066">
        <f>Application!G720</f>
        <v>22</v>
      </c>
      <c r="N22" s="1072">
        <f>Application!AC720</f>
        <v>0.8</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x14ac:dyDescent="0.3">
      <c r="A23" s="1050"/>
      <c r="C23" s="2668"/>
      <c r="D23" s="2668"/>
      <c r="E23" s="2668"/>
      <c r="F23" s="2668"/>
      <c r="G23" s="2668"/>
      <c r="H23" s="1071"/>
      <c r="I23" s="1070"/>
      <c r="L23" s="1045">
        <f>IFERROR(MIN(4,MATCH(Application!B721,UnitSizes,0)-1),"")</f>
        <v>2</v>
      </c>
      <c r="M23" s="1066">
        <f>Application!G721</f>
        <v>3</v>
      </c>
      <c r="N23" s="1072">
        <f>Application!AC721</f>
        <v>0.8</v>
      </c>
      <c r="O23" s="1072">
        <f>IF(Cdlac[[#This Row],[Quantity]]&gt;0,IF(Cdlac[[#This Row],[Federal]],30%,IF(AND(OR(NOT($G$38),$G$38=""),$G$43),40%,Cdlac[[#This Row],[iAMI]])),"")</f>
        <v>0.3</v>
      </c>
      <c r="P23" s="1066" cm="1">
        <f t="array" ref="P23">IF(Cdlac[[#This Row],[Quantity]]&gt;0,INDEX(TcacRents,$P$18,Cdlac[[#This Row],[Bedrooms]]+1)*Cdlac[[#This Row],[AMI]],"")</f>
        <v>936</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1608</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x14ac:dyDescent="0.3">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x14ac:dyDescent="0.3">
      <c r="C25" s="1073">
        <v>1</v>
      </c>
      <c r="D25" s="1074">
        <v>1</v>
      </c>
      <c r="E25" s="1073">
        <f>SUMIFS(Cdlac[Quantity],Cdlac[Bedrooms],C25)</f>
        <v>97</v>
      </c>
      <c r="F25" s="1073">
        <f>E25</f>
        <v>97</v>
      </c>
      <c r="G25" s="1073">
        <f>D25*F25</f>
        <v>97</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x14ac:dyDescent="0.3">
      <c r="A26" s="1075"/>
      <c r="C26" s="1076">
        <v>2</v>
      </c>
      <c r="D26" s="1074">
        <v>1.25</v>
      </c>
      <c r="E26" s="1073">
        <f>SUMIFS(Cdlac[Quantity],Cdlac[Bedrooms],C26)</f>
        <v>3</v>
      </c>
      <c r="F26" s="1076">
        <f>SUM(E26:E28)-SUM(F27:F28)</f>
        <v>3</v>
      </c>
      <c r="G26" s="1073">
        <f>D26*F26</f>
        <v>3.75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x14ac:dyDescent="0.3">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x14ac:dyDescent="0.35">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x14ac:dyDescent="0.3">
      <c r="A29" s="1075"/>
      <c r="C29" s="2681" t="s">
        <v>1587</v>
      </c>
      <c r="D29" s="2682"/>
      <c r="E29" s="1091">
        <f>SUM(E24:E28)</f>
        <v>100</v>
      </c>
      <c r="F29" s="1091">
        <f>SUM(F24:F28)</f>
        <v>100</v>
      </c>
      <c r="G29" s="1092">
        <f>SUMPRODUCT(D24:D28,F24:F28)</f>
        <v>100.75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x14ac:dyDescent="0.3">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x14ac:dyDescent="0.3">
      <c r="A31" s="1075"/>
      <c r="E31" s="1119" t="s">
        <v>1987</v>
      </c>
      <c r="G31" s="1116">
        <f>G29</f>
        <v>100.75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x14ac:dyDescent="0.35">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x14ac:dyDescent="0.3">
      <c r="A33" s="1075"/>
      <c r="E33" s="1120" t="s">
        <v>1980</v>
      </c>
      <c r="F33" s="1047"/>
      <c r="G33" s="1121">
        <f>G32*G31</f>
        <v>5037500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x14ac:dyDescent="0.3">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x14ac:dyDescent="0.3">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x14ac:dyDescent="0.3">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x14ac:dyDescent="0.3">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x14ac:dyDescent="0.3">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x14ac:dyDescent="0.3">
      <c r="C39" s="2684" t="str">
        <f>IF(AND(G37,G38,G38&lt;&gt;""),"Enter the average rent charged for each unit type over the last three years, as documented with rent rolls or property audits, in cells Q20:Q44","")</f>
        <v/>
      </c>
      <c r="D39" s="2684"/>
      <c r="E39" s="2684"/>
      <c r="F39" s="2684"/>
      <c r="G39" s="2684"/>
      <c r="H39" s="2684"/>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x14ac:dyDescent="0.3">
      <c r="C40" s="2684"/>
      <c r="D40" s="2684"/>
      <c r="E40" s="2684"/>
      <c r="F40" s="2684"/>
      <c r="G40" s="2684"/>
      <c r="H40" s="2684"/>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x14ac:dyDescent="0.3">
      <c r="C41" s="2684"/>
      <c r="D41" s="2684"/>
      <c r="E41" s="2684"/>
      <c r="F41" s="2684"/>
      <c r="G41" s="2684"/>
      <c r="H41" s="2684"/>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x14ac:dyDescent="0.3">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x14ac:dyDescent="0.3">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x14ac:dyDescent="0.3">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x14ac:dyDescent="0.3">
      <c r="E45" s="1086" t="s">
        <v>1950</v>
      </c>
      <c r="G45" s="1079">
        <f>IFERROR(SUMPRODUCT(Cdlac[Quantity],Cdlac[Delta]),0)</f>
        <v>123746</v>
      </c>
    </row>
    <row r="46" spans="1:21" ht="15" customHeight="1" x14ac:dyDescent="0.35">
      <c r="E46" s="1119" t="s">
        <v>2007</v>
      </c>
      <c r="F46" s="1115" t="s">
        <v>1995</v>
      </c>
      <c r="G46" s="1123">
        <f>12*15</f>
        <v>180</v>
      </c>
    </row>
    <row r="47" spans="1:21" ht="15" customHeight="1" x14ac:dyDescent="0.3">
      <c r="E47" s="1124" t="s">
        <v>1945</v>
      </c>
      <c r="F47" s="1047"/>
      <c r="G47" s="1125">
        <f>G45*G46</f>
        <v>22274280</v>
      </c>
    </row>
    <row r="48" spans="1:21" ht="15" customHeight="1" x14ac:dyDescent="0.3"/>
    <row r="49" spans="2:9" ht="15" customHeight="1" x14ac:dyDescent="0.3">
      <c r="B49" s="1067" t="str">
        <f>B11&amp;": "&amp;B12</f>
        <v>C. Population Benefit: (1) Special Needs Population Benefit</v>
      </c>
      <c r="C49" s="1068"/>
      <c r="D49" s="1068"/>
      <c r="E49" s="1068"/>
      <c r="F49" s="1068"/>
      <c r="G49" s="1068"/>
      <c r="H49" s="1068"/>
      <c r="I49" s="1069"/>
    </row>
    <row r="50" spans="2:9" ht="15" customHeight="1" x14ac:dyDescent="0.3"/>
    <row r="51" spans="2:9" ht="15" customHeight="1" x14ac:dyDescent="0.3">
      <c r="E51" s="1119" t="s">
        <v>1996</v>
      </c>
      <c r="G51" s="1116">
        <f>T18</f>
        <v>75</v>
      </c>
    </row>
    <row r="52" spans="2:9" ht="15" customHeight="1" x14ac:dyDescent="0.3">
      <c r="E52" s="1119" t="s">
        <v>1997</v>
      </c>
      <c r="G52" s="1116">
        <f>ROUNDDOWN(E29*50%,0)</f>
        <v>50</v>
      </c>
    </row>
    <row r="53" spans="2:9" ht="15" customHeight="1" x14ac:dyDescent="0.3">
      <c r="E53" s="1119"/>
      <c r="G53" s="1127"/>
    </row>
    <row r="54" spans="2:9" ht="15" customHeight="1" x14ac:dyDescent="0.3">
      <c r="E54" s="1119" t="s">
        <v>1956</v>
      </c>
      <c r="G54" s="1116">
        <f>MIN(G51:G52)</f>
        <v>50</v>
      </c>
    </row>
    <row r="55" spans="2:9" ht="15" customHeight="1" x14ac:dyDescent="0.35">
      <c r="E55" s="1119" t="s">
        <v>1946</v>
      </c>
      <c r="F55" s="1115" t="s">
        <v>1995</v>
      </c>
      <c r="G55" s="1126">
        <v>10000</v>
      </c>
    </row>
    <row r="56" spans="2:9" ht="15" customHeight="1" x14ac:dyDescent="0.3">
      <c r="E56" s="1120" t="s">
        <v>1979</v>
      </c>
      <c r="F56" s="1047"/>
      <c r="G56" s="1125">
        <f>G54*G55</f>
        <v>500000</v>
      </c>
    </row>
    <row r="57" spans="2:9" ht="15" customHeight="1" x14ac:dyDescent="0.3"/>
    <row r="58" spans="2:9" ht="15" customHeight="1" x14ac:dyDescent="0.3">
      <c r="B58" s="1067" t="str">
        <f>B11&amp;": "&amp;B13</f>
        <v>C. Population Benefit: (2) Extremely Low Income Benefit</v>
      </c>
      <c r="C58" s="1068"/>
      <c r="D58" s="1068"/>
      <c r="E58" s="1068"/>
      <c r="F58" s="1068"/>
      <c r="G58" s="1068"/>
      <c r="H58" s="1068"/>
      <c r="I58" s="1069"/>
    </row>
    <row r="59" spans="2:9" ht="15" customHeight="1" x14ac:dyDescent="0.3"/>
    <row r="60" spans="2:9" ht="15" customHeight="1" x14ac:dyDescent="0.3">
      <c r="E60" s="1119" t="s">
        <v>1998</v>
      </c>
      <c r="G60" s="1080">
        <f>SUMIFS(Cdlac[Quantity],Cdlac[iAMI],"&lt;=30%")</f>
        <v>50</v>
      </c>
    </row>
    <row r="61" spans="2:9" ht="15" customHeight="1" x14ac:dyDescent="0.3">
      <c r="E61" s="1119" t="s">
        <v>1997</v>
      </c>
      <c r="G61" s="1080">
        <f>ROUNDDOWN(E29*50%,0)</f>
        <v>50</v>
      </c>
    </row>
    <row r="62" spans="2:9" ht="15" customHeight="1" x14ac:dyDescent="0.3">
      <c r="E62" s="1119"/>
      <c r="G62" s="1080"/>
    </row>
    <row r="63" spans="2:9" ht="15" customHeight="1" x14ac:dyDescent="0.3">
      <c r="E63" s="1119" t="s">
        <v>1956</v>
      </c>
      <c r="G63" s="1116">
        <f>MIN(G60:G61)</f>
        <v>50</v>
      </c>
    </row>
    <row r="64" spans="2:9" ht="15" customHeight="1" x14ac:dyDescent="0.35">
      <c r="E64" s="1119" t="s">
        <v>1946</v>
      </c>
      <c r="F64" s="1115" t="s">
        <v>1995</v>
      </c>
      <c r="G64" s="1126">
        <v>20000</v>
      </c>
    </row>
    <row r="65" spans="2:14" ht="15" customHeight="1" x14ac:dyDescent="0.3">
      <c r="E65" s="1120" t="s">
        <v>1978</v>
      </c>
      <c r="F65" s="1047"/>
      <c r="G65" s="1125">
        <f>G63*G64</f>
        <v>1000000</v>
      </c>
    </row>
    <row r="66" spans="2:14" ht="15" customHeight="1" x14ac:dyDescent="0.3"/>
    <row r="67" spans="2:14" ht="15" customHeight="1" x14ac:dyDescent="0.3">
      <c r="B67" s="1067" t="str">
        <f>B14&amp;": "&amp;B15</f>
        <v>D. Location Benefit: (1) Resource Area Benefit</v>
      </c>
      <c r="C67" s="1068"/>
      <c r="D67" s="1068"/>
      <c r="E67" s="1068"/>
      <c r="F67" s="1068"/>
      <c r="G67" s="1068"/>
      <c r="H67" s="1068"/>
      <c r="I67" s="1069"/>
    </row>
    <row r="68" spans="2:14" ht="15" customHeight="1" x14ac:dyDescent="0.3"/>
    <row r="69" spans="2:14" ht="15" customHeight="1" x14ac:dyDescent="0.3">
      <c r="C69" s="1078" t="s">
        <v>1982</v>
      </c>
      <c r="G69" s="1044" t="s">
        <v>546</v>
      </c>
    </row>
    <row r="70" spans="2:14" ht="15" customHeight="1" x14ac:dyDescent="0.3">
      <c r="C70" s="1078" t="s">
        <v>1983</v>
      </c>
      <c r="G70" s="1082" t="str">
        <f>IF(Application!D211="Large Family","Yes","No")</f>
        <v>No</v>
      </c>
    </row>
    <row r="71" spans="2:14" ht="15" customHeight="1" thickBot="1" x14ac:dyDescent="0.35">
      <c r="C71" s="1078" t="s">
        <v>1969</v>
      </c>
      <c r="G71" s="1044" t="s">
        <v>546</v>
      </c>
    </row>
    <row r="72" spans="2:14" ht="15" customHeight="1" x14ac:dyDescent="0.3">
      <c r="C72" s="1078" t="s">
        <v>1970</v>
      </c>
      <c r="G72" s="1045" t="str">
        <f>Application!T193</f>
        <v>Highest Resource</v>
      </c>
      <c r="L72" s="2654" t="s">
        <v>1971</v>
      </c>
      <c r="M72" s="2655"/>
      <c r="N72" s="1133">
        <v>30000</v>
      </c>
    </row>
    <row r="73" spans="2:14" ht="15" customHeight="1" x14ac:dyDescent="0.3">
      <c r="C73" s="2656" t="s">
        <v>2266</v>
      </c>
      <c r="D73" s="2656"/>
      <c r="E73" s="2656"/>
      <c r="F73" s="2656"/>
      <c r="G73" s="1044" t="s">
        <v>670</v>
      </c>
      <c r="L73" s="2671" t="s">
        <v>1939</v>
      </c>
      <c r="M73" s="2672"/>
      <c r="N73" s="1134">
        <v>20000</v>
      </c>
    </row>
    <row r="74" spans="2:14" ht="15" customHeight="1" thickBot="1" x14ac:dyDescent="0.35">
      <c r="C74" s="2656"/>
      <c r="D74" s="2656"/>
      <c r="E74" s="2656"/>
      <c r="F74" s="2656"/>
      <c r="L74" s="2646" t="s">
        <v>1972</v>
      </c>
      <c r="M74" s="2647"/>
      <c r="N74" s="1135">
        <v>10000</v>
      </c>
    </row>
    <row r="75" spans="2:14" ht="15" customHeight="1" x14ac:dyDescent="0.3">
      <c r="C75" s="1078"/>
    </row>
    <row r="76" spans="2:14" ht="15" customHeight="1" x14ac:dyDescent="0.3">
      <c r="E76" s="1086" t="s">
        <v>2002</v>
      </c>
      <c r="G76" s="1080" t="b">
        <f>OR(AND(COUNTIFS(G70:G71,"Yes")&gt;=1,G69="Yes"),G73="Yes")</f>
        <v>1</v>
      </c>
    </row>
    <row r="77" spans="2:14" ht="15" customHeight="1" x14ac:dyDescent="0.3">
      <c r="E77" s="1086"/>
      <c r="G77" s="1080"/>
    </row>
    <row r="78" spans="2:14" ht="15" customHeight="1" x14ac:dyDescent="0.3">
      <c r="E78" s="1086" t="s">
        <v>1946</v>
      </c>
      <c r="G78" s="1079">
        <f>IFERROR(IF($G$73="Yes",30000,INDEX(N72:N74,MATCH(LEFT(G72,17),L72:L74,0))),0)</f>
        <v>30000</v>
      </c>
    </row>
    <row r="79" spans="2:14" ht="15" customHeight="1" x14ac:dyDescent="0.35">
      <c r="E79" s="1086" t="str">
        <f>E96</f>
        <v>Bedroom-Adjusted Low-Income Units</v>
      </c>
      <c r="F79" s="1115" t="s">
        <v>1995</v>
      </c>
      <c r="G79" s="1116">
        <f>G29</f>
        <v>100.75</v>
      </c>
    </row>
    <row r="80" spans="2:14" ht="15" customHeight="1" x14ac:dyDescent="0.3">
      <c r="D80" s="1047"/>
      <c r="E80" s="1120" t="s">
        <v>2271</v>
      </c>
      <c r="F80" s="1047"/>
      <c r="G80" s="1125">
        <f>G79*G78*G76</f>
        <v>3022500</v>
      </c>
    </row>
    <row r="81" spans="2:9" ht="15" customHeight="1" x14ac:dyDescent="0.3"/>
    <row r="82" spans="2:9" ht="15" customHeight="1" x14ac:dyDescent="0.3">
      <c r="B82" s="1067" t="str">
        <f>B14&amp;": "&amp;B16</f>
        <v>D. Location Benefit: (2) Community Revitalization Benefit</v>
      </c>
      <c r="C82" s="1068"/>
      <c r="D82" s="1068"/>
      <c r="E82" s="1068"/>
      <c r="F82" s="1068"/>
      <c r="G82" s="1068"/>
      <c r="H82" s="1068"/>
      <c r="I82" s="1069"/>
    </row>
    <row r="83" spans="2:9" ht="15" customHeight="1" x14ac:dyDescent="0.3"/>
    <row r="84" spans="2:9" ht="15" customHeight="1" x14ac:dyDescent="0.3">
      <c r="F84" s="1118" t="s">
        <v>1977</v>
      </c>
      <c r="G84" s="1044" t="s">
        <v>670</v>
      </c>
    </row>
    <row r="85" spans="2:9" ht="15" customHeight="1" x14ac:dyDescent="0.3">
      <c r="F85" s="1118"/>
    </row>
    <row r="86" spans="2:9" ht="15" customHeight="1" x14ac:dyDescent="0.3">
      <c r="E86" s="1086" t="s">
        <v>2002</v>
      </c>
      <c r="G86" s="1080" t="b">
        <f>G84="Yes"</f>
        <v>0</v>
      </c>
    </row>
    <row r="87" spans="2:9" ht="15" customHeight="1" x14ac:dyDescent="0.3"/>
    <row r="88" spans="2:9" ht="15" customHeight="1" x14ac:dyDescent="0.3">
      <c r="E88" s="1086" t="str">
        <f>E96</f>
        <v>Bedroom-Adjusted Low-Income Units</v>
      </c>
      <c r="G88" s="1116">
        <f>G29</f>
        <v>100.75</v>
      </c>
    </row>
    <row r="89" spans="2:9" ht="15" customHeight="1" x14ac:dyDescent="0.35">
      <c r="E89" s="1086" t="s">
        <v>1946</v>
      </c>
      <c r="F89" s="1115" t="s">
        <v>1995</v>
      </c>
      <c r="G89" s="1051">
        <v>20000</v>
      </c>
    </row>
    <row r="90" spans="2:9" ht="15" customHeight="1" x14ac:dyDescent="0.3">
      <c r="E90" s="1120" t="s">
        <v>2275</v>
      </c>
      <c r="F90" s="1047"/>
      <c r="G90" s="1125">
        <f>G86*G89*G88</f>
        <v>0</v>
      </c>
    </row>
    <row r="91" spans="2:9" ht="15" customHeight="1" x14ac:dyDescent="0.3"/>
    <row r="92" spans="2:9" ht="15" customHeight="1" x14ac:dyDescent="0.3">
      <c r="B92" s="1067" t="str">
        <f>B14&amp;": "&amp;B17</f>
        <v>D. Location Benefit: (3) Transit/Walkability Benefit</v>
      </c>
      <c r="C92" s="1068"/>
      <c r="D92" s="1068"/>
      <c r="E92" s="1068"/>
      <c r="F92" s="1068"/>
      <c r="G92" s="1068"/>
      <c r="H92" s="1068"/>
      <c r="I92" s="1069"/>
    </row>
    <row r="93" spans="2:9" ht="15" customHeight="1" x14ac:dyDescent="0.3"/>
    <row r="94" spans="2:9" ht="15" customHeight="1" x14ac:dyDescent="0.3">
      <c r="E94" s="1086" t="s">
        <v>1957</v>
      </c>
      <c r="G94" s="1116">
        <f>VLOOKUP('Points System'!$H$606,'Points System'!$AO$586:$AP$591,2,FALSE)</f>
        <v>7</v>
      </c>
    </row>
    <row r="95" spans="2:9" ht="15" customHeight="1" x14ac:dyDescent="0.35">
      <c r="E95" s="1086" t="s">
        <v>1946</v>
      </c>
      <c r="F95" s="1115" t="s">
        <v>1995</v>
      </c>
      <c r="G95" s="1077">
        <v>4000</v>
      </c>
    </row>
    <row r="96" spans="2:9" ht="15" customHeight="1" thickBot="1" x14ac:dyDescent="0.4">
      <c r="E96" s="1086" t="s">
        <v>1999</v>
      </c>
      <c r="F96" s="1115" t="s">
        <v>1995</v>
      </c>
      <c r="G96" s="1128">
        <f>G29</f>
        <v>100.75</v>
      </c>
    </row>
    <row r="97" spans="2:14" ht="15" customHeight="1" x14ac:dyDescent="0.3">
      <c r="E97" s="1120" t="s">
        <v>1963</v>
      </c>
      <c r="F97" s="1047"/>
      <c r="G97" s="1125">
        <f>G94*G95*G96</f>
        <v>2821000</v>
      </c>
      <c r="L97" s="1129" t="str">
        <f>'Points System'!H638</f>
        <v>(i)</v>
      </c>
      <c r="M97" s="2652" t="s">
        <v>1406</v>
      </c>
      <c r="N97" s="2653"/>
    </row>
    <row r="98" spans="2:14" ht="15" customHeight="1" x14ac:dyDescent="0.3">
      <c r="C98" s="1078"/>
      <c r="G98" s="1116"/>
      <c r="L98" s="1130" t="str">
        <f>'Points System'!H650</f>
        <v>(ii)</v>
      </c>
      <c r="M98" s="2648" t="s">
        <v>1958</v>
      </c>
      <c r="N98" s="2649"/>
    </row>
    <row r="99" spans="2:14" ht="15" customHeight="1" x14ac:dyDescent="0.3">
      <c r="E99" s="1086" t="s">
        <v>2000</v>
      </c>
      <c r="G99" s="1128">
        <f>COUNTIFS(L97:L104,"(i)")</f>
        <v>4</v>
      </c>
      <c r="L99" s="1130" t="str">
        <f>'Points System'!H685</f>
        <v>(v)</v>
      </c>
      <c r="M99" s="2648" t="s">
        <v>1959</v>
      </c>
      <c r="N99" s="2649"/>
    </row>
    <row r="100" spans="2:14" ht="15" customHeight="1" x14ac:dyDescent="0.35">
      <c r="E100" s="1086" t="s">
        <v>1946</v>
      </c>
      <c r="F100" s="1115" t="s">
        <v>1995</v>
      </c>
      <c r="G100" s="1126">
        <v>4000</v>
      </c>
      <c r="L100" s="1130" t="str">
        <f>IF(OR('Points System'!H709="(ii)",'Points System'!H709="(i)"),"(i)","N/A")</f>
        <v>N/A</v>
      </c>
      <c r="M100" s="2648" t="s">
        <v>1960</v>
      </c>
      <c r="N100" s="2649"/>
    </row>
    <row r="101" spans="2:14" ht="15" customHeight="1" x14ac:dyDescent="0.3">
      <c r="E101" s="1120" t="s">
        <v>1964</v>
      </c>
      <c r="F101" s="1047"/>
      <c r="G101" s="1125">
        <f>G96*G99*G100</f>
        <v>1612000</v>
      </c>
      <c r="L101" s="1131" t="str">
        <f>'Points System'!H723</f>
        <v>N/A</v>
      </c>
      <c r="M101" s="2648" t="s">
        <v>1432</v>
      </c>
      <c r="N101" s="2649"/>
    </row>
    <row r="102" spans="2:14" ht="15" customHeight="1" x14ac:dyDescent="0.3">
      <c r="L102" s="1130" t="str">
        <f>'Points System'!H735</f>
        <v>(i)</v>
      </c>
      <c r="M102" s="2648" t="s">
        <v>1961</v>
      </c>
      <c r="N102" s="2649"/>
    </row>
    <row r="103" spans="2:14" ht="15" customHeight="1" x14ac:dyDescent="0.3">
      <c r="C103" s="1081" t="s">
        <v>1966</v>
      </c>
      <c r="L103" s="1130" t="str">
        <f>'Points System'!H751</f>
        <v>(i)</v>
      </c>
      <c r="M103" s="2648" t="s">
        <v>1962</v>
      </c>
      <c r="N103" s="2649"/>
    </row>
    <row r="104" spans="2:14" ht="15" customHeight="1" thickBot="1" x14ac:dyDescent="0.35">
      <c r="C104" s="1078" t="s">
        <v>1967</v>
      </c>
      <c r="G104" s="1044"/>
      <c r="L104" s="1132" t="str">
        <f>'Points System'!H763</f>
        <v>(i)</v>
      </c>
      <c r="M104" s="2650" t="s">
        <v>1435</v>
      </c>
      <c r="N104" s="2651"/>
    </row>
    <row r="105" spans="2:14" ht="15" customHeight="1" x14ac:dyDescent="0.3">
      <c r="C105" s="1078" t="s">
        <v>1968</v>
      </c>
      <c r="G105" s="1044"/>
    </row>
    <row r="106" spans="2:14" ht="15" customHeight="1" x14ac:dyDescent="0.3">
      <c r="C106" s="1078" t="s">
        <v>2142</v>
      </c>
      <c r="G106" s="1044" t="s">
        <v>546</v>
      </c>
    </row>
    <row r="107" spans="2:14" ht="15" customHeight="1" x14ac:dyDescent="0.3">
      <c r="C107" s="1078" t="s">
        <v>2143</v>
      </c>
      <c r="G107" s="1044"/>
    </row>
    <row r="108" spans="2:14" ht="15" customHeight="1" x14ac:dyDescent="0.3"/>
    <row r="109" spans="2:14" ht="15" customHeight="1" x14ac:dyDescent="0.3">
      <c r="B109" s="1079"/>
      <c r="C109" s="1078"/>
      <c r="E109" s="1086" t="s">
        <v>2002</v>
      </c>
      <c r="G109" s="1080" t="b">
        <f>COUNTIFS(G104:G107,"Yes")&gt;=1</f>
        <v>1</v>
      </c>
    </row>
    <row r="110" spans="2:14" ht="15" customHeight="1" x14ac:dyDescent="0.3">
      <c r="E110" s="1078"/>
    </row>
    <row r="111" spans="2:14" ht="15" customHeight="1" x14ac:dyDescent="0.35">
      <c r="E111" s="1086" t="s">
        <v>1999</v>
      </c>
      <c r="F111" s="1115" t="s">
        <v>1995</v>
      </c>
      <c r="G111" s="1116">
        <f>G29</f>
        <v>100.75</v>
      </c>
    </row>
    <row r="112" spans="2:14" ht="15" customHeight="1" x14ac:dyDescent="0.35">
      <c r="E112" s="1086" t="s">
        <v>1946</v>
      </c>
      <c r="F112" s="1115" t="s">
        <v>1995</v>
      </c>
      <c r="G112" s="1126">
        <v>25000</v>
      </c>
    </row>
    <row r="113" spans="2:9" ht="15" customHeight="1" x14ac:dyDescent="0.3">
      <c r="E113" s="1120" t="s">
        <v>1965</v>
      </c>
      <c r="F113" s="1047"/>
      <c r="G113" s="1125">
        <f>G109*G112*G96</f>
        <v>2518750</v>
      </c>
    </row>
    <row r="114" spans="2:9" ht="15" customHeight="1" x14ac:dyDescent="0.3">
      <c r="C114" s="1078"/>
      <c r="E114" s="1078"/>
    </row>
    <row r="115" spans="2:9" ht="15" customHeight="1" x14ac:dyDescent="0.3">
      <c r="E115" s="1120" t="s">
        <v>2276</v>
      </c>
      <c r="G115" s="1125">
        <f>G113+G101+G97</f>
        <v>6951750</v>
      </c>
    </row>
    <row r="116" spans="2:9" ht="15" customHeight="1" x14ac:dyDescent="0.3"/>
    <row r="117" spans="2:9" ht="15" customHeight="1" x14ac:dyDescent="0.3">
      <c r="B117" s="1067" t="s">
        <v>139</v>
      </c>
      <c r="C117" s="1068"/>
      <c r="D117" s="1068"/>
      <c r="E117" s="1068"/>
      <c r="F117" s="1068"/>
      <c r="G117" s="1068"/>
      <c r="H117" s="1068"/>
      <c r="I117" s="1069"/>
    </row>
    <row r="118" spans="2:9" ht="15" customHeight="1" x14ac:dyDescent="0.3"/>
    <row r="119" spans="2:9" ht="15" customHeight="1" x14ac:dyDescent="0.3">
      <c r="C119" s="2683" t="s">
        <v>2231</v>
      </c>
      <c r="D119" s="2683"/>
      <c r="E119" s="2683"/>
      <c r="F119" s="2683"/>
    </row>
    <row r="120" spans="2:9" ht="15" customHeight="1" x14ac:dyDescent="0.3">
      <c r="C120" s="2683"/>
      <c r="D120" s="2683"/>
      <c r="E120" s="2683"/>
      <c r="F120" s="2683"/>
      <c r="G120" s="1044" t="s">
        <v>546</v>
      </c>
    </row>
    <row r="121" spans="2:9" ht="15" customHeight="1" x14ac:dyDescent="0.3"/>
    <row r="122" spans="2:9" ht="15" customHeight="1" x14ac:dyDescent="0.3">
      <c r="C122" s="1045" t="s">
        <v>2233</v>
      </c>
      <c r="G122" s="2685" t="s">
        <v>2749</v>
      </c>
      <c r="H122" s="2685"/>
    </row>
    <row r="123" spans="2:9" ht="15" customHeight="1" x14ac:dyDescent="0.3">
      <c r="G123" s="2685"/>
      <c r="H123" s="2685"/>
    </row>
    <row r="124" spans="2:9" ht="15" customHeight="1" x14ac:dyDescent="0.3">
      <c r="G124" s="2686"/>
      <c r="H124" s="2686"/>
    </row>
    <row r="125" spans="2:9" ht="15" customHeight="1" x14ac:dyDescent="0.3">
      <c r="G125" s="1162"/>
      <c r="H125" s="1162"/>
    </row>
    <row r="126" spans="2:9" ht="15" customHeight="1" x14ac:dyDescent="0.3">
      <c r="B126" s="1067" t="s">
        <v>2004</v>
      </c>
      <c r="C126" s="1068"/>
      <c r="D126" s="1068"/>
      <c r="E126" s="1068"/>
      <c r="F126" s="1068"/>
      <c r="G126" s="1068"/>
      <c r="H126" s="1068"/>
      <c r="I126" s="1069"/>
    </row>
    <row r="128" spans="2:9" x14ac:dyDescent="0.3">
      <c r="E128" s="1086" t="s">
        <v>583</v>
      </c>
      <c r="G128" s="1045" t="str">
        <f>IF(Application!T189="","",Application!T189)</f>
        <v>Los Angeles</v>
      </c>
    </row>
    <row r="129" spans="2:9" x14ac:dyDescent="0.3">
      <c r="E129" s="1086"/>
      <c r="G129" s="1079"/>
    </row>
    <row r="130" spans="2:9" x14ac:dyDescent="0.3">
      <c r="E130" s="1086" t="str">
        <f>"2-Bedroom "&amp;G128&amp;" County Basis Limit"</f>
        <v>2-Bedroom Los Angeles County Basis Limit</v>
      </c>
      <c r="G130" s="1079">
        <f>Application!R988</f>
        <v>608800</v>
      </c>
    </row>
    <row r="131" spans="2:9" x14ac:dyDescent="0.3">
      <c r="E131" s="1086" t="s">
        <v>2003</v>
      </c>
      <c r="G131" s="1079">
        <f>MEDIAN((Application!CU160:CU217))</f>
        <v>489600</v>
      </c>
    </row>
    <row r="132" spans="2:9" x14ac:dyDescent="0.3">
      <c r="D132" s="1047"/>
      <c r="E132" s="1120" t="s">
        <v>2005</v>
      </c>
      <c r="F132" s="1136"/>
      <c r="G132" s="1137">
        <f>((G130-G131)/G131)*0.25</f>
        <v>6.0866013071895424E-2</v>
      </c>
      <c r="H132" s="1043"/>
      <c r="I132" s="1043"/>
    </row>
    <row r="133" spans="2:9" x14ac:dyDescent="0.3">
      <c r="D133" s="1046"/>
      <c r="E133" s="1046"/>
    </row>
    <row r="134" spans="2:9" x14ac:dyDescent="0.3">
      <c r="B134" s="1067" t="s">
        <v>2277</v>
      </c>
      <c r="C134" s="1068"/>
      <c r="D134" s="1068"/>
      <c r="E134" s="1068"/>
      <c r="F134" s="1068"/>
      <c r="G134" s="1068"/>
      <c r="H134" s="1068"/>
      <c r="I134" s="1069"/>
    </row>
    <row r="136" spans="2:9" x14ac:dyDescent="0.3">
      <c r="E136" s="1086" t="s">
        <v>2263</v>
      </c>
      <c r="G136" s="1045" t="b">
        <f>G37</f>
        <v>0</v>
      </c>
    </row>
    <row r="137" spans="2:9" x14ac:dyDescent="0.3">
      <c r="E137" s="1086" t="s">
        <v>2278</v>
      </c>
      <c r="G137" s="1045" t="b">
        <f>OR('Points System'!B52="Yes", 'Points System'!B56="Yes",'Points System'!B58="Yes")</f>
        <v>0</v>
      </c>
    </row>
    <row r="138" spans="2:9" x14ac:dyDescent="0.3">
      <c r="C138" s="2680" t="s">
        <v>2279</v>
      </c>
      <c r="D138" s="2680"/>
      <c r="E138" s="2680"/>
      <c r="F138" s="2680"/>
    </row>
    <row r="139" spans="2:9" x14ac:dyDescent="0.3">
      <c r="B139" s="1046"/>
      <c r="C139" s="2680"/>
      <c r="D139" s="2680"/>
      <c r="E139" s="2680"/>
      <c r="F139" s="2680"/>
      <c r="G139" s="1044"/>
    </row>
    <row r="140" spans="2:9" x14ac:dyDescent="0.3">
      <c r="B140" s="1046"/>
      <c r="C140" s="1046"/>
      <c r="D140" s="1046"/>
      <c r="E140" s="1046"/>
      <c r="F140" s="1046"/>
    </row>
    <row r="141" spans="2:9" ht="14.25" customHeight="1" x14ac:dyDescent="0.3">
      <c r="E141" s="1086" t="s">
        <v>2281</v>
      </c>
      <c r="G141" s="1171"/>
    </row>
    <row r="143" spans="2:9" x14ac:dyDescent="0.3">
      <c r="E143" s="1086" t="s">
        <v>2283</v>
      </c>
      <c r="G143" s="1170">
        <f>IF(I9=0,0,G141/I9)</f>
        <v>0</v>
      </c>
    </row>
    <row r="144" spans="2:9" x14ac:dyDescent="0.3">
      <c r="E144" s="1086" t="s">
        <v>2280</v>
      </c>
      <c r="G144" s="1168">
        <f>I9*0.15</f>
        <v>6105000</v>
      </c>
    </row>
  </sheetData>
  <sheetProtection algorithmName="SHA-512" hashValue="wP4e9NjyfyN2583Abucczp15AObzvcJGQvyd5JTM+Nmxz0nI5vjLXOhYUvNKXE53TCENlD6m+on/Wc4tHAUgRA==" saltValue="MymfOsZj+2WSytp0hdK/c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M21" sqref="M21"/>
    </sheetView>
  </sheetViews>
  <sheetFormatPr defaultColWidth="9.08984375" defaultRowHeight="14" zeroHeight="1" x14ac:dyDescent="0.3"/>
  <cols>
    <col min="1" max="2" width="15.6328125" style="305" customWidth="1"/>
    <col min="3" max="3" width="11" style="305" customWidth="1"/>
    <col min="4" max="4" width="15.6328125" style="305" customWidth="1"/>
    <col min="5" max="5" width="3.6328125" style="305" customWidth="1"/>
    <col min="6" max="7" width="15.6328125" style="305" customWidth="1"/>
    <col min="8" max="8" width="3.6328125" style="305" customWidth="1"/>
    <col min="9" max="10" width="15.6328125" style="305" customWidth="1"/>
    <col min="11" max="11" width="3.36328125" style="305" customWidth="1"/>
    <col min="12" max="17" width="15.6328125" style="305" customWidth="1"/>
    <col min="18" max="16384" width="9.08984375" style="305"/>
  </cols>
  <sheetData>
    <row r="1" spans="1:12" x14ac:dyDescent="0.3">
      <c r="A1" s="2687" t="s">
        <v>910</v>
      </c>
      <c r="B1" s="2687"/>
      <c r="C1" s="2687"/>
      <c r="D1" s="2687"/>
      <c r="E1" s="2687"/>
      <c r="F1" s="2687"/>
      <c r="G1" s="2687"/>
      <c r="H1" s="2687"/>
      <c r="I1" s="2687"/>
      <c r="J1" s="2687"/>
      <c r="K1" s="205"/>
      <c r="L1" s="205"/>
    </row>
    <row r="2" spans="1:12" x14ac:dyDescent="0.3">
      <c r="A2" s="211"/>
      <c r="B2" s="211"/>
      <c r="C2" s="211"/>
      <c r="D2" s="211"/>
      <c r="E2" s="211"/>
      <c r="F2" s="211"/>
      <c r="G2" s="211"/>
      <c r="H2" s="211"/>
      <c r="I2" s="211"/>
      <c r="J2" s="211"/>
    </row>
    <row r="3" spans="1:12" ht="84.5" x14ac:dyDescent="0.35">
      <c r="A3" s="427" t="s">
        <v>911</v>
      </c>
      <c r="B3" s="427" t="s">
        <v>2258</v>
      </c>
      <c r="C3" s="427" t="s">
        <v>2259</v>
      </c>
      <c r="D3" s="1148" t="s">
        <v>2260</v>
      </c>
      <c r="E3" s="205"/>
      <c r="F3" s="1148" t="s">
        <v>912</v>
      </c>
      <c r="G3" s="427" t="s">
        <v>913</v>
      </c>
      <c r="H3" s="428"/>
      <c r="I3" s="427" t="s">
        <v>914</v>
      </c>
      <c r="J3" s="427" t="s">
        <v>915</v>
      </c>
      <c r="K3" s="205"/>
      <c r="L3" s="306"/>
    </row>
    <row r="4" spans="1:12" x14ac:dyDescent="0.3">
      <c r="A4" s="429" t="str">
        <f>Application!B718</f>
        <v>1 Bedroom</v>
      </c>
      <c r="B4" s="1084">
        <f>Application!G718</f>
        <v>50</v>
      </c>
      <c r="C4" s="1164" t="s">
        <v>385</v>
      </c>
      <c r="D4" s="429">
        <f>Application!O718</f>
        <v>680</v>
      </c>
      <c r="E4" s="430"/>
      <c r="F4" s="1085">
        <f>2096-Application!Q832</f>
        <v>1996</v>
      </c>
      <c r="G4" s="429">
        <f>F4*B4</f>
        <v>99800</v>
      </c>
      <c r="H4" s="430"/>
      <c r="I4" s="429">
        <f t="shared" ref="I4:I27" si="0">IF(F4=0,"",(F4-D4))</f>
        <v>1316</v>
      </c>
      <c r="J4" s="429">
        <f t="shared" ref="J4:J27" si="1">IF(F4=0,"",(I4*B4))</f>
        <v>65800</v>
      </c>
      <c r="K4" s="205"/>
      <c r="L4" s="306"/>
    </row>
    <row r="5" spans="1:12" x14ac:dyDescent="0.3">
      <c r="A5" s="429" t="str">
        <f>Application!B719</f>
        <v>1 Bedroom</v>
      </c>
      <c r="B5" s="1084">
        <f>Application!G719</f>
        <v>25</v>
      </c>
      <c r="C5" s="1164" t="s">
        <v>385</v>
      </c>
      <c r="D5" s="429">
        <f>Application!O719</f>
        <v>1460</v>
      </c>
      <c r="E5" s="430"/>
      <c r="F5" s="1085">
        <f>2096-Application!Q832</f>
        <v>1996</v>
      </c>
      <c r="G5" s="429">
        <f t="shared" ref="G5:G38" si="2">F5*B5</f>
        <v>49900</v>
      </c>
      <c r="H5" s="430"/>
      <c r="I5" s="429">
        <f t="shared" si="0"/>
        <v>536</v>
      </c>
      <c r="J5" s="429">
        <f t="shared" si="1"/>
        <v>13400</v>
      </c>
      <c r="K5" s="205"/>
      <c r="L5" s="306"/>
    </row>
    <row r="6" spans="1:12" x14ac:dyDescent="0.3">
      <c r="A6" s="429" t="str">
        <f>Application!B720</f>
        <v>1 Bedroom</v>
      </c>
      <c r="B6" s="1084">
        <f>Application!G720</f>
        <v>22</v>
      </c>
      <c r="C6" s="1164" t="s">
        <v>385</v>
      </c>
      <c r="D6" s="429">
        <f>Application!O720</f>
        <v>1980</v>
      </c>
      <c r="E6" s="430"/>
      <c r="F6" s="1085">
        <f>2096-Application!Q832</f>
        <v>1996</v>
      </c>
      <c r="G6" s="429">
        <f t="shared" si="2"/>
        <v>43912</v>
      </c>
      <c r="H6" s="430"/>
      <c r="I6" s="429">
        <f t="shared" si="0"/>
        <v>16</v>
      </c>
      <c r="J6" s="429">
        <f t="shared" si="1"/>
        <v>352</v>
      </c>
      <c r="K6" s="205"/>
      <c r="L6" s="306"/>
    </row>
    <row r="7" spans="1:12" x14ac:dyDescent="0.3">
      <c r="A7" s="429" t="str">
        <f>Application!B721</f>
        <v>2 Bedrooms</v>
      </c>
      <c r="B7" s="1084">
        <f>Application!G721</f>
        <v>3</v>
      </c>
      <c r="C7" s="1164" t="s">
        <v>385</v>
      </c>
      <c r="D7" s="429">
        <f>Application!O721</f>
        <v>2368</v>
      </c>
      <c r="E7" s="430"/>
      <c r="F7" s="1085">
        <f>2666-Application!U832</f>
        <v>2538</v>
      </c>
      <c r="G7" s="429">
        <f t="shared" si="2"/>
        <v>7614</v>
      </c>
      <c r="H7" s="430"/>
      <c r="I7" s="429">
        <f t="shared" si="0"/>
        <v>170</v>
      </c>
      <c r="J7" s="429">
        <f t="shared" si="1"/>
        <v>510</v>
      </c>
      <c r="K7" s="205"/>
      <c r="L7" s="306"/>
    </row>
    <row r="8" spans="1:12" x14ac:dyDescent="0.3">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x14ac:dyDescent="0.3">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x14ac:dyDescent="0.3">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x14ac:dyDescent="0.3">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x14ac:dyDescent="0.3">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x14ac:dyDescent="0.3">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x14ac:dyDescent="0.3">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x14ac:dyDescent="0.3">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x14ac:dyDescent="0.3">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x14ac:dyDescent="0.3">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x14ac:dyDescent="0.3">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x14ac:dyDescent="0.3">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x14ac:dyDescent="0.3">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x14ac:dyDescent="0.3">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x14ac:dyDescent="0.3">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x14ac:dyDescent="0.3">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x14ac:dyDescent="0.3">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x14ac:dyDescent="0.3">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x14ac:dyDescent="0.3">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x14ac:dyDescent="0.3">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x14ac:dyDescent="0.3">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x14ac:dyDescent="0.3">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x14ac:dyDescent="0.3">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x14ac:dyDescent="0.3">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x14ac:dyDescent="0.3">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x14ac:dyDescent="0.3">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x14ac:dyDescent="0.3">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x14ac:dyDescent="0.3">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x14ac:dyDescent="0.3">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x14ac:dyDescent="0.3">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x14ac:dyDescent="0.3">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x14ac:dyDescent="0.3">
      <c r="A39" s="205"/>
      <c r="B39" s="205"/>
      <c r="C39" s="205"/>
      <c r="D39" s="430"/>
      <c r="E39" s="430"/>
      <c r="F39" s="430"/>
      <c r="G39" s="430"/>
      <c r="H39" s="430"/>
      <c r="I39" s="430"/>
      <c r="J39" s="205"/>
      <c r="K39" s="205"/>
      <c r="L39" s="306"/>
    </row>
    <row r="40" spans="1:12" x14ac:dyDescent="0.3">
      <c r="A40" s="431" t="s">
        <v>916</v>
      </c>
      <c r="B40" s="432"/>
      <c r="C40" s="432"/>
      <c r="D40" s="433">
        <f>Application!O753</f>
        <v>121164</v>
      </c>
      <c r="E40" s="430"/>
      <c r="F40" s="430"/>
      <c r="G40" s="433">
        <f>SUM(G4:G38)*12</f>
        <v>2414712</v>
      </c>
      <c r="H40" s="434"/>
      <c r="I40" s="432"/>
      <c r="J40" s="433">
        <f>SUM(J4:J38)*12</f>
        <v>960744</v>
      </c>
      <c r="K40" s="205"/>
      <c r="L40" s="307"/>
    </row>
    <row r="41" spans="1:12" x14ac:dyDescent="0.3">
      <c r="A41" s="431"/>
      <c r="B41" s="432"/>
      <c r="C41" s="432"/>
      <c r="D41" s="434"/>
      <c r="E41" s="430"/>
      <c r="F41" s="430"/>
      <c r="G41" s="434"/>
      <c r="H41" s="434"/>
      <c r="I41" s="432"/>
      <c r="J41" s="434"/>
      <c r="K41" s="205"/>
      <c r="L41" s="307"/>
    </row>
    <row r="42" spans="1:12" x14ac:dyDescent="0.3">
      <c r="A42" s="305" t="s">
        <v>2261</v>
      </c>
    </row>
    <row r="43" spans="1:12" x14ac:dyDescent="0.3">
      <c r="A43" s="2688" t="s">
        <v>2500</v>
      </c>
      <c r="B43" s="2688"/>
      <c r="C43" s="2688"/>
      <c r="D43" s="2688"/>
      <c r="E43" s="2688"/>
      <c r="F43" s="2688"/>
      <c r="G43" s="2688"/>
      <c r="H43" s="2688"/>
      <c r="I43" s="2688"/>
      <c r="J43" s="2688"/>
    </row>
    <row r="44" spans="1:12" x14ac:dyDescent="0.3">
      <c r="A44" s="2688"/>
      <c r="B44" s="2688"/>
      <c r="C44" s="2688"/>
      <c r="D44" s="2688"/>
      <c r="E44" s="2688"/>
      <c r="F44" s="2688"/>
      <c r="G44" s="2688"/>
      <c r="H44" s="2688"/>
      <c r="I44" s="2688"/>
      <c r="J44" s="2688"/>
    </row>
    <row r="45" spans="1:12" x14ac:dyDescent="0.3">
      <c r="A45" s="2688" t="s">
        <v>2262</v>
      </c>
      <c r="B45" s="2688"/>
      <c r="C45" s="2688"/>
      <c r="D45" s="2688"/>
      <c r="E45" s="2688"/>
      <c r="F45" s="2688"/>
      <c r="G45" s="2688"/>
      <c r="H45" s="2688"/>
      <c r="I45" s="2688"/>
      <c r="J45" s="2688"/>
    </row>
    <row r="46" spans="1:12" x14ac:dyDescent="0.3">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Y47" sqref="Y47"/>
    </sheetView>
  </sheetViews>
  <sheetFormatPr defaultColWidth="0" defaultRowHeight="12.5" zeroHeight="1" x14ac:dyDescent="0.25"/>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x14ac:dyDescent="0.4">
      <c r="A1" s="212" t="s">
        <v>2096</v>
      </c>
      <c r="B1" s="212"/>
    </row>
    <row r="2" spans="1:34" x14ac:dyDescent="0.25"/>
    <row r="3" spans="1:34" ht="15.5" x14ac:dyDescent="0.3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x14ac:dyDescent="0.3">
      <c r="A4" s="220" t="s">
        <v>838</v>
      </c>
      <c r="C4" s="238">
        <v>1.02</v>
      </c>
      <c r="E4" s="220">
        <f>Application!Y801</f>
        <v>1453968</v>
      </c>
      <c r="G4" s="220">
        <f>E4*$C$4</f>
        <v>1483047.36</v>
      </c>
      <c r="I4" s="220">
        <f>G4*$C$4</f>
        <v>1512708.3072000002</v>
      </c>
      <c r="K4" s="220">
        <f>I4*$C$4</f>
        <v>1542962.4733440003</v>
      </c>
      <c r="M4" s="220">
        <f>K4*$C$4</f>
        <v>1573821.7228108803</v>
      </c>
      <c r="O4" s="220">
        <f>M4*$C$4</f>
        <v>1605298.1572670978</v>
      </c>
      <c r="Q4" s="220">
        <f>O4*$C$4</f>
        <v>1637404.1204124398</v>
      </c>
      <c r="S4" s="220">
        <f>Q4*$C$4</f>
        <v>1670152.2028206887</v>
      </c>
      <c r="U4" s="220">
        <f>S4*$C$4</f>
        <v>1703555.2468771024</v>
      </c>
      <c r="W4" s="220">
        <f>U4*$C$4</f>
        <v>1737626.3518146444</v>
      </c>
      <c r="Y4" s="220">
        <f>W4*$C$4</f>
        <v>1772378.8788509374</v>
      </c>
      <c r="AA4" s="220">
        <f>Y4*$C$4</f>
        <v>1807826.4564279562</v>
      </c>
      <c r="AC4" s="220">
        <f>AA4*$C$4</f>
        <v>1843982.9855565154</v>
      </c>
      <c r="AE4" s="220">
        <f>AC4*$C$4</f>
        <v>1880862.6452676458</v>
      </c>
      <c r="AG4" s="220">
        <f>AE4*$C$4</f>
        <v>1918479.8981729988</v>
      </c>
    </row>
    <row r="5" spans="1:34" s="211" customFormat="1" ht="14" x14ac:dyDescent="0.3">
      <c r="B5" s="211" t="s">
        <v>839</v>
      </c>
      <c r="C5" s="239">
        <v>0.1</v>
      </c>
      <c r="E5" s="222">
        <f>-E4*$C$5</f>
        <v>-145396.80000000002</v>
      </c>
      <c r="F5" s="222"/>
      <c r="G5" s="222">
        <f>-G4*$C$5</f>
        <v>-148304.736</v>
      </c>
      <c r="H5" s="222"/>
      <c r="I5" s="222">
        <f>-I4*$C$5</f>
        <v>-151270.83072000003</v>
      </c>
      <c r="J5" s="222"/>
      <c r="K5" s="222">
        <f>-K4*$C$5</f>
        <v>-154296.24733440005</v>
      </c>
      <c r="L5" s="222"/>
      <c r="M5" s="222">
        <f>-M4*$C$5</f>
        <v>-157382.17228108805</v>
      </c>
      <c r="N5" s="222"/>
      <c r="O5" s="222">
        <f>-O4*$C$5</f>
        <v>-160529.81572670978</v>
      </c>
      <c r="P5" s="222"/>
      <c r="Q5" s="222">
        <f>-Q4*$C$5</f>
        <v>-163740.41204124398</v>
      </c>
      <c r="R5" s="222"/>
      <c r="S5" s="222">
        <f>-S4*$C$5</f>
        <v>-167015.22028206888</v>
      </c>
      <c r="T5" s="222"/>
      <c r="U5" s="222">
        <f>-U4*$C$5</f>
        <v>-170355.52468771025</v>
      </c>
      <c r="V5" s="222"/>
      <c r="W5" s="222">
        <f>-W4*$C$5</f>
        <v>-173762.63518146446</v>
      </c>
      <c r="X5" s="222"/>
      <c r="Y5" s="222">
        <f>-Y4*$C$5</f>
        <v>-177237.88788509375</v>
      </c>
      <c r="Z5" s="222"/>
      <c r="AA5" s="222">
        <f>-AA4*$C$5</f>
        <v>-180782.64564279563</v>
      </c>
      <c r="AB5" s="222"/>
      <c r="AC5" s="222">
        <f>-AC4*$C$5</f>
        <v>-184398.29855565156</v>
      </c>
      <c r="AD5" s="222"/>
      <c r="AE5" s="222">
        <f>-AE4*$C$5</f>
        <v>-188086.2645267646</v>
      </c>
      <c r="AF5" s="222"/>
      <c r="AG5" s="222">
        <f>-AG4*$C$5</f>
        <v>-191847.98981729988</v>
      </c>
    </row>
    <row r="6" spans="1:34" s="211" customFormat="1" ht="14" x14ac:dyDescent="0.3">
      <c r="A6" s="211" t="s">
        <v>837</v>
      </c>
      <c r="C6" s="238">
        <v>1.02</v>
      </c>
      <c r="E6" s="223">
        <f>Application!Z809</f>
        <v>960744</v>
      </c>
      <c r="F6" s="223"/>
      <c r="G6" s="223">
        <f>E6*$C$6</f>
        <v>979958.88</v>
      </c>
      <c r="H6" s="223"/>
      <c r="I6" s="223">
        <f>G6*$C$6</f>
        <v>999558.05760000006</v>
      </c>
      <c r="J6" s="223"/>
      <c r="K6" s="223">
        <f>I6*$C$6</f>
        <v>1019549.2187520001</v>
      </c>
      <c r="L6" s="223"/>
      <c r="M6" s="223">
        <f>K6*$C$6</f>
        <v>1039940.2031270402</v>
      </c>
      <c r="N6" s="223"/>
      <c r="O6" s="223">
        <f>M6*$C$6</f>
        <v>1060739.0071895809</v>
      </c>
      <c r="P6" s="223"/>
      <c r="Q6" s="223">
        <f>O6*$C$6</f>
        <v>1081953.7873333725</v>
      </c>
      <c r="R6" s="223"/>
      <c r="S6" s="223">
        <f>Q6*$C$6</f>
        <v>1103592.8630800401</v>
      </c>
      <c r="T6" s="223"/>
      <c r="U6" s="223">
        <f>S6*$C$6</f>
        <v>1125664.720341641</v>
      </c>
      <c r="V6" s="223"/>
      <c r="W6" s="223">
        <f>U6*$C$6</f>
        <v>1148178.0147484739</v>
      </c>
      <c r="X6" s="223"/>
      <c r="Y6" s="223">
        <f>W6*$C$6</f>
        <v>1171141.5750434434</v>
      </c>
      <c r="Z6" s="223"/>
      <c r="AA6" s="223">
        <f>Y6*$C$6</f>
        <v>1194564.4065443121</v>
      </c>
      <c r="AB6" s="223"/>
      <c r="AC6" s="223">
        <f>AA6*$C$6</f>
        <v>1218455.6946751983</v>
      </c>
      <c r="AD6" s="223"/>
      <c r="AE6" s="223">
        <f>AC6*$C$6</f>
        <v>1242824.8085687023</v>
      </c>
      <c r="AF6" s="223"/>
      <c r="AG6" s="223">
        <f>AE6*$C$6</f>
        <v>1267681.3047400764</v>
      </c>
    </row>
    <row r="7" spans="1:34" s="211" customFormat="1" ht="14" x14ac:dyDescent="0.3">
      <c r="B7" s="211" t="s">
        <v>839</v>
      </c>
      <c r="C7" s="239">
        <v>0.05</v>
      </c>
      <c r="E7" s="222">
        <f>-E6*$C$7</f>
        <v>-48037.200000000004</v>
      </c>
      <c r="F7" s="222"/>
      <c r="G7" s="222">
        <f>-G6*$C$7</f>
        <v>-48997.944000000003</v>
      </c>
      <c r="H7" s="222"/>
      <c r="I7" s="222">
        <f>-I6*$C$7</f>
        <v>-49977.902880000009</v>
      </c>
      <c r="J7" s="222"/>
      <c r="K7" s="222">
        <f>-K6*$C$7</f>
        <v>-50977.460937600008</v>
      </c>
      <c r="L7" s="222"/>
      <c r="M7" s="222">
        <f>-M6*$C$7</f>
        <v>-51997.010156352015</v>
      </c>
      <c r="N7" s="222"/>
      <c r="O7" s="222">
        <f>-O6*$C$7</f>
        <v>-53036.950359479051</v>
      </c>
      <c r="P7" s="222"/>
      <c r="Q7" s="222">
        <f>-Q6*$C$7</f>
        <v>-54097.68936666863</v>
      </c>
      <c r="R7" s="222"/>
      <c r="S7" s="222">
        <f>-S6*$C$7</f>
        <v>-55179.643154002006</v>
      </c>
      <c r="T7" s="222"/>
      <c r="U7" s="222">
        <f>-U6*$C$7</f>
        <v>-56283.236017082054</v>
      </c>
      <c r="V7" s="222"/>
      <c r="W7" s="222">
        <f>-W6*$C$7</f>
        <v>-57408.900737423697</v>
      </c>
      <c r="X7" s="222"/>
      <c r="Y7" s="222">
        <f>-Y6*$C$7</f>
        <v>-58557.078752172172</v>
      </c>
      <c r="Z7" s="222"/>
      <c r="AA7" s="222">
        <f>-AA6*$C$7</f>
        <v>-59728.220327215611</v>
      </c>
      <c r="AB7" s="222"/>
      <c r="AC7" s="222">
        <f>-AC6*$C$7</f>
        <v>-60922.784733759916</v>
      </c>
      <c r="AD7" s="222"/>
      <c r="AE7" s="222">
        <f>-AE6*$C$7</f>
        <v>-62141.240428435121</v>
      </c>
      <c r="AF7" s="222"/>
      <c r="AG7" s="222">
        <f>-AG6*$C$7</f>
        <v>-63384.065237003822</v>
      </c>
    </row>
    <row r="8" spans="1:34" s="211" customFormat="1" ht="14" x14ac:dyDescent="0.3">
      <c r="A8" s="211" t="s">
        <v>288</v>
      </c>
      <c r="C8" s="238">
        <v>1.0249999999999999</v>
      </c>
      <c r="E8" s="223">
        <f>Application!Z817</f>
        <v>8484</v>
      </c>
      <c r="F8" s="223"/>
      <c r="G8" s="223">
        <f>E8*$C$8</f>
        <v>8696.0999999999985</v>
      </c>
      <c r="H8" s="223"/>
      <c r="I8" s="223">
        <f>G8*$C$8</f>
        <v>8913.5024999999969</v>
      </c>
      <c r="J8" s="223"/>
      <c r="K8" s="223">
        <f>I8*$C$8</f>
        <v>9136.3400624999958</v>
      </c>
      <c r="L8" s="223"/>
      <c r="M8" s="223">
        <f>K8*$C$8</f>
        <v>9364.7485640624946</v>
      </c>
      <c r="N8" s="223"/>
      <c r="O8" s="223">
        <f>M8*$C$8</f>
        <v>9598.8672781640562</v>
      </c>
      <c r="P8" s="223"/>
      <c r="Q8" s="223">
        <f>O8*$C$8</f>
        <v>9838.838960118157</v>
      </c>
      <c r="R8" s="223"/>
      <c r="S8" s="223">
        <f>Q8*$C$8</f>
        <v>10084.809934121111</v>
      </c>
      <c r="T8" s="223"/>
      <c r="U8" s="223">
        <f>S8*$C$8</f>
        <v>10336.930182474138</v>
      </c>
      <c r="V8" s="223"/>
      <c r="W8" s="223">
        <f>U8*$C$8</f>
        <v>10595.35343703599</v>
      </c>
      <c r="X8" s="223"/>
      <c r="Y8" s="223">
        <f>W8*$C$8</f>
        <v>10860.237272961889</v>
      </c>
      <c r="Z8" s="223"/>
      <c r="AA8" s="223">
        <f>Y8*$C$8</f>
        <v>11131.743204785935</v>
      </c>
      <c r="AB8" s="223"/>
      <c r="AC8" s="223">
        <f>AA8*$C$8</f>
        <v>11410.036784905582</v>
      </c>
      <c r="AD8" s="223"/>
      <c r="AE8" s="223">
        <f>AC8*$C$8</f>
        <v>11695.28770452822</v>
      </c>
      <c r="AF8" s="223"/>
      <c r="AG8" s="223">
        <f>AE8*$C$8</f>
        <v>11987.669897141424</v>
      </c>
    </row>
    <row r="9" spans="1:34" s="211" customFormat="1" ht="14" x14ac:dyDescent="0.3">
      <c r="B9" s="211" t="s">
        <v>839</v>
      </c>
      <c r="C9" s="239">
        <v>0.05</v>
      </c>
      <c r="E9" s="222">
        <f>-E8*$C$9</f>
        <v>-424.20000000000005</v>
      </c>
      <c r="F9" s="222"/>
      <c r="G9" s="222">
        <f>-G8*$C$9</f>
        <v>-434.80499999999995</v>
      </c>
      <c r="H9" s="222"/>
      <c r="I9" s="222">
        <f>-I8*$C$9</f>
        <v>-445.67512499999987</v>
      </c>
      <c r="J9" s="222"/>
      <c r="K9" s="222">
        <f>-K8*$C$9</f>
        <v>-456.81700312499981</v>
      </c>
      <c r="L9" s="222"/>
      <c r="M9" s="222">
        <f>-M8*$C$9</f>
        <v>-468.23742820312475</v>
      </c>
      <c r="N9" s="222"/>
      <c r="O9" s="222">
        <f>-O8*$C$9</f>
        <v>-479.94336390820285</v>
      </c>
      <c r="P9" s="222"/>
      <c r="Q9" s="222">
        <f>-Q8*$C$9</f>
        <v>-491.94194800590788</v>
      </c>
      <c r="R9" s="222"/>
      <c r="S9" s="222">
        <f>-S8*$C$9</f>
        <v>-504.24049670605558</v>
      </c>
      <c r="T9" s="222"/>
      <c r="U9" s="222">
        <f>-U8*$C$9</f>
        <v>-516.84650912370694</v>
      </c>
      <c r="V9" s="222"/>
      <c r="W9" s="222">
        <f>-W8*$C$9</f>
        <v>-529.76767185179949</v>
      </c>
      <c r="X9" s="222"/>
      <c r="Y9" s="222">
        <f>-Y8*$C$9</f>
        <v>-543.0118636480945</v>
      </c>
      <c r="Z9" s="222"/>
      <c r="AA9" s="222">
        <f>-AA8*$C$9</f>
        <v>-556.58716023929674</v>
      </c>
      <c r="AB9" s="222"/>
      <c r="AC9" s="222">
        <f>-AC8*$C$9</f>
        <v>-570.50183924527914</v>
      </c>
      <c r="AD9" s="222"/>
      <c r="AE9" s="222">
        <f>-AE8*$C$9</f>
        <v>-584.76438522641104</v>
      </c>
      <c r="AF9" s="222"/>
      <c r="AG9" s="222">
        <f>-AG8*$C$9</f>
        <v>-599.38349485707124</v>
      </c>
    </row>
    <row r="10" spans="1:34" s="211" customFormat="1" ht="14" x14ac:dyDescent="0.3">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x14ac:dyDescent="0.3">
      <c r="A11" s="224" t="s">
        <v>860</v>
      </c>
      <c r="C11" s="217"/>
      <c r="E11" s="224">
        <f>SUM(E4:E10)</f>
        <v>2229337.7999999998</v>
      </c>
      <c r="G11" s="224">
        <f>SUM(G4:G10)</f>
        <v>2273964.855</v>
      </c>
      <c r="I11" s="224">
        <f>SUM(I4:I10)</f>
        <v>2319485.4585750001</v>
      </c>
      <c r="K11" s="224">
        <f>SUM(K4:K10)</f>
        <v>2365917.5068833753</v>
      </c>
      <c r="M11" s="224">
        <f>SUM(M4:M10)</f>
        <v>2413279.2546363398</v>
      </c>
      <c r="O11" s="224">
        <f>SUM(O4:O10)</f>
        <v>2461589.322284746</v>
      </c>
      <c r="Q11" s="224">
        <f>SUM(Q4:Q10)</f>
        <v>2510866.7033500122</v>
      </c>
      <c r="S11" s="224">
        <f>SUM(S4:S10)</f>
        <v>2561130.7719020727</v>
      </c>
      <c r="U11" s="224">
        <f>SUM(U4:U10)</f>
        <v>2612401.290187302</v>
      </c>
      <c r="W11" s="224">
        <f>SUM(W4:W10)</f>
        <v>2664698.4164094138</v>
      </c>
      <c r="Y11" s="224">
        <f>SUM(Y4:Y10)</f>
        <v>2718042.7126664286</v>
      </c>
      <c r="AA11" s="224">
        <f>SUM(AA4:AA10)</f>
        <v>2772455.1530468035</v>
      </c>
      <c r="AC11" s="224">
        <f>SUM(AC4:AC10)</f>
        <v>2827957.1318879626</v>
      </c>
      <c r="AE11" s="224">
        <f>SUM(AE4:AE10)</f>
        <v>2884570.4722004505</v>
      </c>
      <c r="AG11" s="224">
        <f>SUM(AG4:AG10)</f>
        <v>2942317.4342610557</v>
      </c>
    </row>
    <row r="12" spans="1:34" x14ac:dyDescent="0.25">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x14ac:dyDescent="0.3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x14ac:dyDescent="0.3">
      <c r="A14" s="211" t="s">
        <v>841</v>
      </c>
      <c r="C14" s="238">
        <v>1.03</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x14ac:dyDescent="0.3">
      <c r="A15" s="220" t="s">
        <v>842</v>
      </c>
      <c r="C15" s="176"/>
      <c r="E15" s="220">
        <f>Application!W847</f>
        <v>78900</v>
      </c>
      <c r="G15" s="220">
        <f>E15*$C$14</f>
        <v>81267</v>
      </c>
      <c r="I15" s="220">
        <f>G15*$C$14</f>
        <v>83705.010000000009</v>
      </c>
      <c r="K15" s="220">
        <f>I15*$C$14</f>
        <v>86216.160300000018</v>
      </c>
      <c r="M15" s="220">
        <f>K15*$C$14</f>
        <v>88802.645109000019</v>
      </c>
      <c r="O15" s="220">
        <f>M15*$C$14</f>
        <v>91466.724462270024</v>
      </c>
      <c r="Q15" s="220">
        <f>O15*$C$14</f>
        <v>94210.72619613813</v>
      </c>
      <c r="S15" s="220">
        <f>Q15*$C$14</f>
        <v>97037.047982022283</v>
      </c>
      <c r="U15" s="220">
        <f>S15*$C$14</f>
        <v>99948.159421482953</v>
      </c>
      <c r="W15" s="220">
        <f>U15*$C$14</f>
        <v>102946.60420412745</v>
      </c>
      <c r="Y15" s="220">
        <f>W15*$C$14</f>
        <v>106035.00233025127</v>
      </c>
      <c r="AA15" s="220">
        <f>Y15*$C$14</f>
        <v>109216.05240015881</v>
      </c>
      <c r="AC15" s="220">
        <f>AA15*$C$14</f>
        <v>112492.53397216357</v>
      </c>
      <c r="AE15" s="220">
        <f>AC15*$C$14</f>
        <v>115867.30999132848</v>
      </c>
      <c r="AG15" s="220">
        <f>AE15*$C$14</f>
        <v>119343.32929106834</v>
      </c>
    </row>
    <row r="16" spans="1:34" s="211" customFormat="1" ht="14" x14ac:dyDescent="0.3">
      <c r="A16" s="211" t="s">
        <v>344</v>
      </c>
      <c r="C16" s="234"/>
      <c r="E16" s="223">
        <f>Application!W849</f>
        <v>111467</v>
      </c>
      <c r="F16" s="223"/>
      <c r="G16" s="223">
        <f t="shared" ref="G16:AG21" si="0">E16*$C$14</f>
        <v>114811.01000000001</v>
      </c>
      <c r="H16" s="223"/>
      <c r="I16" s="223">
        <f t="shared" si="0"/>
        <v>118255.34030000001</v>
      </c>
      <c r="J16" s="223"/>
      <c r="K16" s="223">
        <f t="shared" si="0"/>
        <v>121803.00050900002</v>
      </c>
      <c r="L16" s="223"/>
      <c r="M16" s="223">
        <f t="shared" si="0"/>
        <v>125457.09052427002</v>
      </c>
      <c r="N16" s="223"/>
      <c r="O16" s="223">
        <f t="shared" si="0"/>
        <v>129220.80323999813</v>
      </c>
      <c r="P16" s="223"/>
      <c r="Q16" s="223">
        <f t="shared" si="0"/>
        <v>133097.42733719808</v>
      </c>
      <c r="R16" s="223"/>
      <c r="S16" s="223">
        <f t="shared" si="0"/>
        <v>137090.35015731404</v>
      </c>
      <c r="T16" s="223"/>
      <c r="U16" s="223">
        <f t="shared" si="0"/>
        <v>141203.06066203347</v>
      </c>
      <c r="V16" s="223"/>
      <c r="W16" s="223">
        <f t="shared" si="0"/>
        <v>145439.15248189447</v>
      </c>
      <c r="X16" s="223"/>
      <c r="Y16" s="223">
        <f t="shared" si="0"/>
        <v>149802.32705635132</v>
      </c>
      <c r="Z16" s="223"/>
      <c r="AA16" s="223">
        <f t="shared" si="0"/>
        <v>154296.39686804186</v>
      </c>
      <c r="AB16" s="223"/>
      <c r="AC16" s="223">
        <f t="shared" si="0"/>
        <v>158925.28877408314</v>
      </c>
      <c r="AD16" s="223"/>
      <c r="AE16" s="223">
        <f t="shared" si="0"/>
        <v>163693.04743730562</v>
      </c>
      <c r="AF16" s="223"/>
      <c r="AG16" s="223">
        <f t="shared" si="0"/>
        <v>168603.83886042479</v>
      </c>
    </row>
    <row r="17" spans="1:33" s="211" customFormat="1" ht="14" x14ac:dyDescent="0.3">
      <c r="A17" s="211" t="s">
        <v>562</v>
      </c>
      <c r="C17" s="234"/>
      <c r="E17" s="223">
        <f>Application!W855</f>
        <v>117000</v>
      </c>
      <c r="F17" s="223"/>
      <c r="G17" s="223">
        <f t="shared" si="0"/>
        <v>120510</v>
      </c>
      <c r="H17" s="223"/>
      <c r="I17" s="223">
        <f t="shared" si="0"/>
        <v>124125.3</v>
      </c>
      <c r="J17" s="223"/>
      <c r="K17" s="223">
        <f t="shared" si="0"/>
        <v>127849.05900000001</v>
      </c>
      <c r="L17" s="223"/>
      <c r="M17" s="223">
        <f t="shared" si="0"/>
        <v>131684.53077000001</v>
      </c>
      <c r="N17" s="223"/>
      <c r="O17" s="223">
        <f t="shared" si="0"/>
        <v>135635.06669310003</v>
      </c>
      <c r="P17" s="223"/>
      <c r="Q17" s="223">
        <f t="shared" si="0"/>
        <v>139704.11869389305</v>
      </c>
      <c r="R17" s="223"/>
      <c r="S17" s="223">
        <f t="shared" si="0"/>
        <v>143895.24225470985</v>
      </c>
      <c r="T17" s="223"/>
      <c r="U17" s="223">
        <f t="shared" si="0"/>
        <v>148212.09952235114</v>
      </c>
      <c r="V17" s="223"/>
      <c r="W17" s="223">
        <f t="shared" si="0"/>
        <v>152658.46250802168</v>
      </c>
      <c r="X17" s="223"/>
      <c r="Y17" s="223">
        <f t="shared" si="0"/>
        <v>157238.21638326233</v>
      </c>
      <c r="Z17" s="223"/>
      <c r="AA17" s="223">
        <f t="shared" si="0"/>
        <v>161955.36287476021</v>
      </c>
      <c r="AB17" s="223"/>
      <c r="AC17" s="223">
        <f t="shared" si="0"/>
        <v>166814.02376100302</v>
      </c>
      <c r="AD17" s="223"/>
      <c r="AE17" s="223">
        <f t="shared" si="0"/>
        <v>171818.44447383311</v>
      </c>
      <c r="AF17" s="223"/>
      <c r="AG17" s="223">
        <f t="shared" si="0"/>
        <v>176972.99780804809</v>
      </c>
    </row>
    <row r="18" spans="1:33" s="211" customFormat="1" ht="14" x14ac:dyDescent="0.3">
      <c r="A18" s="211" t="s">
        <v>843</v>
      </c>
      <c r="C18" s="234"/>
      <c r="E18" s="223">
        <f>Application!W862</f>
        <v>244000</v>
      </c>
      <c r="F18" s="223"/>
      <c r="G18" s="223">
        <f t="shared" si="0"/>
        <v>251320</v>
      </c>
      <c r="H18" s="223"/>
      <c r="I18" s="223">
        <f t="shared" si="0"/>
        <v>258859.6</v>
      </c>
      <c r="J18" s="223"/>
      <c r="K18" s="223">
        <f t="shared" si="0"/>
        <v>266625.38800000004</v>
      </c>
      <c r="L18" s="223"/>
      <c r="M18" s="223">
        <f t="shared" si="0"/>
        <v>274624.14964000002</v>
      </c>
      <c r="N18" s="223"/>
      <c r="O18" s="223">
        <f t="shared" si="0"/>
        <v>282862.8741292</v>
      </c>
      <c r="P18" s="223"/>
      <c r="Q18" s="223">
        <f t="shared" si="0"/>
        <v>291348.76035307604</v>
      </c>
      <c r="R18" s="223"/>
      <c r="S18" s="223">
        <f t="shared" si="0"/>
        <v>300089.2231636683</v>
      </c>
      <c r="T18" s="223"/>
      <c r="U18" s="223">
        <f t="shared" si="0"/>
        <v>309091.89985857834</v>
      </c>
      <c r="V18" s="223"/>
      <c r="W18" s="223">
        <f t="shared" si="0"/>
        <v>318364.65685433568</v>
      </c>
      <c r="X18" s="223"/>
      <c r="Y18" s="223">
        <f t="shared" si="0"/>
        <v>327915.59655996575</v>
      </c>
      <c r="Z18" s="223"/>
      <c r="AA18" s="223">
        <f t="shared" si="0"/>
        <v>337753.06445676473</v>
      </c>
      <c r="AB18" s="223"/>
      <c r="AC18" s="223">
        <f t="shared" si="0"/>
        <v>347885.65639046766</v>
      </c>
      <c r="AD18" s="223"/>
      <c r="AE18" s="223">
        <f t="shared" si="0"/>
        <v>358322.22608218167</v>
      </c>
      <c r="AF18" s="223"/>
      <c r="AG18" s="223">
        <f t="shared" si="0"/>
        <v>369071.89286464715</v>
      </c>
    </row>
    <row r="19" spans="1:33" s="211" customFormat="1" ht="14" x14ac:dyDescent="0.3">
      <c r="A19" s="211" t="s">
        <v>155</v>
      </c>
      <c r="C19" s="234"/>
      <c r="E19" s="223">
        <f>Application!W863</f>
        <v>133400</v>
      </c>
      <c r="F19" s="223"/>
      <c r="G19" s="223">
        <f t="shared" si="0"/>
        <v>137402</v>
      </c>
      <c r="H19" s="223"/>
      <c r="I19" s="223">
        <f t="shared" si="0"/>
        <v>141524.06</v>
      </c>
      <c r="J19" s="223"/>
      <c r="K19" s="223">
        <f t="shared" si="0"/>
        <v>145769.7818</v>
      </c>
      <c r="L19" s="223"/>
      <c r="M19" s="223">
        <f t="shared" si="0"/>
        <v>150142.87525400001</v>
      </c>
      <c r="N19" s="223"/>
      <c r="O19" s="223">
        <f t="shared" si="0"/>
        <v>154647.16151162001</v>
      </c>
      <c r="P19" s="223"/>
      <c r="Q19" s="223">
        <f t="shared" si="0"/>
        <v>159286.57635696861</v>
      </c>
      <c r="R19" s="223"/>
      <c r="S19" s="223">
        <f t="shared" si="0"/>
        <v>164065.17364767767</v>
      </c>
      <c r="T19" s="223"/>
      <c r="U19" s="223">
        <f t="shared" si="0"/>
        <v>168987.12885710801</v>
      </c>
      <c r="V19" s="223"/>
      <c r="W19" s="223">
        <f t="shared" si="0"/>
        <v>174056.74272282125</v>
      </c>
      <c r="X19" s="223"/>
      <c r="Y19" s="223">
        <f t="shared" si="0"/>
        <v>179278.44500450589</v>
      </c>
      <c r="Z19" s="223"/>
      <c r="AA19" s="223">
        <f t="shared" si="0"/>
        <v>184656.79835464107</v>
      </c>
      <c r="AB19" s="223"/>
      <c r="AC19" s="223">
        <f t="shared" si="0"/>
        <v>190196.5023052803</v>
      </c>
      <c r="AD19" s="223"/>
      <c r="AE19" s="223">
        <f t="shared" si="0"/>
        <v>195902.3973744387</v>
      </c>
      <c r="AF19" s="223"/>
      <c r="AG19" s="223">
        <f t="shared" si="0"/>
        <v>201779.46929567188</v>
      </c>
    </row>
    <row r="20" spans="1:33" s="211" customFormat="1" ht="14" x14ac:dyDescent="0.3">
      <c r="A20" s="211" t="s">
        <v>390</v>
      </c>
      <c r="C20" s="234"/>
      <c r="E20" s="223">
        <f>Application!W872</f>
        <v>125300</v>
      </c>
      <c r="F20" s="223"/>
      <c r="G20" s="223">
        <f t="shared" si="0"/>
        <v>129059</v>
      </c>
      <c r="H20" s="223"/>
      <c r="I20" s="223">
        <f t="shared" si="0"/>
        <v>132930.76999999999</v>
      </c>
      <c r="J20" s="223"/>
      <c r="K20" s="223">
        <f t="shared" si="0"/>
        <v>136918.6931</v>
      </c>
      <c r="L20" s="223"/>
      <c r="M20" s="223">
        <f t="shared" si="0"/>
        <v>141026.25389300002</v>
      </c>
      <c r="N20" s="223"/>
      <c r="O20" s="223">
        <f t="shared" si="0"/>
        <v>145257.04150979003</v>
      </c>
      <c r="P20" s="223"/>
      <c r="Q20" s="223">
        <f t="shared" si="0"/>
        <v>149614.75275508373</v>
      </c>
      <c r="R20" s="223"/>
      <c r="S20" s="223">
        <f t="shared" si="0"/>
        <v>154103.19533773625</v>
      </c>
      <c r="T20" s="223"/>
      <c r="U20" s="223">
        <f t="shared" si="0"/>
        <v>158726.29119786836</v>
      </c>
      <c r="V20" s="223"/>
      <c r="W20" s="223">
        <f t="shared" si="0"/>
        <v>163488.0799338044</v>
      </c>
      <c r="X20" s="223"/>
      <c r="Y20" s="223">
        <f t="shared" si="0"/>
        <v>168392.72233181854</v>
      </c>
      <c r="Z20" s="223"/>
      <c r="AA20" s="223">
        <f t="shared" si="0"/>
        <v>173444.50400177311</v>
      </c>
      <c r="AB20" s="223"/>
      <c r="AC20" s="223">
        <f t="shared" si="0"/>
        <v>178647.83912182631</v>
      </c>
      <c r="AD20" s="223"/>
      <c r="AE20" s="223">
        <f t="shared" si="0"/>
        <v>184007.2742954811</v>
      </c>
      <c r="AF20" s="223"/>
      <c r="AG20" s="223">
        <f t="shared" si="0"/>
        <v>189527.49252434552</v>
      </c>
    </row>
    <row r="21" spans="1:33" s="211" customFormat="1" ht="14" x14ac:dyDescent="0.3">
      <c r="A21" s="227" t="s">
        <v>963</v>
      </c>
      <c r="B21" s="227"/>
      <c r="C21" s="234"/>
      <c r="E21" s="233">
        <f>Application!W879</f>
        <v>119450</v>
      </c>
      <c r="F21" s="223"/>
      <c r="G21" s="233">
        <f t="shared" si="0"/>
        <v>123033.5</v>
      </c>
      <c r="H21" s="223"/>
      <c r="I21" s="233">
        <f t="shared" si="0"/>
        <v>126724.505</v>
      </c>
      <c r="J21" s="223"/>
      <c r="K21" s="233">
        <f t="shared" si="0"/>
        <v>130526.24015000001</v>
      </c>
      <c r="L21" s="223"/>
      <c r="M21" s="233">
        <f t="shared" si="0"/>
        <v>134442.02735450002</v>
      </c>
      <c r="N21" s="223"/>
      <c r="O21" s="233">
        <f t="shared" si="0"/>
        <v>138475.28817513504</v>
      </c>
      <c r="P21" s="223"/>
      <c r="Q21" s="233">
        <f t="shared" si="0"/>
        <v>142629.54682038908</v>
      </c>
      <c r="R21" s="223"/>
      <c r="S21" s="233">
        <f t="shared" si="0"/>
        <v>146908.43322500074</v>
      </c>
      <c r="T21" s="223"/>
      <c r="U21" s="233">
        <f t="shared" si="0"/>
        <v>151315.68622175077</v>
      </c>
      <c r="V21" s="223"/>
      <c r="W21" s="233">
        <f t="shared" si="0"/>
        <v>155855.15680840329</v>
      </c>
      <c r="X21" s="223"/>
      <c r="Y21" s="233">
        <f t="shared" si="0"/>
        <v>160530.8115126554</v>
      </c>
      <c r="Z21" s="223"/>
      <c r="AA21" s="233">
        <f t="shared" si="0"/>
        <v>165346.73585803507</v>
      </c>
      <c r="AB21" s="223"/>
      <c r="AC21" s="233">
        <f t="shared" si="0"/>
        <v>170307.13793377613</v>
      </c>
      <c r="AD21" s="223"/>
      <c r="AE21" s="233">
        <f t="shared" si="0"/>
        <v>175416.35207178941</v>
      </c>
      <c r="AF21" s="223"/>
      <c r="AG21" s="233">
        <f t="shared" si="0"/>
        <v>180678.8426339431</v>
      </c>
    </row>
    <row r="22" spans="1:33" s="224" customFormat="1" ht="14" x14ac:dyDescent="0.3">
      <c r="A22" s="224" t="s">
        <v>844</v>
      </c>
      <c r="C22" s="234"/>
      <c r="E22" s="224">
        <f>SUM(E15:E21)</f>
        <v>929517</v>
      </c>
      <c r="G22" s="224">
        <f>SUM(G15:G21)</f>
        <v>957402.51</v>
      </c>
      <c r="I22" s="224">
        <f>SUM(I15:I21)</f>
        <v>986124.58530000004</v>
      </c>
      <c r="K22" s="224">
        <f>SUM(K15:K21)</f>
        <v>1015708.3228590001</v>
      </c>
      <c r="M22" s="224">
        <f>SUM(M15:M21)</f>
        <v>1046179.5725447703</v>
      </c>
      <c r="O22" s="224">
        <f>SUM(O15:O21)</f>
        <v>1077564.9597211133</v>
      </c>
      <c r="Q22" s="224">
        <f>SUM(Q15:Q21)</f>
        <v>1109891.9085127467</v>
      </c>
      <c r="S22" s="224">
        <f>SUM(S15:S21)</f>
        <v>1143188.6657681293</v>
      </c>
      <c r="U22" s="224">
        <f>SUM(U15:U21)</f>
        <v>1177484.325741173</v>
      </c>
      <c r="W22" s="224">
        <f>SUM(W15:W21)</f>
        <v>1212808.8555134083</v>
      </c>
      <c r="Y22" s="224">
        <f>SUM(Y15:Y21)</f>
        <v>1249193.1211788105</v>
      </c>
      <c r="AA22" s="224">
        <f>SUM(AA15:AA21)</f>
        <v>1286668.9148141749</v>
      </c>
      <c r="AC22" s="224">
        <f>SUM(AC15:AC21)</f>
        <v>1325268.9822586002</v>
      </c>
      <c r="AE22" s="224">
        <f>SUM(AE15:AE21)</f>
        <v>1365027.051726358</v>
      </c>
      <c r="AG22" s="224">
        <f>SUM(AG15:AG21)</f>
        <v>1405977.8632781487</v>
      </c>
    </row>
    <row r="23" spans="1:33" s="211" customFormat="1" ht="14" x14ac:dyDescent="0.3">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x14ac:dyDescent="0.3">
      <c r="A24" s="211" t="s">
        <v>1683</v>
      </c>
      <c r="C24" s="234">
        <v>1</v>
      </c>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x14ac:dyDescent="0.3">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x14ac:dyDescent="0.3">
      <c r="A26" s="211" t="s">
        <v>1160</v>
      </c>
      <c r="C26" s="238">
        <v>1.03</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x14ac:dyDescent="0.3">
      <c r="A27" s="211" t="s">
        <v>846</v>
      </c>
      <c r="C27" s="238">
        <v>1.03</v>
      </c>
      <c r="E27" s="223">
        <f>Application!AC888</f>
        <v>26000</v>
      </c>
      <c r="F27" s="223"/>
      <c r="G27" s="223">
        <f>E27*$C$27</f>
        <v>26780</v>
      </c>
      <c r="H27" s="223"/>
      <c r="I27" s="223">
        <f>G27*$C$27</f>
        <v>27583.4</v>
      </c>
      <c r="J27" s="223"/>
      <c r="K27" s="223">
        <f>I27*$C$27</f>
        <v>28410.902000000002</v>
      </c>
      <c r="L27" s="223"/>
      <c r="M27" s="223">
        <f>K27*$C$27</f>
        <v>29263.229060000001</v>
      </c>
      <c r="N27" s="223"/>
      <c r="O27" s="223">
        <f>M27*$C$27</f>
        <v>30141.125931800001</v>
      </c>
      <c r="P27" s="223"/>
      <c r="Q27" s="223">
        <f>O27*$C$27</f>
        <v>31045.359709754001</v>
      </c>
      <c r="R27" s="223"/>
      <c r="S27" s="223">
        <f>Q27*$C$27</f>
        <v>31976.72050104662</v>
      </c>
      <c r="T27" s="223"/>
      <c r="U27" s="223">
        <f>S27*$C$27</f>
        <v>32936.02211607802</v>
      </c>
      <c r="V27" s="223"/>
      <c r="W27" s="223">
        <f>U27*$C$27</f>
        <v>33924.102779560359</v>
      </c>
      <c r="X27" s="223"/>
      <c r="Y27" s="223">
        <f>W27*$C$27</f>
        <v>34941.825862947167</v>
      </c>
      <c r="Z27" s="223"/>
      <c r="AA27" s="223">
        <f>Y27*$C$27</f>
        <v>35990.080638835585</v>
      </c>
      <c r="AB27" s="223"/>
      <c r="AC27" s="223">
        <f>AA27*$C$27</f>
        <v>37069.783058000656</v>
      </c>
      <c r="AD27" s="223"/>
      <c r="AE27" s="223">
        <f>AC27*$C$27</f>
        <v>38181.876549740678</v>
      </c>
      <c r="AF27" s="223"/>
      <c r="AG27" s="223">
        <f>AE27*$C$27</f>
        <v>39327.332846232901</v>
      </c>
    </row>
    <row r="28" spans="1:33" s="211" customFormat="1" ht="14" x14ac:dyDescent="0.3">
      <c r="A28" s="211" t="s">
        <v>847</v>
      </c>
      <c r="C28" s="238"/>
      <c r="E28" s="223">
        <f>Application!AC889</f>
        <v>25250</v>
      </c>
      <c r="F28" s="223"/>
      <c r="G28" s="223">
        <f>$E$28</f>
        <v>25250</v>
      </c>
      <c r="H28" s="223"/>
      <c r="I28" s="223">
        <f>$E$28</f>
        <v>25250</v>
      </c>
      <c r="J28" s="223"/>
      <c r="K28" s="223">
        <f>$E$28</f>
        <v>25250</v>
      </c>
      <c r="L28" s="223"/>
      <c r="M28" s="223">
        <f>$E$28</f>
        <v>25250</v>
      </c>
      <c r="N28" s="223"/>
      <c r="O28" s="223">
        <f>$E$28</f>
        <v>25250</v>
      </c>
      <c r="P28" s="223"/>
      <c r="Q28" s="223">
        <f>$E$28</f>
        <v>25250</v>
      </c>
      <c r="R28" s="223"/>
      <c r="S28" s="223">
        <f>$E$28</f>
        <v>25250</v>
      </c>
      <c r="T28" s="223"/>
      <c r="U28" s="223">
        <f>$E$28</f>
        <v>25250</v>
      </c>
      <c r="V28" s="223"/>
      <c r="W28" s="223">
        <f>$E$28</f>
        <v>25250</v>
      </c>
      <c r="X28" s="223"/>
      <c r="Y28" s="223">
        <f>$E$28</f>
        <v>25250</v>
      </c>
      <c r="Z28" s="223"/>
      <c r="AA28" s="223">
        <f>$E$28</f>
        <v>25250</v>
      </c>
      <c r="AB28" s="223"/>
      <c r="AC28" s="223">
        <f>$E$28</f>
        <v>25250</v>
      </c>
      <c r="AD28" s="223"/>
      <c r="AE28" s="223">
        <f>$E$28</f>
        <v>25250</v>
      </c>
      <c r="AF28" s="223"/>
      <c r="AG28" s="223">
        <f>$E$28</f>
        <v>25250</v>
      </c>
    </row>
    <row r="29" spans="1:33" s="211" customFormat="1" ht="14" x14ac:dyDescent="0.3">
      <c r="A29" s="211" t="s">
        <v>1681</v>
      </c>
      <c r="C29" s="238"/>
      <c r="E29" s="223">
        <f>Application!AC890</f>
        <v>4000</v>
      </c>
      <c r="F29" s="223"/>
      <c r="G29" s="223">
        <f>$E$29</f>
        <v>4000</v>
      </c>
      <c r="H29" s="223"/>
      <c r="I29" s="223">
        <f>$E$29</f>
        <v>4000</v>
      </c>
      <c r="J29" s="223"/>
      <c r="K29" s="223">
        <f>$E$29</f>
        <v>4000</v>
      </c>
      <c r="L29" s="223"/>
      <c r="M29" s="223">
        <f>$E$29</f>
        <v>4000</v>
      </c>
      <c r="N29" s="223"/>
      <c r="O29" s="223">
        <f>$E$29</f>
        <v>4000</v>
      </c>
      <c r="P29" s="223"/>
      <c r="Q29" s="223">
        <f>$E$29</f>
        <v>4000</v>
      </c>
      <c r="R29" s="223"/>
      <c r="S29" s="223">
        <f>$E$29</f>
        <v>4000</v>
      </c>
      <c r="T29" s="223"/>
      <c r="U29" s="223">
        <f>$E$29</f>
        <v>4000</v>
      </c>
      <c r="V29" s="223"/>
      <c r="W29" s="223">
        <f>$E$29</f>
        <v>4000</v>
      </c>
      <c r="X29" s="223"/>
      <c r="Y29" s="223">
        <f>$E$29</f>
        <v>4000</v>
      </c>
      <c r="Z29" s="223"/>
      <c r="AA29" s="223">
        <f>$E$29</f>
        <v>4000</v>
      </c>
      <c r="AB29" s="223"/>
      <c r="AC29" s="223">
        <f>$E$29</f>
        <v>4000</v>
      </c>
      <c r="AD29" s="223"/>
      <c r="AE29" s="223">
        <f>$E$29</f>
        <v>4000</v>
      </c>
      <c r="AF29" s="223"/>
      <c r="AG29" s="223">
        <f>$E$29</f>
        <v>4000</v>
      </c>
    </row>
    <row r="30" spans="1:33" s="211" customFormat="1" ht="14" x14ac:dyDescent="0.3">
      <c r="A30" s="211" t="s">
        <v>845</v>
      </c>
      <c r="C30" s="238">
        <v>1.02</v>
      </c>
      <c r="E30" s="223">
        <f>Application!AC891</f>
        <v>12500</v>
      </c>
      <c r="F30" s="223"/>
      <c r="G30" s="223">
        <f>E30*$C$30</f>
        <v>12750</v>
      </c>
      <c r="H30" s="223"/>
      <c r="I30" s="223">
        <f>G30*$C$30</f>
        <v>13005</v>
      </c>
      <c r="J30" s="223"/>
      <c r="K30" s="223">
        <f>I30*$C$30</f>
        <v>13265.1</v>
      </c>
      <c r="L30" s="223"/>
      <c r="M30" s="223">
        <f>K30*$C$30</f>
        <v>13530.402</v>
      </c>
      <c r="N30" s="223"/>
      <c r="O30" s="223">
        <f>M30*$C$30</f>
        <v>13801.010040000001</v>
      </c>
      <c r="P30" s="223"/>
      <c r="Q30" s="223">
        <f>O30*$C$30</f>
        <v>14077.030240800001</v>
      </c>
      <c r="R30" s="223"/>
      <c r="S30" s="223">
        <f>Q30*$C$30</f>
        <v>14358.570845616001</v>
      </c>
      <c r="T30" s="223"/>
      <c r="U30" s="223">
        <f>S30*$C$30</f>
        <v>14645.742262528322</v>
      </c>
      <c r="V30" s="223"/>
      <c r="W30" s="223">
        <f>U30*$C$30</f>
        <v>14938.657107778889</v>
      </c>
      <c r="X30" s="223"/>
      <c r="Y30" s="223">
        <f>W30*$C$30</f>
        <v>15237.430249934467</v>
      </c>
      <c r="Z30" s="223"/>
      <c r="AA30" s="223">
        <f>Y30*$C$30</f>
        <v>15542.178854933156</v>
      </c>
      <c r="AB30" s="223"/>
      <c r="AC30" s="223">
        <f>AA30*$C$30</f>
        <v>15853.022432031819</v>
      </c>
      <c r="AD30" s="223"/>
      <c r="AE30" s="223">
        <f>AC30*$C$30</f>
        <v>16170.082880672457</v>
      </c>
      <c r="AF30" s="223"/>
      <c r="AG30" s="223">
        <f>AE30*$C$30</f>
        <v>16493.484538285906</v>
      </c>
    </row>
    <row r="31" spans="1:33" s="211" customFormat="1" ht="14" x14ac:dyDescent="0.3">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x14ac:dyDescent="0.3">
      <c r="A32" s="211" t="str">
        <f>Application!C894</f>
        <v>Issurance /Trust Fees</v>
      </c>
      <c r="C32" s="317">
        <v>1.03</v>
      </c>
      <c r="E32" s="223">
        <f>Application!AC894</f>
        <v>23000</v>
      </c>
      <c r="F32" s="223"/>
      <c r="G32" s="223">
        <f>E32*$C$32</f>
        <v>23690</v>
      </c>
      <c r="H32" s="223"/>
      <c r="I32" s="223">
        <f>G32*$C$32</f>
        <v>24400.7</v>
      </c>
      <c r="J32" s="223"/>
      <c r="K32" s="223">
        <f>I32*$C$32</f>
        <v>25132.721000000001</v>
      </c>
      <c r="L32" s="223"/>
      <c r="M32" s="223">
        <f>K32*$C$32</f>
        <v>25886.702630000003</v>
      </c>
      <c r="N32" s="223"/>
      <c r="O32" s="223">
        <f>M32*$C$32</f>
        <v>26663.303708900003</v>
      </c>
      <c r="P32" s="223"/>
      <c r="Q32" s="223">
        <f>O32*$C$32</f>
        <v>27463.202820167004</v>
      </c>
      <c r="R32" s="223"/>
      <c r="S32" s="223">
        <f>Q32*$C$32</f>
        <v>28287.098904772014</v>
      </c>
      <c r="T32" s="223"/>
      <c r="U32" s="223">
        <f>S32*$C$32</f>
        <v>29135.711871915177</v>
      </c>
      <c r="V32" s="223"/>
      <c r="W32" s="223">
        <f>U32*$C$32</f>
        <v>30009.783228072632</v>
      </c>
      <c r="X32" s="223"/>
      <c r="Y32" s="223">
        <f>W32*$C$32</f>
        <v>30910.076724914812</v>
      </c>
      <c r="Z32" s="223"/>
      <c r="AA32" s="223">
        <f>Y32*$C$32</f>
        <v>31837.379026662256</v>
      </c>
      <c r="AB32" s="223"/>
      <c r="AC32" s="223">
        <f>AA32*$C$32</f>
        <v>32792.500397462121</v>
      </c>
      <c r="AD32" s="223"/>
      <c r="AE32" s="223">
        <f>AC32*$C$32</f>
        <v>33776.275409385984</v>
      </c>
      <c r="AF32" s="223"/>
      <c r="AG32" s="223">
        <f>AE32*$C$32</f>
        <v>34789.563671667565</v>
      </c>
    </row>
    <row r="33" spans="1:33" s="211" customFormat="1" ht="14" x14ac:dyDescent="0.3">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x14ac:dyDescent="0.3">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x14ac:dyDescent="0.3">
      <c r="A35" s="224" t="s">
        <v>178</v>
      </c>
      <c r="C35" s="225"/>
      <c r="E35" s="224">
        <f>SUM(E22:E33)</f>
        <v>1020267</v>
      </c>
      <c r="G35" s="224">
        <f>SUM(G22:G33)</f>
        <v>1049872.51</v>
      </c>
      <c r="I35" s="224">
        <f>SUM(I22:I33)</f>
        <v>1080363.6853</v>
      </c>
      <c r="K35" s="224">
        <f>SUM(K22:K33)</f>
        <v>1111767.0458590002</v>
      </c>
      <c r="M35" s="224">
        <f>SUM(M22:M33)</f>
        <v>1144109.9062347703</v>
      </c>
      <c r="O35" s="224">
        <f>SUM(O22:O33)</f>
        <v>1177420.3994018135</v>
      </c>
      <c r="Q35" s="224">
        <f>SUM(Q22:Q33)</f>
        <v>1211727.5012834675</v>
      </c>
      <c r="S35" s="224">
        <f>SUM(S22:S33)</f>
        <v>1247061.0560195639</v>
      </c>
      <c r="U35" s="224">
        <f>SUM(U22:U33)</f>
        <v>1283451.8019916946</v>
      </c>
      <c r="W35" s="224">
        <f>SUM(W22:W33)</f>
        <v>1320931.39862882</v>
      </c>
      <c r="Y35" s="224">
        <f>SUM(Y22:Y33)</f>
        <v>1359532.454016607</v>
      </c>
      <c r="AA35" s="224">
        <f>SUM(AA22:AA33)</f>
        <v>1399288.5533346061</v>
      </c>
      <c r="AC35" s="224">
        <f>SUM(AC22:AC33)</f>
        <v>1440234.2881460949</v>
      </c>
      <c r="AE35" s="224">
        <f>SUM(AE22:AE33)</f>
        <v>1482405.2865661574</v>
      </c>
      <c r="AG35" s="224">
        <f>SUM(AG22:AG33)</f>
        <v>1525838.2443343352</v>
      </c>
    </row>
    <row r="36" spans="1:33" s="211" customFormat="1" ht="14" x14ac:dyDescent="0.3">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x14ac:dyDescent="0.3">
      <c r="A37" s="224" t="s">
        <v>848</v>
      </c>
      <c r="C37" s="225"/>
      <c r="E37" s="224">
        <f>E11-E35</f>
        <v>1209070.7999999998</v>
      </c>
      <c r="G37" s="224">
        <f>G11-G35</f>
        <v>1224092.345</v>
      </c>
      <c r="I37" s="224">
        <f>I11-I35</f>
        <v>1239121.773275</v>
      </c>
      <c r="K37" s="224">
        <f>K11-K35</f>
        <v>1254150.4610243752</v>
      </c>
      <c r="M37" s="224">
        <f>M11-M35</f>
        <v>1269169.3484015695</v>
      </c>
      <c r="O37" s="224">
        <f>O11-O35</f>
        <v>1284168.9228829325</v>
      </c>
      <c r="Q37" s="224">
        <f>Q11-Q35</f>
        <v>1299139.2020665447</v>
      </c>
      <c r="S37" s="224">
        <f>S11-S35</f>
        <v>1314069.7158825088</v>
      </c>
      <c r="U37" s="224">
        <f>U11-U35</f>
        <v>1328949.4881956074</v>
      </c>
      <c r="W37" s="224">
        <f>W11-W35</f>
        <v>1343767.0177805938</v>
      </c>
      <c r="Y37" s="224">
        <f>Y11-Y35</f>
        <v>1358510.2586498216</v>
      </c>
      <c r="AA37" s="224">
        <f>AA11-AA35</f>
        <v>1373166.5997121974</v>
      </c>
      <c r="AC37" s="224">
        <f>AC11-AC35</f>
        <v>1387722.8437418677</v>
      </c>
      <c r="AE37" s="224">
        <f>AE11-AE35</f>
        <v>1402165.1856342931</v>
      </c>
      <c r="AG37" s="224">
        <f>AG11-AG35</f>
        <v>1416479.1899267205</v>
      </c>
    </row>
    <row r="38" spans="1:33" s="211" customFormat="1" ht="14" x14ac:dyDescent="0.3">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x14ac:dyDescent="0.3">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x14ac:dyDescent="0.3">
      <c r="A40" s="226" t="str">
        <f>Application!C627</f>
        <v>Citibank</v>
      </c>
      <c r="B40" s="227"/>
      <c r="C40" s="221"/>
      <c r="E40" s="223">
        <f>Application!AF627</f>
        <v>1050848.1039282782</v>
      </c>
      <c r="F40" s="223"/>
      <c r="G40" s="223">
        <f>$E$40</f>
        <v>1050848.1039282782</v>
      </c>
      <c r="H40" s="223"/>
      <c r="I40" s="223">
        <f>$E$40</f>
        <v>1050848.1039282782</v>
      </c>
      <c r="J40" s="223"/>
      <c r="K40" s="223">
        <f>$E$40</f>
        <v>1050848.1039282782</v>
      </c>
      <c r="L40" s="223"/>
      <c r="M40" s="223">
        <f>$E$40</f>
        <v>1050848.1039282782</v>
      </c>
      <c r="N40" s="223"/>
      <c r="O40" s="223">
        <f>$E$40</f>
        <v>1050848.1039282782</v>
      </c>
      <c r="P40" s="223"/>
      <c r="Q40" s="223">
        <f>$E$40</f>
        <v>1050848.1039282782</v>
      </c>
      <c r="R40" s="223"/>
      <c r="S40" s="223">
        <f>$E$40</f>
        <v>1050848.1039282782</v>
      </c>
      <c r="T40" s="223"/>
      <c r="U40" s="223">
        <f>$E$40</f>
        <v>1050848.1039282782</v>
      </c>
      <c r="V40" s="223"/>
      <c r="W40" s="223">
        <f>$E$40</f>
        <v>1050848.1039282782</v>
      </c>
      <c r="X40" s="223"/>
      <c r="Y40" s="223">
        <f>$E$40</f>
        <v>1050848.1039282782</v>
      </c>
      <c r="Z40" s="223"/>
      <c r="AA40" s="223">
        <f>$E$40</f>
        <v>1050848.1039282782</v>
      </c>
      <c r="AB40" s="223"/>
      <c r="AC40" s="223">
        <f>$E$40</f>
        <v>1050848.1039282782</v>
      </c>
      <c r="AD40" s="223"/>
      <c r="AE40" s="223">
        <f>$E$40</f>
        <v>1050848.1039282782</v>
      </c>
      <c r="AF40" s="223"/>
      <c r="AG40" s="223">
        <f>$E$40</f>
        <v>1050848.1039282782</v>
      </c>
    </row>
    <row r="41" spans="1:33" s="211" customFormat="1" ht="14" x14ac:dyDescent="0.3">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x14ac:dyDescent="0.3">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x14ac:dyDescent="0.3">
      <c r="A43" s="224" t="s">
        <v>849</v>
      </c>
      <c r="C43" s="225"/>
      <c r="E43" s="224">
        <f>SUM(E40:E42)</f>
        <v>1050848.1039282782</v>
      </c>
      <c r="G43" s="224">
        <f>SUM(G40:G42)</f>
        <v>1050848.1039282782</v>
      </c>
      <c r="I43" s="224">
        <f>SUM(I40:I42)</f>
        <v>1050848.1039282782</v>
      </c>
      <c r="K43" s="224">
        <f>SUM(K40:K42)</f>
        <v>1050848.1039282782</v>
      </c>
      <c r="M43" s="224">
        <f>SUM(M40:M42)</f>
        <v>1050848.1039282782</v>
      </c>
      <c r="O43" s="224">
        <f>SUM(O40:O42)</f>
        <v>1050848.1039282782</v>
      </c>
      <c r="Q43" s="224">
        <f>SUM(Q40:Q42)</f>
        <v>1050848.1039282782</v>
      </c>
      <c r="S43" s="224">
        <f>SUM(S40:S42)</f>
        <v>1050848.1039282782</v>
      </c>
      <c r="U43" s="224">
        <f>SUM(U40:U42)</f>
        <v>1050848.1039282782</v>
      </c>
      <c r="W43" s="224">
        <f>SUM(W40:W42)</f>
        <v>1050848.1039282782</v>
      </c>
      <c r="Y43" s="224">
        <f>SUM(Y40:Y42)</f>
        <v>1050848.1039282782</v>
      </c>
      <c r="AA43" s="224">
        <f>SUM(AA40:AA42)</f>
        <v>1050848.1039282782</v>
      </c>
      <c r="AC43" s="224">
        <f>SUM(AC40:AC42)</f>
        <v>1050848.1039282782</v>
      </c>
      <c r="AE43" s="224">
        <f>SUM(AE40:AE42)</f>
        <v>1050848.1039282782</v>
      </c>
      <c r="AG43" s="224">
        <f>SUM(AG40:AG42)</f>
        <v>1050848.1039282782</v>
      </c>
    </row>
    <row r="44" spans="1:33" s="211" customFormat="1" ht="14" x14ac:dyDescent="0.3">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x14ac:dyDescent="0.3">
      <c r="A45" s="224" t="s">
        <v>850</v>
      </c>
      <c r="C45" s="225"/>
      <c r="E45" s="224">
        <f>E37-E43</f>
        <v>158222.69607172161</v>
      </c>
      <c r="G45" s="224">
        <f>G37-G43</f>
        <v>173244.24107172177</v>
      </c>
      <c r="I45" s="224">
        <f>I37-I43</f>
        <v>188273.66934672184</v>
      </c>
      <c r="K45" s="224">
        <f>K37-K43</f>
        <v>203302.35709609697</v>
      </c>
      <c r="M45" s="224">
        <f>M37-M43</f>
        <v>218321.24447329133</v>
      </c>
      <c r="O45" s="224">
        <f>O37-O43</f>
        <v>233320.81895465427</v>
      </c>
      <c r="Q45" s="224">
        <f>Q37-Q43</f>
        <v>248291.09813826648</v>
      </c>
      <c r="S45" s="224">
        <f>S37-S43</f>
        <v>263221.61195423058</v>
      </c>
      <c r="U45" s="224">
        <f>U37-U43</f>
        <v>278101.38426732924</v>
      </c>
      <c r="W45" s="224">
        <f>W37-W43</f>
        <v>292918.91385231563</v>
      </c>
      <c r="Y45" s="224">
        <f>Y37-Y43</f>
        <v>307662.15472154343</v>
      </c>
      <c r="AA45" s="224">
        <f>AA37-AA43</f>
        <v>322318.49578391924</v>
      </c>
      <c r="AC45" s="224">
        <f>AC37-AC43</f>
        <v>336874.73981358949</v>
      </c>
      <c r="AE45" s="224">
        <f>AE37-AE43</f>
        <v>351317.08170601493</v>
      </c>
      <c r="AG45" s="224">
        <f>AG37-AG43</f>
        <v>365631.08599844226</v>
      </c>
    </row>
    <row r="46" spans="1:33" s="211" customFormat="1" ht="14" x14ac:dyDescent="0.3">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x14ac:dyDescent="0.3">
      <c r="A47" s="228" t="s">
        <v>852</v>
      </c>
      <c r="C47" s="221"/>
      <c r="E47" s="228">
        <f>E45/(E4+E6+E8)</f>
        <v>6.5295046736508974E-2</v>
      </c>
      <c r="G47" s="228">
        <f>G45/(G4+G6+G8)</f>
        <v>7.0091061641233771E-2</v>
      </c>
      <c r="I47" s="228">
        <f>I45/(I4+I6+I8)</f>
        <v>7.4676809770161001E-2</v>
      </c>
      <c r="K47" s="228">
        <f>K45/(K4+K6+K8)</f>
        <v>7.9055280720299853E-2</v>
      </c>
      <c r="M47" s="228">
        <f>M45/(M4+M6+M8)</f>
        <v>8.3229394369504092E-2</v>
      </c>
      <c r="O47" s="228">
        <f>O45/(O4+O6+O8)</f>
        <v>8.7202002136057541E-2</v>
      </c>
      <c r="Q47" s="228">
        <f>Q45/(Q4+Q6+Q8)</f>
        <v>9.0975888212510653E-2</v>
      </c>
      <c r="S47" s="228">
        <f>S45/(S4+S6+S8)</f>
        <v>9.4553770774261969E-2</v>
      </c>
      <c r="U47" s="228">
        <f>U45/(U4+U6+U8)</f>
        <v>9.793830316337368E-2</v>
      </c>
      <c r="W47" s="228">
        <f>W45/(W4+W6+W8)</f>
        <v>0.10113207504808766</v>
      </c>
      <c r="Y47" s="228">
        <f>Y45/(Y4+Y6+Y8)</f>
        <v>0.10413761355852186</v>
      </c>
      <c r="AA47" s="228">
        <f>AA45/(AA4+AA6+AA8)</f>
        <v>0.10695738439898797</v>
      </c>
      <c r="AC47" s="228">
        <f>AC45/(AC4+AC6+AC8)</f>
        <v>0.10959379293739267</v>
      </c>
      <c r="AE47" s="228">
        <f>AE45/(AE4+AE6+AE8)</f>
        <v>0.1120491852721499</v>
      </c>
      <c r="AG47" s="228">
        <f>AG45/(AG4+AG6+AG8)</f>
        <v>0.1143258492770419</v>
      </c>
    </row>
    <row r="48" spans="1:33" s="228" customFormat="1" ht="14" x14ac:dyDescent="0.3">
      <c r="A48" s="228" t="s">
        <v>853</v>
      </c>
      <c r="C48" s="221"/>
      <c r="E48" s="228">
        <f>E45/E43</f>
        <v>0.15056666656223089</v>
      </c>
      <c r="G48" s="228">
        <f>G45/G43</f>
        <v>0.16486135381897773</v>
      </c>
      <c r="I48" s="228">
        <f>I45/I43</f>
        <v>0.17916354289732037</v>
      </c>
      <c r="K48" s="228">
        <f>K45/K43</f>
        <v>0.19346502728235651</v>
      </c>
      <c r="M48" s="228">
        <f>M45/M43</f>
        <v>0.20775718551250491</v>
      </c>
      <c r="O48" s="228">
        <f>O45/O43</f>
        <v>0.2220309653530847</v>
      </c>
      <c r="Q48" s="228">
        <f>Q45/Q43</f>
        <v>0.23627686742746665</v>
      </c>
      <c r="S48" s="228">
        <f>S45/S43</f>
        <v>0.2504849282881666</v>
      </c>
      <c r="U48" s="228">
        <f>U45/U43</f>
        <v>0.2646447029097081</v>
      </c>
      <c r="W48" s="228">
        <f>W45/W43</f>
        <v>0.27874524658447475</v>
      </c>
      <c r="Y48" s="228">
        <f>Y45/Y43</f>
        <v>0.29277509620224024</v>
      </c>
      <c r="AA48" s="228">
        <f>AA45/AA43</f>
        <v>0.30672225089337735</v>
      </c>
      <c r="AC48" s="228">
        <f>AC45/AC43</f>
        <v>0.3205741520152009</v>
      </c>
      <c r="AE48" s="228">
        <f>AE45/AE43</f>
        <v>0.33431766246018063</v>
      </c>
      <c r="AG48" s="228">
        <f>AG45/AG43</f>
        <v>0.3479390452641451</v>
      </c>
    </row>
    <row r="49" spans="1:34" s="229" customFormat="1" ht="14" x14ac:dyDescent="0.3">
      <c r="A49" s="229" t="s">
        <v>851</v>
      </c>
      <c r="C49" s="230"/>
      <c r="E49" s="229">
        <f>E37/E43</f>
        <v>1.1505666665622309</v>
      </c>
      <c r="G49" s="229">
        <f>G37/G43</f>
        <v>1.1648613538189778</v>
      </c>
      <c r="I49" s="229">
        <f>I37/I43</f>
        <v>1.1791635428973204</v>
      </c>
      <c r="K49" s="229">
        <f>K37/K43</f>
        <v>1.1934650272823566</v>
      </c>
      <c r="M49" s="229">
        <f>M37/M43</f>
        <v>1.2077571855125049</v>
      </c>
      <c r="O49" s="229">
        <f>O37/O43</f>
        <v>1.2220309653530848</v>
      </c>
      <c r="Q49" s="229">
        <f>Q37/Q43</f>
        <v>1.2362768674274667</v>
      </c>
      <c r="S49" s="229">
        <f>S37/S43</f>
        <v>1.2504849282881665</v>
      </c>
      <c r="U49" s="229">
        <f>U37/U43</f>
        <v>1.2646447029097081</v>
      </c>
      <c r="W49" s="229">
        <f>W37/W43</f>
        <v>1.2787452465844746</v>
      </c>
      <c r="Y49" s="229">
        <f>Y37/Y43</f>
        <v>1.2927750962022402</v>
      </c>
      <c r="AA49" s="229">
        <f>AA37/AA43</f>
        <v>1.3067222508933773</v>
      </c>
      <c r="AC49" s="229">
        <f>AC37/AC43</f>
        <v>1.320574152015201</v>
      </c>
      <c r="AE49" s="229">
        <f>AE37/AE43</f>
        <v>1.3343176624601807</v>
      </c>
      <c r="AG49" s="229">
        <f>AG37/AG43</f>
        <v>1.3479390452641451</v>
      </c>
    </row>
    <row r="50" spans="1:34" s="211" customFormat="1" ht="14" x14ac:dyDescent="0.3">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x14ac:dyDescent="0.25">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x14ac:dyDescent="0.25">
      <c r="A52" s="2691" t="s">
        <v>2760</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x14ac:dyDescent="0.25">
      <c r="A53" s="963" t="s">
        <v>855</v>
      </c>
      <c r="C53" s="964">
        <v>1.03</v>
      </c>
      <c r="E53" s="965">
        <v>0</v>
      </c>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x14ac:dyDescent="0.25">
      <c r="A54" s="3" t="s">
        <v>856</v>
      </c>
      <c r="C54" s="959"/>
      <c r="E54" s="966">
        <v>0</v>
      </c>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x14ac:dyDescent="0.25">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x14ac:dyDescent="0.25">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x14ac:dyDescent="0.25">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x14ac:dyDescent="0.25">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x14ac:dyDescent="0.25">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x14ac:dyDescent="0.25">
      <c r="A60" s="963" t="s">
        <v>859</v>
      </c>
      <c r="C60" s="970"/>
      <c r="E60" s="963">
        <f>E45-E58</f>
        <v>158222.69607172161</v>
      </c>
      <c r="G60" s="963">
        <f>G45-G58</f>
        <v>173244.24107172177</v>
      </c>
      <c r="I60" s="963">
        <f>I45-I58</f>
        <v>188273.66934672184</v>
      </c>
      <c r="K60" s="963">
        <f>K45-K58</f>
        <v>203302.35709609697</v>
      </c>
      <c r="M60" s="963">
        <f>M45-M58</f>
        <v>218321.24447329133</v>
      </c>
      <c r="O60" s="963">
        <f>O45-O58</f>
        <v>233320.81895465427</v>
      </c>
      <c r="Q60" s="963">
        <f>Q45-Q58</f>
        <v>248291.09813826648</v>
      </c>
      <c r="S60" s="963">
        <f>S45-S58</f>
        <v>263221.61195423058</v>
      </c>
      <c r="U60" s="963">
        <f>U45-U58</f>
        <v>278101.38426732924</v>
      </c>
      <c r="W60" s="963">
        <f>W45-W58</f>
        <v>292918.91385231563</v>
      </c>
      <c r="Y60" s="963">
        <f>Y45-Y58</f>
        <v>307662.15472154343</v>
      </c>
      <c r="AA60" s="963">
        <f>AA45-AA58</f>
        <v>322318.49578391924</v>
      </c>
      <c r="AC60" s="963">
        <f>AC45-AC58</f>
        <v>336874.73981358949</v>
      </c>
      <c r="AE60" s="963">
        <f>AE45-AE58</f>
        <v>351317.08170601493</v>
      </c>
      <c r="AG60" s="963">
        <f>AG45-AG58</f>
        <v>365631.08599844226</v>
      </c>
    </row>
    <row r="61" spans="1:34" s="3" customFormat="1" ht="8.25" customHeight="1" x14ac:dyDescent="0.25">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x14ac:dyDescent="0.25">
      <c r="A62" s="963" t="s">
        <v>858</v>
      </c>
      <c r="C62" s="960">
        <v>1</v>
      </c>
      <c r="E62" s="965">
        <f>E60*$C$62</f>
        <v>158222.69607172161</v>
      </c>
      <c r="G62" s="963">
        <f>G60*$C$62</f>
        <v>173244.24107172177</v>
      </c>
      <c r="I62" s="963">
        <f>I60*$C$62</f>
        <v>188273.66934672184</v>
      </c>
      <c r="K62" s="963">
        <f>K60*$C$62</f>
        <v>203302.35709609697</v>
      </c>
      <c r="M62" s="963">
        <f>M60*$C$62</f>
        <v>218321.24447329133</v>
      </c>
      <c r="O62" s="963">
        <f>O60*$C$62</f>
        <v>233320.81895465427</v>
      </c>
      <c r="Q62" s="963">
        <f>Q60*$C$62</f>
        <v>248291.09813826648</v>
      </c>
      <c r="S62" s="963">
        <f>S60*$C$62</f>
        <v>263221.61195423058</v>
      </c>
      <c r="U62" s="963">
        <f>U60*$C$62</f>
        <v>278101.38426732924</v>
      </c>
      <c r="W62" s="963">
        <f>W60*$C$62</f>
        <v>292918.91385231563</v>
      </c>
      <c r="Y62" s="963">
        <f>Y60*$C$62</f>
        <v>307662.15472154343</v>
      </c>
      <c r="AA62" s="963">
        <f>AA60*$C$62</f>
        <v>322318.49578391924</v>
      </c>
      <c r="AC62" s="963">
        <f>AC60*$C$62</f>
        <v>336874.73981358949</v>
      </c>
      <c r="AE62" s="963">
        <f>AE60*$C$62</f>
        <v>351317.08170601493</v>
      </c>
      <c r="AG62" s="963">
        <f>AG60*$C$62</f>
        <v>365631.08599844226</v>
      </c>
    </row>
    <row r="63" spans="1:34" s="963" customFormat="1" x14ac:dyDescent="0.25">
      <c r="A63" s="2691" t="s">
        <v>2760</v>
      </c>
      <c r="B63" s="2691"/>
      <c r="C63" s="2691"/>
    </row>
    <row r="64" spans="1:34" s="3" customFormat="1" ht="8.25" customHeight="1" x14ac:dyDescent="0.25">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x14ac:dyDescent="0.25">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x14ac:dyDescent="0.25">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x14ac:dyDescent="0.25">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x14ac:dyDescent="0.25">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x14ac:dyDescent="0.25">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x14ac:dyDescent="0.25">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x14ac:dyDescent="0.25">
      <c r="A71" s="963"/>
      <c r="C71" s="971"/>
    </row>
    <row r="72" spans="1:34" s="961" customFormat="1" x14ac:dyDescent="0.25">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x14ac:dyDescent="0.3">
      <c r="A73" s="530"/>
      <c r="C73" s="971"/>
    </row>
    <row r="74" spans="1:34" s="218" customFormat="1" ht="13" x14ac:dyDescent="0.3">
      <c r="A74" s="530"/>
      <c r="C74" s="183"/>
    </row>
    <row r="75" spans="1:34" s="218" customFormat="1" x14ac:dyDescent="0.25">
      <c r="A75" s="961" t="s">
        <v>1723</v>
      </c>
      <c r="C75" s="183"/>
    </row>
    <row r="76" spans="1:34" s="218" customFormat="1" x14ac:dyDescent="0.25">
      <c r="C76" s="183"/>
    </row>
    <row r="77" spans="1:34" s="235" customFormat="1" ht="30" customHeight="1" x14ac:dyDescent="0.25">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x14ac:dyDescent="0.25"/>
  <cols>
    <col min="1" max="1" width="161.6328125" customWidth="1"/>
    <col min="2" max="16384" width="8.90625" hidden="1"/>
  </cols>
  <sheetData>
    <row r="1" spans="1:1" ht="46.5" x14ac:dyDescent="0.25">
      <c r="A1" s="314" t="s">
        <v>972</v>
      </c>
    </row>
    <row r="2" spans="1:1" ht="15.5" x14ac:dyDescent="0.25">
      <c r="A2" s="315"/>
    </row>
    <row r="3" spans="1:1" ht="15.5" x14ac:dyDescent="0.25">
      <c r="A3" s="316" t="s">
        <v>967</v>
      </c>
    </row>
    <row r="4" spans="1:1" ht="15.5" x14ac:dyDescent="0.25">
      <c r="A4" s="316" t="s">
        <v>968</v>
      </c>
    </row>
    <row r="5" spans="1:1" ht="15.5" x14ac:dyDescent="0.25">
      <c r="A5" s="316" t="s">
        <v>969</v>
      </c>
    </row>
    <row r="6" spans="1:1" ht="15.5" x14ac:dyDescent="0.25">
      <c r="A6" s="316" t="s">
        <v>971</v>
      </c>
    </row>
    <row r="7" spans="1:1" ht="15.5" x14ac:dyDescent="0.25">
      <c r="A7" s="316" t="s">
        <v>970</v>
      </c>
    </row>
    <row r="8" spans="1:1" ht="15.5" x14ac:dyDescent="0.35">
      <c r="A8" s="347" t="s">
        <v>1025</v>
      </c>
    </row>
    <row r="9" spans="1:1" ht="15.5" x14ac:dyDescent="0.2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08984375" defaultRowHeight="12.5" zeroHeight="1" x14ac:dyDescent="0.25"/>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x14ac:dyDescent="0.25">
      <c r="A1" s="514" t="s">
        <v>1218</v>
      </c>
      <c r="D1" s="281"/>
    </row>
    <row r="2" spans="1:6" s="276" customFormat="1" ht="13" x14ac:dyDescent="0.25">
      <c r="A2" s="260" t="s">
        <v>890</v>
      </c>
      <c r="B2" s="262"/>
      <c r="C2" s="262"/>
      <c r="D2" s="259"/>
      <c r="E2" s="263"/>
      <c r="F2" s="262"/>
    </row>
    <row r="3" spans="1:6" s="352" customFormat="1" ht="80.25" customHeight="1" x14ac:dyDescent="0.3">
      <c r="A3" s="278"/>
      <c r="B3" s="264" t="s">
        <v>891</v>
      </c>
      <c r="C3" s="264" t="s">
        <v>892</v>
      </c>
      <c r="D3" s="264" t="s">
        <v>893</v>
      </c>
      <c r="E3" s="261" t="s">
        <v>894</v>
      </c>
      <c r="F3" s="261"/>
    </row>
    <row r="4" spans="1:6" s="353" customFormat="1" ht="13" x14ac:dyDescent="0.25">
      <c r="A4" s="265" t="s">
        <v>26</v>
      </c>
      <c r="B4" s="265"/>
      <c r="C4" s="265"/>
      <c r="D4" s="265"/>
      <c r="E4" s="283"/>
      <c r="F4" s="265"/>
    </row>
    <row r="5" spans="1:6" s="353" customFormat="1" x14ac:dyDescent="0.25">
      <c r="A5" s="365" t="s">
        <v>27</v>
      </c>
      <c r="B5" s="267">
        <f>'Sources and Uses Budget'!$C4</f>
        <v>1</v>
      </c>
      <c r="C5" s="267">
        <f>'Sources and Uses Budget'!$C4</f>
        <v>1</v>
      </c>
      <c r="D5" s="271">
        <f>C5-B5</f>
        <v>0</v>
      </c>
      <c r="E5" s="269"/>
      <c r="F5" s="268"/>
    </row>
    <row r="6" spans="1:6" s="353" customFormat="1" x14ac:dyDescent="0.25">
      <c r="A6" s="365" t="s">
        <v>28</v>
      </c>
      <c r="B6" s="267">
        <f>'Sources and Uses Budget'!$C5</f>
        <v>325000</v>
      </c>
      <c r="C6" s="267">
        <f>'Sources and Uses Budget'!$C5</f>
        <v>325000</v>
      </c>
      <c r="D6" s="271">
        <f t="shared" ref="D6:D77" si="0">C6-B6</f>
        <v>0</v>
      </c>
      <c r="E6" s="269"/>
      <c r="F6" s="268"/>
    </row>
    <row r="7" spans="1:6" s="353" customFormat="1" x14ac:dyDescent="0.25">
      <c r="A7" s="365" t="s">
        <v>29</v>
      </c>
      <c r="B7" s="267">
        <f>'Sources and Uses Budget'!$C6</f>
        <v>0</v>
      </c>
      <c r="C7" s="267">
        <f>'Sources and Uses Budget'!$C6</f>
        <v>0</v>
      </c>
      <c r="D7" s="271">
        <f t="shared" si="0"/>
        <v>0</v>
      </c>
      <c r="E7" s="269"/>
      <c r="F7" s="268"/>
    </row>
    <row r="8" spans="1:6" s="353" customFormat="1" x14ac:dyDescent="0.25">
      <c r="A8" s="365" t="s">
        <v>97</v>
      </c>
      <c r="B8" s="267">
        <f>'Sources and Uses Budget'!$C7</f>
        <v>0</v>
      </c>
      <c r="C8" s="267">
        <f>'Sources and Uses Budget'!$C7</f>
        <v>0</v>
      </c>
      <c r="D8" s="271">
        <f t="shared" si="0"/>
        <v>0</v>
      </c>
      <c r="E8" s="269"/>
      <c r="F8" s="268"/>
    </row>
    <row r="9" spans="1:6" s="353" customFormat="1" x14ac:dyDescent="0.25">
      <c r="A9" s="366" t="s">
        <v>594</v>
      </c>
      <c r="B9" s="271">
        <f>SUM(B5:B8)</f>
        <v>325001</v>
      </c>
      <c r="C9" s="271">
        <f>SUM(C5:C8)</f>
        <v>325001</v>
      </c>
      <c r="D9" s="271">
        <f t="shared" si="0"/>
        <v>0</v>
      </c>
      <c r="E9" s="269"/>
      <c r="F9" s="268"/>
    </row>
    <row r="10" spans="1:6" s="353" customFormat="1" x14ac:dyDescent="0.25">
      <c r="A10" s="365" t="s">
        <v>595</v>
      </c>
      <c r="B10" s="267">
        <f>'Sources and Uses Budget'!$C9</f>
        <v>0</v>
      </c>
      <c r="C10" s="267">
        <f>'Sources and Uses Budget'!$C9</f>
        <v>0</v>
      </c>
      <c r="D10" s="271">
        <f t="shared" si="0"/>
        <v>0</v>
      </c>
      <c r="E10" s="269"/>
      <c r="F10" s="268"/>
    </row>
    <row r="11" spans="1:6" s="353" customFormat="1" x14ac:dyDescent="0.25">
      <c r="A11" s="365" t="s">
        <v>596</v>
      </c>
      <c r="B11" s="267">
        <f>'Sources and Uses Budget'!$C10</f>
        <v>0</v>
      </c>
      <c r="C11" s="267">
        <f>'Sources and Uses Budget'!$C10</f>
        <v>0</v>
      </c>
      <c r="D11" s="271">
        <f t="shared" si="0"/>
        <v>0</v>
      </c>
      <c r="E11" s="269"/>
      <c r="F11" s="268"/>
    </row>
    <row r="12" spans="1:6" s="353" customFormat="1" x14ac:dyDescent="0.25">
      <c r="A12" s="366" t="s">
        <v>597</v>
      </c>
      <c r="B12" s="271">
        <f>SUM(B10:B11)</f>
        <v>0</v>
      </c>
      <c r="C12" s="271">
        <f>SUM(C10:C11)</f>
        <v>0</v>
      </c>
      <c r="D12" s="271">
        <f t="shared" si="0"/>
        <v>0</v>
      </c>
      <c r="E12" s="269"/>
      <c r="F12" s="268"/>
    </row>
    <row r="13" spans="1:6" s="353" customFormat="1" x14ac:dyDescent="0.25">
      <c r="A13" s="366" t="s">
        <v>84</v>
      </c>
      <c r="B13" s="271">
        <f>SUM(B9+B12)</f>
        <v>325001</v>
      </c>
      <c r="C13" s="271">
        <f>SUM(C9+C12)</f>
        <v>325001</v>
      </c>
      <c r="D13" s="271">
        <f t="shared" si="0"/>
        <v>0</v>
      </c>
      <c r="E13" s="269"/>
      <c r="F13" s="268"/>
    </row>
    <row r="14" spans="1:6" s="353" customFormat="1" x14ac:dyDescent="0.25">
      <c r="A14" s="367" t="s">
        <v>903</v>
      </c>
      <c r="B14" s="267">
        <f>'Sources and Uses Budget'!$C13</f>
        <v>0</v>
      </c>
      <c r="C14" s="267">
        <f>'Sources and Uses Budget'!$C13</f>
        <v>0</v>
      </c>
      <c r="D14" s="271">
        <f t="shared" si="0"/>
        <v>0</v>
      </c>
      <c r="E14" s="269"/>
      <c r="F14" s="268"/>
    </row>
    <row r="15" spans="1:6" s="353" customFormat="1" ht="23" x14ac:dyDescent="0.25">
      <c r="A15" s="365" t="s">
        <v>904</v>
      </c>
      <c r="B15" s="267">
        <f>'Sources and Uses Budget'!$C14</f>
        <v>0</v>
      </c>
      <c r="C15" s="267">
        <f>'Sources and Uses Budget'!$C14</f>
        <v>0</v>
      </c>
      <c r="D15" s="271">
        <f t="shared" si="0"/>
        <v>0</v>
      </c>
      <c r="E15" s="269"/>
      <c r="F15" s="268"/>
    </row>
    <row r="16" spans="1:6" s="353" customFormat="1" x14ac:dyDescent="0.25">
      <c r="A16" s="365" t="s">
        <v>1162</v>
      </c>
      <c r="B16" s="267">
        <f>'Sources and Uses Budget'!$C15</f>
        <v>0</v>
      </c>
      <c r="C16" s="267">
        <f>'Sources and Uses Budget'!$C15</f>
        <v>0</v>
      </c>
      <c r="D16" s="271">
        <f t="shared" si="0"/>
        <v>0</v>
      </c>
      <c r="E16" s="269"/>
      <c r="F16" s="268"/>
    </row>
    <row r="17" spans="1:6" s="353" customFormat="1" ht="13" x14ac:dyDescent="0.25">
      <c r="A17" s="265" t="s">
        <v>598</v>
      </c>
      <c r="B17" s="265"/>
      <c r="C17" s="265"/>
      <c r="D17" s="265"/>
      <c r="E17" s="283"/>
      <c r="F17" s="265"/>
    </row>
    <row r="18" spans="1:6" s="353" customFormat="1" x14ac:dyDescent="0.25">
      <c r="A18" s="145" t="s">
        <v>599</v>
      </c>
      <c r="B18" s="267">
        <f>'Sources and Uses Budget'!$C17</f>
        <v>0</v>
      </c>
      <c r="C18" s="267">
        <f>'Sources and Uses Budget'!$C17</f>
        <v>0</v>
      </c>
      <c r="D18" s="271">
        <f t="shared" si="0"/>
        <v>0</v>
      </c>
      <c r="E18" s="269"/>
      <c r="F18" s="268"/>
    </row>
    <row r="19" spans="1:6" s="353" customFormat="1" x14ac:dyDescent="0.25">
      <c r="A19" s="145" t="s">
        <v>600</v>
      </c>
      <c r="B19" s="267">
        <f>'Sources and Uses Budget'!$C18</f>
        <v>0</v>
      </c>
      <c r="C19" s="267">
        <f>'Sources and Uses Budget'!$C18</f>
        <v>0</v>
      </c>
      <c r="D19" s="271">
        <f t="shared" si="0"/>
        <v>0</v>
      </c>
      <c r="E19" s="269"/>
      <c r="F19" s="268"/>
    </row>
    <row r="20" spans="1:6" s="353" customFormat="1" x14ac:dyDescent="0.25">
      <c r="A20" s="145" t="s">
        <v>601</v>
      </c>
      <c r="B20" s="267">
        <f>'Sources and Uses Budget'!$C19</f>
        <v>0</v>
      </c>
      <c r="C20" s="267">
        <f>'Sources and Uses Budget'!$C19</f>
        <v>0</v>
      </c>
      <c r="D20" s="271">
        <f t="shared" si="0"/>
        <v>0</v>
      </c>
      <c r="E20" s="269"/>
      <c r="F20" s="268"/>
    </row>
    <row r="21" spans="1:6" s="353" customFormat="1" x14ac:dyDescent="0.25">
      <c r="A21" s="145" t="s">
        <v>137</v>
      </c>
      <c r="B21" s="267">
        <f>'Sources and Uses Budget'!$C20</f>
        <v>0</v>
      </c>
      <c r="C21" s="267">
        <f>'Sources and Uses Budget'!$C20</f>
        <v>0</v>
      </c>
      <c r="D21" s="271">
        <f t="shared" si="0"/>
        <v>0</v>
      </c>
      <c r="E21" s="269"/>
      <c r="F21" s="268"/>
    </row>
    <row r="22" spans="1:6" s="353" customFormat="1" x14ac:dyDescent="0.25">
      <c r="A22" s="145" t="s">
        <v>138</v>
      </c>
      <c r="B22" s="267">
        <f>'Sources and Uses Budget'!$C21</f>
        <v>0</v>
      </c>
      <c r="C22" s="267">
        <f>'Sources and Uses Budget'!$C21</f>
        <v>0</v>
      </c>
      <c r="D22" s="271">
        <f t="shared" si="0"/>
        <v>0</v>
      </c>
      <c r="E22" s="269"/>
      <c r="F22" s="268"/>
    </row>
    <row r="23" spans="1:6" s="353" customFormat="1" x14ac:dyDescent="0.25">
      <c r="A23" s="145" t="s">
        <v>139</v>
      </c>
      <c r="B23" s="267">
        <f>'Sources and Uses Budget'!$C22</f>
        <v>0</v>
      </c>
      <c r="C23" s="267">
        <f>'Sources and Uses Budget'!$C22</f>
        <v>0</v>
      </c>
      <c r="D23" s="271">
        <f t="shared" si="0"/>
        <v>0</v>
      </c>
      <c r="E23" s="269"/>
      <c r="F23" s="268"/>
    </row>
    <row r="24" spans="1:6" s="353" customFormat="1" x14ac:dyDescent="0.25">
      <c r="A24" s="145" t="s">
        <v>140</v>
      </c>
      <c r="B24" s="267">
        <f>'Sources and Uses Budget'!$C23</f>
        <v>0</v>
      </c>
      <c r="C24" s="267">
        <f>'Sources and Uses Budget'!$C23</f>
        <v>0</v>
      </c>
      <c r="D24" s="271">
        <f t="shared" si="0"/>
        <v>0</v>
      </c>
      <c r="E24" s="269"/>
      <c r="F24" s="268"/>
    </row>
    <row r="25" spans="1:6" s="353" customFormat="1" x14ac:dyDescent="0.25">
      <c r="A25" s="509" t="s">
        <v>1641</v>
      </c>
      <c r="B25" s="267">
        <f>'Sources and Uses Budget'!$C24</f>
        <v>0</v>
      </c>
      <c r="C25" s="267">
        <f>'Sources and Uses Budget'!$C24</f>
        <v>0</v>
      </c>
      <c r="D25" s="271">
        <f t="shared" si="0"/>
        <v>0</v>
      </c>
      <c r="E25" s="269"/>
      <c r="F25" s="268"/>
    </row>
    <row r="26" spans="1:6" s="353" customFormat="1" x14ac:dyDescent="0.25">
      <c r="A26" s="155" t="str">
        <f>'Sources and Uses Budget'!A25</f>
        <v>Other: (Specify)</v>
      </c>
      <c r="B26" s="267">
        <f>'Sources and Uses Budget'!$C25</f>
        <v>0</v>
      </c>
      <c r="C26" s="267">
        <f>'Sources and Uses Budget'!$C25</f>
        <v>0</v>
      </c>
      <c r="D26" s="271">
        <f t="shared" si="0"/>
        <v>0</v>
      </c>
      <c r="E26" s="269"/>
      <c r="F26" s="268"/>
    </row>
    <row r="27" spans="1:6" s="353" customFormat="1" ht="13" x14ac:dyDescent="0.25">
      <c r="A27" s="1019" t="s">
        <v>133</v>
      </c>
      <c r="B27" s="271">
        <f>SUM(B18:B26)</f>
        <v>0</v>
      </c>
      <c r="C27" s="271">
        <f>SUM(C18:C26)</f>
        <v>0</v>
      </c>
      <c r="D27" s="271">
        <f>SUM(D18:D26)</f>
        <v>0</v>
      </c>
      <c r="E27" s="269"/>
      <c r="F27" s="268"/>
    </row>
    <row r="28" spans="1:6" s="353" customFormat="1" ht="13" x14ac:dyDescent="0.25">
      <c r="A28" s="272" t="s">
        <v>141</v>
      </c>
      <c r="B28" s="267">
        <f>'Sources and Uses Budget'!$C$27</f>
        <v>0</v>
      </c>
      <c r="C28" s="267">
        <f>'Sources and Uses Budget'!$C$27</f>
        <v>0</v>
      </c>
      <c r="D28" s="271">
        <f t="shared" si="0"/>
        <v>0</v>
      </c>
      <c r="E28" s="269"/>
      <c r="F28" s="268"/>
    </row>
    <row r="29" spans="1:6" s="353" customFormat="1" ht="13" x14ac:dyDescent="0.25">
      <c r="A29" s="265" t="s">
        <v>142</v>
      </c>
      <c r="B29" s="265"/>
      <c r="C29" s="265"/>
      <c r="D29" s="265"/>
      <c r="E29" s="283"/>
      <c r="F29" s="265"/>
    </row>
    <row r="30" spans="1:6" s="353" customFormat="1" x14ac:dyDescent="0.25">
      <c r="A30" s="145" t="s">
        <v>599</v>
      </c>
      <c r="B30" s="267">
        <f>'Sources and Uses Budget'!$C29</f>
        <v>4553706</v>
      </c>
      <c r="C30" s="267">
        <f>'Sources and Uses Budget'!$C29</f>
        <v>4553706</v>
      </c>
      <c r="D30" s="271">
        <f t="shared" si="0"/>
        <v>0</v>
      </c>
      <c r="E30" s="269"/>
      <c r="F30" s="268"/>
    </row>
    <row r="31" spans="1:6" s="353" customFormat="1" x14ac:dyDescent="0.25">
      <c r="A31" s="145" t="s">
        <v>600</v>
      </c>
      <c r="B31" s="267">
        <f>'Sources and Uses Budget'!$C30</f>
        <v>35552850</v>
      </c>
      <c r="C31" s="267">
        <f>'Sources and Uses Budget'!$C30</f>
        <v>35552850</v>
      </c>
      <c r="D31" s="271">
        <f t="shared" si="0"/>
        <v>0</v>
      </c>
      <c r="E31" s="269"/>
      <c r="F31" s="268"/>
    </row>
    <row r="32" spans="1:6" s="353" customFormat="1" x14ac:dyDescent="0.25">
      <c r="A32" s="145" t="s">
        <v>601</v>
      </c>
      <c r="B32" s="267">
        <f>'Sources and Uses Budget'!$C31</f>
        <v>1630262</v>
      </c>
      <c r="C32" s="267">
        <f>'Sources and Uses Budget'!$C31</f>
        <v>1630262</v>
      </c>
      <c r="D32" s="271">
        <f t="shared" si="0"/>
        <v>0</v>
      </c>
      <c r="E32" s="269"/>
      <c r="F32" s="268"/>
    </row>
    <row r="33" spans="1:6" s="353" customFormat="1" x14ac:dyDescent="0.25">
      <c r="A33" s="145" t="s">
        <v>137</v>
      </c>
      <c r="B33" s="267">
        <f>'Sources and Uses Budget'!$C32</f>
        <v>658131</v>
      </c>
      <c r="C33" s="267">
        <f>'Sources and Uses Budget'!$C32</f>
        <v>658131</v>
      </c>
      <c r="D33" s="271">
        <f t="shared" si="0"/>
        <v>0</v>
      </c>
      <c r="E33" s="269"/>
      <c r="F33" s="268"/>
    </row>
    <row r="34" spans="1:6" s="353" customFormat="1" x14ac:dyDescent="0.25">
      <c r="A34" s="145" t="s">
        <v>138</v>
      </c>
      <c r="B34" s="267">
        <f>'Sources and Uses Budget'!$C33</f>
        <v>987197</v>
      </c>
      <c r="C34" s="267">
        <f>'Sources and Uses Budget'!$C33</f>
        <v>987197</v>
      </c>
      <c r="D34" s="271">
        <f t="shared" si="0"/>
        <v>0</v>
      </c>
      <c r="E34" s="269"/>
      <c r="F34" s="268"/>
    </row>
    <row r="35" spans="1:6" s="353" customFormat="1" x14ac:dyDescent="0.25">
      <c r="A35" s="145" t="s">
        <v>139</v>
      </c>
      <c r="B35" s="267">
        <f>'Sources and Uses Budget'!$C34</f>
        <v>0</v>
      </c>
      <c r="C35" s="267">
        <f>'Sources and Uses Budget'!$C34</f>
        <v>0</v>
      </c>
      <c r="D35" s="271">
        <f t="shared" si="0"/>
        <v>0</v>
      </c>
      <c r="E35" s="269"/>
      <c r="F35" s="268"/>
    </row>
    <row r="36" spans="1:6" s="353" customFormat="1" x14ac:dyDescent="0.25">
      <c r="A36" s="145" t="s">
        <v>140</v>
      </c>
      <c r="B36" s="267">
        <f>'Sources and Uses Budget'!$C35</f>
        <v>475270</v>
      </c>
      <c r="C36" s="267">
        <f>'Sources and Uses Budget'!$C35</f>
        <v>475270</v>
      </c>
      <c r="D36" s="271">
        <f t="shared" si="0"/>
        <v>0</v>
      </c>
      <c r="E36" s="269"/>
      <c r="F36" s="268"/>
    </row>
    <row r="37" spans="1:6" s="353" customFormat="1" x14ac:dyDescent="0.25">
      <c r="A37" s="284" t="s">
        <v>1641</v>
      </c>
      <c r="B37" s="267">
        <f>'Sources and Uses Budget'!$C36</f>
        <v>420000</v>
      </c>
      <c r="C37" s="267">
        <f>'Sources and Uses Budget'!$C36</f>
        <v>420000</v>
      </c>
      <c r="D37" s="271"/>
      <c r="E37" s="269"/>
      <c r="F37" s="268"/>
    </row>
    <row r="38" spans="1:6" s="353" customFormat="1" x14ac:dyDescent="0.25">
      <c r="A38" s="155" t="str">
        <f>'Sources and Uses Budget'!A37</f>
        <v>Other: Preconstruction Services</v>
      </c>
      <c r="B38" s="267">
        <f>'Sources and Uses Budget'!$C37</f>
        <v>65000</v>
      </c>
      <c r="C38" s="267">
        <f>'Sources and Uses Budget'!$C37</f>
        <v>65000</v>
      </c>
      <c r="D38" s="271">
        <f t="shared" si="0"/>
        <v>0</v>
      </c>
      <c r="E38" s="269"/>
      <c r="F38" s="268"/>
    </row>
    <row r="39" spans="1:6" s="353" customFormat="1" ht="13" x14ac:dyDescent="0.25">
      <c r="A39" s="272" t="s">
        <v>143</v>
      </c>
      <c r="B39" s="271">
        <f>SUM(B30:B38)</f>
        <v>44342416</v>
      </c>
      <c r="C39" s="271">
        <f>SUM(C30:C38)</f>
        <v>44342416</v>
      </c>
      <c r="D39" s="271">
        <f t="shared" si="0"/>
        <v>0</v>
      </c>
      <c r="E39" s="269"/>
      <c r="F39" s="268"/>
    </row>
    <row r="40" spans="1:6" s="353" customFormat="1" ht="13" x14ac:dyDescent="0.25">
      <c r="A40" s="265" t="s">
        <v>144</v>
      </c>
      <c r="B40" s="265"/>
      <c r="C40" s="265"/>
      <c r="D40" s="265"/>
      <c r="E40" s="283"/>
      <c r="F40" s="265"/>
    </row>
    <row r="41" spans="1:6" s="353" customFormat="1" x14ac:dyDescent="0.25">
      <c r="A41" s="270" t="s">
        <v>145</v>
      </c>
      <c r="B41" s="267">
        <f>'Sources and Uses Budget'!$C40</f>
        <v>749000</v>
      </c>
      <c r="C41" s="267">
        <f>'Sources and Uses Budget'!$C40</f>
        <v>749000</v>
      </c>
      <c r="D41" s="271">
        <f t="shared" si="0"/>
        <v>0</v>
      </c>
      <c r="E41" s="269"/>
      <c r="F41" s="268"/>
    </row>
    <row r="42" spans="1:6" s="353" customFormat="1" x14ac:dyDescent="0.25">
      <c r="A42" s="270" t="s">
        <v>146</v>
      </c>
      <c r="B42" s="267">
        <f>'Sources and Uses Budget'!$C41</f>
        <v>360000</v>
      </c>
      <c r="C42" s="267">
        <f>'Sources and Uses Budget'!$C41</f>
        <v>360000</v>
      </c>
      <c r="D42" s="271">
        <f t="shared" si="0"/>
        <v>0</v>
      </c>
      <c r="E42" s="269"/>
      <c r="F42" s="268"/>
    </row>
    <row r="43" spans="1:6" s="353" customFormat="1" ht="13" x14ac:dyDescent="0.25">
      <c r="A43" s="272" t="s">
        <v>147</v>
      </c>
      <c r="B43" s="271">
        <f>SUM(B41:B42)</f>
        <v>1109000</v>
      </c>
      <c r="C43" s="271">
        <f>SUM(C41:C42)</f>
        <v>1109000</v>
      </c>
      <c r="D43" s="271">
        <f t="shared" si="0"/>
        <v>0</v>
      </c>
      <c r="E43" s="269"/>
      <c r="F43" s="268"/>
    </row>
    <row r="44" spans="1:6" s="353" customFormat="1" ht="13" x14ac:dyDescent="0.25">
      <c r="A44" s="272" t="s">
        <v>148</v>
      </c>
      <c r="B44" s="267">
        <f>'Sources and Uses Budget'!$C43</f>
        <v>806500</v>
      </c>
      <c r="C44" s="267">
        <f>'Sources and Uses Budget'!$C43</f>
        <v>806500</v>
      </c>
      <c r="D44" s="271">
        <f t="shared" si="0"/>
        <v>0</v>
      </c>
      <c r="E44" s="269"/>
      <c r="F44" s="268"/>
    </row>
    <row r="45" spans="1:6" s="353" customFormat="1" ht="12" customHeight="1" x14ac:dyDescent="0.25">
      <c r="A45" s="265" t="s">
        <v>149</v>
      </c>
      <c r="B45" s="265"/>
      <c r="C45" s="265"/>
      <c r="D45" s="265"/>
      <c r="E45" s="283"/>
      <c r="F45" s="265"/>
    </row>
    <row r="46" spans="1:6" s="353" customFormat="1" x14ac:dyDescent="0.25">
      <c r="A46" s="145" t="s">
        <v>150</v>
      </c>
      <c r="B46" s="267">
        <f>'Sources and Uses Budget'!$C45</f>
        <v>8250000</v>
      </c>
      <c r="C46" s="267">
        <f>'Sources and Uses Budget'!$C45</f>
        <v>8250000</v>
      </c>
      <c r="D46" s="271">
        <f t="shared" si="0"/>
        <v>0</v>
      </c>
      <c r="E46" s="269"/>
      <c r="F46" s="268"/>
    </row>
    <row r="47" spans="1:6" s="353" customFormat="1" x14ac:dyDescent="0.25">
      <c r="A47" s="145" t="s">
        <v>151</v>
      </c>
      <c r="B47" s="267">
        <f>'Sources and Uses Budget'!$C46</f>
        <v>400000</v>
      </c>
      <c r="C47" s="267">
        <f>'Sources and Uses Budget'!$C46</f>
        <v>400000</v>
      </c>
      <c r="D47" s="271">
        <f t="shared" si="0"/>
        <v>0</v>
      </c>
      <c r="E47" s="269"/>
      <c r="F47" s="268"/>
    </row>
    <row r="48" spans="1:6" s="353" customFormat="1" ht="12" customHeight="1" x14ac:dyDescent="0.25">
      <c r="A48" s="186" t="s">
        <v>152</v>
      </c>
      <c r="B48" s="267">
        <f>'Sources and Uses Budget'!$C47</f>
        <v>0</v>
      </c>
      <c r="C48" s="267">
        <f>'Sources and Uses Budget'!$C47</f>
        <v>0</v>
      </c>
      <c r="D48" s="271">
        <f t="shared" si="0"/>
        <v>0</v>
      </c>
      <c r="E48" s="269"/>
      <c r="F48" s="268"/>
    </row>
    <row r="49" spans="1:6" s="353" customFormat="1" x14ac:dyDescent="0.25">
      <c r="A49" s="145" t="s">
        <v>153</v>
      </c>
      <c r="B49" s="267">
        <f>'Sources and Uses Budget'!$C48</f>
        <v>427786</v>
      </c>
      <c r="C49" s="267">
        <f>'Sources and Uses Budget'!$C48</f>
        <v>427786</v>
      </c>
      <c r="D49" s="271">
        <f t="shared" si="0"/>
        <v>0</v>
      </c>
      <c r="E49" s="269"/>
      <c r="F49" s="268"/>
    </row>
    <row r="50" spans="1:6" s="353" customFormat="1" x14ac:dyDescent="0.25">
      <c r="A50" s="145" t="s">
        <v>57</v>
      </c>
      <c r="B50" s="267">
        <f>'Sources and Uses Budget'!$C49</f>
        <v>262300</v>
      </c>
      <c r="C50" s="267">
        <f>'Sources and Uses Budget'!$C49</f>
        <v>262300</v>
      </c>
      <c r="D50" s="271">
        <f t="shared" si="0"/>
        <v>0</v>
      </c>
      <c r="E50" s="269"/>
      <c r="F50" s="268"/>
    </row>
    <row r="51" spans="1:6" s="353" customFormat="1" x14ac:dyDescent="0.25">
      <c r="A51" s="145" t="s">
        <v>156</v>
      </c>
      <c r="B51" s="267">
        <f>'Sources and Uses Budget'!$C50</f>
        <v>200000</v>
      </c>
      <c r="C51" s="267">
        <f>'Sources and Uses Budget'!$C50</f>
        <v>200000</v>
      </c>
      <c r="D51" s="271">
        <f t="shared" si="0"/>
        <v>0</v>
      </c>
      <c r="E51" s="269"/>
      <c r="F51" s="268"/>
    </row>
    <row r="52" spans="1:6" s="353" customFormat="1" x14ac:dyDescent="0.25">
      <c r="A52" s="284" t="s">
        <v>154</v>
      </c>
      <c r="B52" s="267">
        <f>'Sources and Uses Budget'!$C51</f>
        <v>10000</v>
      </c>
      <c r="C52" s="267">
        <f>'Sources and Uses Budget'!$C51</f>
        <v>10000</v>
      </c>
      <c r="D52" s="271">
        <f t="shared" si="0"/>
        <v>0</v>
      </c>
      <c r="E52" s="269"/>
      <c r="F52" s="268"/>
    </row>
    <row r="53" spans="1:6" s="353" customFormat="1" x14ac:dyDescent="0.25">
      <c r="A53" s="145" t="s">
        <v>155</v>
      </c>
      <c r="B53" s="267">
        <f>'Sources and Uses Budget'!$C52</f>
        <v>1200000</v>
      </c>
      <c r="C53" s="267">
        <f>'Sources and Uses Budget'!$C52</f>
        <v>1200000</v>
      </c>
      <c r="D53" s="271">
        <f t="shared" si="0"/>
        <v>0</v>
      </c>
      <c r="E53" s="269"/>
      <c r="F53" s="268"/>
    </row>
    <row r="54" spans="1:6" s="353" customFormat="1" x14ac:dyDescent="0.25">
      <c r="A54" s="155" t="str">
        <f>'Sources and Uses Budget'!A53</f>
        <v>Other: (Specify)</v>
      </c>
      <c r="B54" s="267">
        <f>'Sources and Uses Budget'!$C53</f>
        <v>0</v>
      </c>
      <c r="C54" s="267">
        <f>'Sources and Uses Budget'!$C53</f>
        <v>0</v>
      </c>
      <c r="D54" s="271">
        <f t="shared" si="0"/>
        <v>0</v>
      </c>
      <c r="E54" s="269"/>
      <c r="F54" s="268"/>
    </row>
    <row r="55" spans="1:6" s="354" customFormat="1" ht="13" x14ac:dyDescent="0.25">
      <c r="A55" s="272" t="s">
        <v>157</v>
      </c>
      <c r="B55" s="274">
        <f>SUM(B46:B54)</f>
        <v>10750086</v>
      </c>
      <c r="C55" s="274">
        <f>SUM(C46:C54)</f>
        <v>10750086</v>
      </c>
      <c r="D55" s="271">
        <f t="shared" si="0"/>
        <v>0</v>
      </c>
      <c r="E55" s="269"/>
      <c r="F55" s="268"/>
    </row>
    <row r="56" spans="1:6" s="353" customFormat="1" ht="13" x14ac:dyDescent="0.25">
      <c r="A56" s="265" t="s">
        <v>418</v>
      </c>
      <c r="B56" s="265"/>
      <c r="C56" s="265"/>
      <c r="D56" s="265"/>
      <c r="E56" s="283"/>
      <c r="F56" s="265"/>
    </row>
    <row r="57" spans="1:6" s="353" customFormat="1" x14ac:dyDescent="0.25">
      <c r="A57" s="270" t="s">
        <v>158</v>
      </c>
      <c r="B57" s="267">
        <f>'Sources and Uses Budget'!$C56</f>
        <v>140000</v>
      </c>
      <c r="C57" s="267">
        <f>'Sources and Uses Budget'!$C56</f>
        <v>140000</v>
      </c>
      <c r="D57" s="271">
        <f t="shared" si="0"/>
        <v>0</v>
      </c>
      <c r="E57" s="269"/>
      <c r="F57" s="268"/>
    </row>
    <row r="58" spans="1:6" s="353" customFormat="1" ht="12" customHeight="1" x14ac:dyDescent="0.25">
      <c r="A58" s="270" t="s">
        <v>152</v>
      </c>
      <c r="B58" s="267">
        <f>'Sources and Uses Budget'!$C57</f>
        <v>0</v>
      </c>
      <c r="C58" s="267">
        <f>'Sources and Uses Budget'!$C57</f>
        <v>0</v>
      </c>
      <c r="D58" s="271">
        <f t="shared" si="0"/>
        <v>0</v>
      </c>
      <c r="E58" s="269"/>
      <c r="F58" s="268"/>
    </row>
    <row r="59" spans="1:6" s="353" customFormat="1" x14ac:dyDescent="0.25">
      <c r="A59" s="270" t="s">
        <v>156</v>
      </c>
      <c r="B59" s="267">
        <f>'Sources and Uses Budget'!$C58</f>
        <v>23000</v>
      </c>
      <c r="C59" s="267">
        <f>'Sources and Uses Budget'!$C58</f>
        <v>23000</v>
      </c>
      <c r="D59" s="271">
        <f t="shared" si="0"/>
        <v>0</v>
      </c>
      <c r="E59" s="269"/>
      <c r="F59" s="268"/>
    </row>
    <row r="60" spans="1:6" s="353" customFormat="1" x14ac:dyDescent="0.25">
      <c r="A60" s="270" t="s">
        <v>154</v>
      </c>
      <c r="B60" s="267">
        <f>'Sources and Uses Budget'!$C59</f>
        <v>0</v>
      </c>
      <c r="C60" s="267">
        <f>'Sources and Uses Budget'!$C59</f>
        <v>0</v>
      </c>
      <c r="D60" s="271">
        <f t="shared" si="0"/>
        <v>0</v>
      </c>
      <c r="E60" s="269"/>
      <c r="F60" s="268"/>
    </row>
    <row r="61" spans="1:6" s="353" customFormat="1" x14ac:dyDescent="0.25">
      <c r="A61" s="270" t="s">
        <v>155</v>
      </c>
      <c r="B61" s="267">
        <f>'Sources and Uses Budget'!$C60</f>
        <v>0</v>
      </c>
      <c r="C61" s="267">
        <f>'Sources and Uses Budget'!$C60</f>
        <v>0</v>
      </c>
      <c r="D61" s="271">
        <f t="shared" si="0"/>
        <v>0</v>
      </c>
      <c r="E61" s="269"/>
      <c r="F61" s="268"/>
    </row>
    <row r="62" spans="1:6" s="353" customFormat="1" x14ac:dyDescent="0.25">
      <c r="A62" s="1020" t="str">
        <f>'Sources and Uses Budget'!A61</f>
        <v>Other: (Specify)</v>
      </c>
      <c r="B62" s="267">
        <f>'Sources and Uses Budget'!$C61</f>
        <v>0</v>
      </c>
      <c r="C62" s="267">
        <f>'Sources and Uses Budget'!$C61</f>
        <v>0</v>
      </c>
      <c r="D62" s="271">
        <f t="shared" si="0"/>
        <v>0</v>
      </c>
      <c r="E62" s="269"/>
      <c r="F62" s="268"/>
    </row>
    <row r="63" spans="1:6" s="353" customFormat="1" ht="13.65" customHeight="1" x14ac:dyDescent="0.25">
      <c r="A63" s="272" t="s">
        <v>301</v>
      </c>
      <c r="B63" s="271">
        <f>SUM(B57:B62)</f>
        <v>163000</v>
      </c>
      <c r="C63" s="271">
        <f>SUM(C57:C62)</f>
        <v>163000</v>
      </c>
      <c r="D63" s="271">
        <f t="shared" si="0"/>
        <v>0</v>
      </c>
      <c r="E63" s="269"/>
      <c r="F63" s="268"/>
    </row>
    <row r="64" spans="1:6" s="353" customFormat="1" ht="13" x14ac:dyDescent="0.25">
      <c r="A64" s="275" t="s">
        <v>302</v>
      </c>
      <c r="B64" s="271">
        <f>SUM(B9+B12+B14+B15+B17+B26+B28+B39+B43+B44+B55+B63)</f>
        <v>57496003</v>
      </c>
      <c r="C64" s="271">
        <f>SUM(C9+C12+C14+C15+C17+C26+C28+C39+C43+C44+C55+C63)</f>
        <v>57496003</v>
      </c>
      <c r="D64" s="271">
        <f t="shared" si="0"/>
        <v>0</v>
      </c>
      <c r="E64" s="269"/>
      <c r="F64" s="268"/>
    </row>
    <row r="65" spans="1:6" s="353" customFormat="1" ht="24" x14ac:dyDescent="0.25">
      <c r="A65" s="141" t="s">
        <v>1645</v>
      </c>
      <c r="B65" s="265"/>
      <c r="C65" s="265"/>
      <c r="D65" s="265"/>
      <c r="E65" s="283"/>
      <c r="F65" s="265"/>
    </row>
    <row r="66" spans="1:6" s="353" customFormat="1" x14ac:dyDescent="0.25">
      <c r="A66" s="145" t="s">
        <v>171</v>
      </c>
      <c r="B66" s="267">
        <f>'Sources and Uses Budget'!$C65</f>
        <v>180000</v>
      </c>
      <c r="C66" s="267">
        <f>'Sources and Uses Budget'!$C65</f>
        <v>180000</v>
      </c>
      <c r="D66" s="271">
        <f t="shared" si="0"/>
        <v>0</v>
      </c>
      <c r="E66" s="269"/>
      <c r="F66" s="268"/>
    </row>
    <row r="67" spans="1:6" s="353" customFormat="1" ht="23" x14ac:dyDescent="0.25">
      <c r="A67" s="284" t="s">
        <v>1642</v>
      </c>
      <c r="B67" s="267">
        <f>'Sources and Uses Budget'!$C66</f>
        <v>185000</v>
      </c>
      <c r="C67" s="267">
        <f>'Sources and Uses Budget'!$C66</f>
        <v>185000</v>
      </c>
      <c r="D67" s="271"/>
      <c r="E67" s="269"/>
      <c r="F67" s="268"/>
    </row>
    <row r="68" spans="1:6" s="353" customFormat="1" ht="23" x14ac:dyDescent="0.25">
      <c r="A68" s="284" t="s">
        <v>1643</v>
      </c>
      <c r="B68" s="267">
        <f>'Sources and Uses Budget'!$C67</f>
        <v>50000</v>
      </c>
      <c r="C68" s="267">
        <f>'Sources and Uses Budget'!$C67</f>
        <v>50000</v>
      </c>
      <c r="D68" s="271"/>
      <c r="E68" s="269"/>
      <c r="F68" s="268"/>
    </row>
    <row r="69" spans="1:6" s="353" customFormat="1" x14ac:dyDescent="0.25">
      <c r="A69" s="284" t="s">
        <v>1649</v>
      </c>
      <c r="B69" s="267">
        <f>'Sources and Uses Budget'!$C68</f>
        <v>0</v>
      </c>
      <c r="C69" s="267">
        <f>'Sources and Uses Budget'!$C68</f>
        <v>0</v>
      </c>
      <c r="D69" s="271"/>
      <c r="E69" s="269"/>
      <c r="F69" s="268"/>
    </row>
    <row r="70" spans="1:6" s="353" customFormat="1" x14ac:dyDescent="0.25">
      <c r="A70" s="155" t="str">
        <f>'Sources and Uses Budget'!A69</f>
        <v>Other: Partnership Legal</v>
      </c>
      <c r="B70" s="267">
        <f>'Sources and Uses Budget'!$C69</f>
        <v>120000</v>
      </c>
      <c r="C70" s="267">
        <f>'Sources and Uses Budget'!$C69</f>
        <v>120000</v>
      </c>
      <c r="D70" s="271">
        <f t="shared" si="0"/>
        <v>0</v>
      </c>
      <c r="E70" s="269"/>
      <c r="F70" s="268"/>
    </row>
    <row r="71" spans="1:6" s="353" customFormat="1" x14ac:dyDescent="0.25">
      <c r="A71" s="149" t="s">
        <v>1646</v>
      </c>
      <c r="B71" s="271">
        <f>SUM(B66:B70)</f>
        <v>535000</v>
      </c>
      <c r="C71" s="271">
        <f>SUM(C66:C70)</f>
        <v>535000</v>
      </c>
      <c r="D71" s="271">
        <f t="shared" si="0"/>
        <v>0</v>
      </c>
      <c r="E71" s="269"/>
      <c r="F71" s="268"/>
    </row>
    <row r="72" spans="1:6" s="353" customFormat="1" ht="13" x14ac:dyDescent="0.25">
      <c r="A72" s="265" t="s">
        <v>603</v>
      </c>
      <c r="B72" s="265"/>
      <c r="C72" s="265"/>
      <c r="D72" s="265"/>
      <c r="E72" s="283"/>
      <c r="F72" s="265"/>
    </row>
    <row r="73" spans="1:6" s="353" customFormat="1" x14ac:dyDescent="0.25">
      <c r="A73" s="270" t="s">
        <v>604</v>
      </c>
      <c r="B73" s="267">
        <f>'Sources and Uses Budget'!$C72</f>
        <v>0</v>
      </c>
      <c r="C73" s="267">
        <f>'Sources and Uses Budget'!$C72</f>
        <v>0</v>
      </c>
      <c r="D73" s="271">
        <f t="shared" si="0"/>
        <v>0</v>
      </c>
      <c r="E73" s="269"/>
      <c r="F73" s="268"/>
    </row>
    <row r="74" spans="1:6" s="353" customFormat="1" x14ac:dyDescent="0.25">
      <c r="A74" s="270" t="s">
        <v>605</v>
      </c>
      <c r="B74" s="267">
        <f>'Sources and Uses Budget'!$C73</f>
        <v>0</v>
      </c>
      <c r="C74" s="267">
        <f>'Sources and Uses Budget'!$C73</f>
        <v>0</v>
      </c>
      <c r="D74" s="271">
        <f t="shared" si="0"/>
        <v>0</v>
      </c>
      <c r="E74" s="269"/>
      <c r="F74" s="268"/>
    </row>
    <row r="75" spans="1:6" s="353" customFormat="1" x14ac:dyDescent="0.25">
      <c r="A75" s="288" t="s">
        <v>987</v>
      </c>
      <c r="B75" s="267">
        <f>'Sources and Uses Budget'!$C74</f>
        <v>0</v>
      </c>
      <c r="C75" s="267">
        <f>'Sources and Uses Budget'!$C74</f>
        <v>0</v>
      </c>
      <c r="D75" s="271">
        <f t="shared" si="0"/>
        <v>0</v>
      </c>
      <c r="E75" s="269"/>
      <c r="F75" s="268"/>
    </row>
    <row r="76" spans="1:6" s="353" customFormat="1" x14ac:dyDescent="0.25">
      <c r="A76" s="270" t="s">
        <v>606</v>
      </c>
      <c r="B76" s="267">
        <f>'Sources and Uses Budget'!$C75</f>
        <v>517775</v>
      </c>
      <c r="C76" s="267">
        <f>'Sources and Uses Budget'!$C75</f>
        <v>517775</v>
      </c>
      <c r="D76" s="271">
        <f t="shared" si="0"/>
        <v>0</v>
      </c>
      <c r="E76" s="269"/>
      <c r="F76" s="268"/>
    </row>
    <row r="77" spans="1:6" s="353" customFormat="1" x14ac:dyDescent="0.25">
      <c r="A77" s="273" t="s">
        <v>34</v>
      </c>
      <c r="B77" s="267">
        <f>'Sources and Uses Budget'!$C76</f>
        <v>0</v>
      </c>
      <c r="C77" s="267">
        <f>'Sources and Uses Budget'!$C76</f>
        <v>0</v>
      </c>
      <c r="D77" s="271">
        <f t="shared" si="0"/>
        <v>0</v>
      </c>
      <c r="E77" s="269"/>
      <c r="F77" s="268"/>
    </row>
    <row r="78" spans="1:6" s="353" customFormat="1" ht="13" x14ac:dyDescent="0.25">
      <c r="A78" s="272" t="s">
        <v>607</v>
      </c>
      <c r="B78" s="271">
        <f>SUM(B73:B77)</f>
        <v>517775</v>
      </c>
      <c r="C78" s="271">
        <f>SUM(C73:C77)</f>
        <v>517775</v>
      </c>
      <c r="D78" s="271">
        <f t="shared" ref="D78:D106" si="1">C78-B78</f>
        <v>0</v>
      </c>
      <c r="E78" s="269"/>
      <c r="F78" s="268"/>
    </row>
    <row r="79" spans="1:6" s="353" customFormat="1" ht="13" x14ac:dyDescent="0.25">
      <c r="A79" s="265" t="s">
        <v>1211</v>
      </c>
      <c r="B79" s="265"/>
      <c r="C79" s="265"/>
      <c r="D79" s="265"/>
      <c r="E79" s="283"/>
      <c r="F79" s="265"/>
    </row>
    <row r="80" spans="1:6" s="353" customFormat="1" x14ac:dyDescent="0.25">
      <c r="A80" s="511" t="s">
        <v>1213</v>
      </c>
      <c r="B80" s="267">
        <f>'Sources and Uses Budget'!$C79</f>
        <v>4368157</v>
      </c>
      <c r="C80" s="267">
        <f>'Sources and Uses Budget'!$C79</f>
        <v>4368157</v>
      </c>
      <c r="D80" s="271">
        <f t="shared" si="1"/>
        <v>0</v>
      </c>
      <c r="E80" s="269"/>
      <c r="F80" s="268"/>
    </row>
    <row r="81" spans="1:6" s="353" customFormat="1" x14ac:dyDescent="0.25">
      <c r="A81" s="511" t="s">
        <v>58</v>
      </c>
      <c r="B81" s="267">
        <f>'Sources and Uses Budget'!$C80</f>
        <v>1226306</v>
      </c>
      <c r="C81" s="267">
        <f>'Sources and Uses Budget'!$C80</f>
        <v>1226306</v>
      </c>
      <c r="D81" s="271">
        <f>C81-B81</f>
        <v>0</v>
      </c>
      <c r="E81" s="269"/>
      <c r="F81" s="268"/>
    </row>
    <row r="82" spans="1:6" s="353" customFormat="1" ht="13" x14ac:dyDescent="0.25">
      <c r="A82" s="272" t="s">
        <v>1210</v>
      </c>
      <c r="B82" s="271">
        <f>SUM(B80:B81)</f>
        <v>5594463</v>
      </c>
      <c r="C82" s="271">
        <f>SUM(C80:C81)</f>
        <v>5594463</v>
      </c>
      <c r="D82" s="271">
        <f t="shared" si="1"/>
        <v>0</v>
      </c>
      <c r="E82" s="269"/>
      <c r="F82" s="268"/>
    </row>
    <row r="83" spans="1:6" s="353" customFormat="1" ht="13" x14ac:dyDescent="0.25">
      <c r="A83" s="265" t="s">
        <v>766</v>
      </c>
      <c r="B83" s="265"/>
      <c r="C83" s="265"/>
      <c r="D83" s="265"/>
      <c r="E83" s="283"/>
      <c r="F83" s="265"/>
    </row>
    <row r="84" spans="1:6" s="353" customFormat="1" ht="13.65" customHeight="1" x14ac:dyDescent="0.25">
      <c r="A84" s="270" t="s">
        <v>767</v>
      </c>
      <c r="B84" s="267">
        <f>'Sources and Uses Budget'!$C83</f>
        <v>200000</v>
      </c>
      <c r="C84" s="267">
        <f>'Sources and Uses Budget'!$C83</f>
        <v>200000</v>
      </c>
      <c r="D84" s="271">
        <f t="shared" si="1"/>
        <v>0</v>
      </c>
      <c r="E84" s="269"/>
      <c r="F84" s="268"/>
    </row>
    <row r="85" spans="1:6" s="353" customFormat="1" x14ac:dyDescent="0.25">
      <c r="A85" s="270" t="s">
        <v>768</v>
      </c>
      <c r="B85" s="267">
        <f>'Sources and Uses Budget'!$C84</f>
        <v>95000</v>
      </c>
      <c r="C85" s="267">
        <f>'Sources and Uses Budget'!$C84</f>
        <v>95000</v>
      </c>
      <c r="D85" s="271">
        <f t="shared" si="1"/>
        <v>0</v>
      </c>
      <c r="E85" s="269"/>
      <c r="F85" s="268"/>
    </row>
    <row r="86" spans="1:6" s="353" customFormat="1" x14ac:dyDescent="0.25">
      <c r="A86" s="270" t="s">
        <v>769</v>
      </c>
      <c r="B86" s="267">
        <f>'Sources and Uses Budget'!$C85</f>
        <v>360860</v>
      </c>
      <c r="C86" s="267">
        <f>'Sources and Uses Budget'!$C85</f>
        <v>360860</v>
      </c>
      <c r="D86" s="271">
        <f t="shared" si="1"/>
        <v>0</v>
      </c>
      <c r="E86" s="269"/>
      <c r="F86" s="268"/>
    </row>
    <row r="87" spans="1:6" s="353" customFormat="1" x14ac:dyDescent="0.25">
      <c r="A87" s="270" t="s">
        <v>770</v>
      </c>
      <c r="B87" s="267">
        <f>'Sources and Uses Budget'!$C86</f>
        <v>1117392</v>
      </c>
      <c r="C87" s="267">
        <f>'Sources and Uses Budget'!$C86</f>
        <v>1117392</v>
      </c>
      <c r="D87" s="271">
        <f t="shared" si="1"/>
        <v>0</v>
      </c>
      <c r="E87" s="269"/>
      <c r="F87" s="268"/>
    </row>
    <row r="88" spans="1:6" s="353" customFormat="1" x14ac:dyDescent="0.25">
      <c r="A88" s="270" t="s">
        <v>771</v>
      </c>
      <c r="B88" s="267">
        <f>'Sources and Uses Budget'!$C87</f>
        <v>0</v>
      </c>
      <c r="C88" s="267">
        <f>'Sources and Uses Budget'!$C87</f>
        <v>0</v>
      </c>
      <c r="D88" s="271">
        <f t="shared" si="1"/>
        <v>0</v>
      </c>
      <c r="E88" s="269"/>
      <c r="F88" s="268"/>
    </row>
    <row r="89" spans="1:6" s="353" customFormat="1" x14ac:dyDescent="0.25">
      <c r="A89" s="270" t="s">
        <v>772</v>
      </c>
      <c r="B89" s="267">
        <f>'Sources and Uses Budget'!$C88</f>
        <v>100000</v>
      </c>
      <c r="C89" s="267">
        <f>'Sources and Uses Budget'!$C88</f>
        <v>100000</v>
      </c>
      <c r="D89" s="271">
        <f t="shared" si="1"/>
        <v>0</v>
      </c>
      <c r="E89" s="269"/>
      <c r="F89" s="268"/>
    </row>
    <row r="90" spans="1:6" s="353" customFormat="1" x14ac:dyDescent="0.25">
      <c r="A90" s="270" t="s">
        <v>773</v>
      </c>
      <c r="B90" s="267">
        <f>'Sources and Uses Budget'!$C89</f>
        <v>553500</v>
      </c>
      <c r="C90" s="267">
        <f>'Sources and Uses Budget'!$C89</f>
        <v>553500</v>
      </c>
      <c r="D90" s="271">
        <f t="shared" si="1"/>
        <v>0</v>
      </c>
      <c r="E90" s="269"/>
      <c r="F90" s="268"/>
    </row>
    <row r="91" spans="1:6" s="353" customFormat="1" x14ac:dyDescent="0.25">
      <c r="A91" s="270" t="s">
        <v>774</v>
      </c>
      <c r="B91" s="267">
        <f>'Sources and Uses Budget'!$C90</f>
        <v>13200</v>
      </c>
      <c r="C91" s="267">
        <f>'Sources and Uses Budget'!$C90</f>
        <v>13200</v>
      </c>
      <c r="D91" s="271">
        <f t="shared" si="1"/>
        <v>0</v>
      </c>
      <c r="E91" s="269"/>
      <c r="F91" s="268"/>
    </row>
    <row r="92" spans="1:6" s="353" customFormat="1" x14ac:dyDescent="0.25">
      <c r="A92" s="270" t="s">
        <v>372</v>
      </c>
      <c r="B92" s="267">
        <f>'Sources and Uses Budget'!$C91</f>
        <v>130000</v>
      </c>
      <c r="C92" s="267">
        <f>'Sources and Uses Budget'!$C91</f>
        <v>130000</v>
      </c>
      <c r="D92" s="271">
        <f t="shared" si="1"/>
        <v>0</v>
      </c>
      <c r="E92" s="269"/>
      <c r="F92" s="268"/>
    </row>
    <row r="93" spans="1:6" s="353" customFormat="1" x14ac:dyDescent="0.25">
      <c r="A93" s="511" t="s">
        <v>1212</v>
      </c>
      <c r="B93" s="267">
        <f>'Sources and Uses Budget'!$C92</f>
        <v>25000</v>
      </c>
      <c r="C93" s="267">
        <f>'Sources and Uses Budget'!$C92</f>
        <v>25000</v>
      </c>
      <c r="D93" s="271">
        <f t="shared" si="1"/>
        <v>0</v>
      </c>
      <c r="E93" s="269"/>
      <c r="F93" s="268"/>
    </row>
    <row r="94" spans="1:6" s="353" customFormat="1" x14ac:dyDescent="0.25">
      <c r="A94" s="273" t="s">
        <v>34</v>
      </c>
      <c r="B94" s="267">
        <f>'Sources and Uses Budget'!$C93</f>
        <v>353500</v>
      </c>
      <c r="C94" s="267">
        <f>'Sources and Uses Budget'!$C93</f>
        <v>353500</v>
      </c>
      <c r="D94" s="271">
        <f t="shared" si="1"/>
        <v>0</v>
      </c>
      <c r="E94" s="269"/>
      <c r="F94" s="268"/>
    </row>
    <row r="95" spans="1:6" s="353" customFormat="1" x14ac:dyDescent="0.25">
      <c r="A95" s="273" t="s">
        <v>34</v>
      </c>
      <c r="B95" s="267">
        <f>'Sources and Uses Budget'!$C94</f>
        <v>215000</v>
      </c>
      <c r="C95" s="267">
        <f>'Sources and Uses Budget'!$C94</f>
        <v>215000</v>
      </c>
      <c r="D95" s="271">
        <f t="shared" si="1"/>
        <v>0</v>
      </c>
      <c r="E95" s="269"/>
      <c r="F95" s="268"/>
    </row>
    <row r="96" spans="1:6" s="353" customFormat="1" x14ac:dyDescent="0.25">
      <c r="A96" s="273" t="s">
        <v>34</v>
      </c>
      <c r="B96" s="267">
        <f>'Sources and Uses Budget'!$C95</f>
        <v>290000</v>
      </c>
      <c r="C96" s="267">
        <f>'Sources and Uses Budget'!$C95</f>
        <v>290000</v>
      </c>
      <c r="D96" s="271">
        <f t="shared" si="1"/>
        <v>0</v>
      </c>
      <c r="E96" s="269"/>
      <c r="F96" s="268"/>
    </row>
    <row r="97" spans="1:6" s="353" customFormat="1" ht="13" x14ac:dyDescent="0.25">
      <c r="A97" s="272" t="s">
        <v>775</v>
      </c>
      <c r="B97" s="271">
        <f>SUM(B84:B96)</f>
        <v>3453452</v>
      </c>
      <c r="C97" s="271">
        <f>SUM(C84:C96)</f>
        <v>3453452</v>
      </c>
      <c r="D97" s="271">
        <f t="shared" si="1"/>
        <v>0</v>
      </c>
      <c r="E97" s="269"/>
      <c r="F97" s="268"/>
    </row>
    <row r="98" spans="1:6" s="353" customFormat="1" ht="13" x14ac:dyDescent="0.25">
      <c r="A98" s="272" t="s">
        <v>776</v>
      </c>
      <c r="B98" s="271">
        <f>SUM(B64+B71+B78+B82+B97)</f>
        <v>67596693</v>
      </c>
      <c r="C98" s="271">
        <f>SUM(C64+C71+C78+C82+C97)</f>
        <v>67596693</v>
      </c>
      <c r="D98" s="271">
        <f t="shared" si="1"/>
        <v>0</v>
      </c>
      <c r="E98" s="269"/>
      <c r="F98" s="268"/>
    </row>
    <row r="99" spans="1:6" s="353" customFormat="1" ht="13" x14ac:dyDescent="0.25">
      <c r="A99" s="265" t="s">
        <v>777</v>
      </c>
      <c r="B99" s="265"/>
      <c r="C99" s="265"/>
      <c r="D99" s="265"/>
      <c r="E99" s="283"/>
      <c r="F99" s="265"/>
    </row>
    <row r="100" spans="1:6" s="353" customFormat="1" x14ac:dyDescent="0.25">
      <c r="A100" s="145" t="s">
        <v>778</v>
      </c>
      <c r="B100" s="267">
        <f>'Sources and Uses Budget'!$C99</f>
        <v>9461074</v>
      </c>
      <c r="C100" s="267">
        <f>'Sources and Uses Budget'!$C99</f>
        <v>9461074</v>
      </c>
      <c r="D100" s="271">
        <f t="shared" si="1"/>
        <v>0</v>
      </c>
      <c r="E100" s="269"/>
      <c r="F100" s="268"/>
    </row>
    <row r="101" spans="1:6" s="353" customFormat="1" x14ac:dyDescent="0.25">
      <c r="A101" s="284" t="s">
        <v>1647</v>
      </c>
      <c r="B101" s="267">
        <f>'Sources and Uses Budget'!$C100</f>
        <v>0</v>
      </c>
      <c r="C101" s="267">
        <f>'Sources and Uses Budget'!$C100</f>
        <v>0</v>
      </c>
      <c r="D101" s="271">
        <f t="shared" si="1"/>
        <v>0</v>
      </c>
      <c r="E101" s="269"/>
      <c r="F101" s="268"/>
    </row>
    <row r="102" spans="1:6" s="353" customFormat="1" x14ac:dyDescent="0.25">
      <c r="A102" s="145" t="s">
        <v>779</v>
      </c>
      <c r="B102" s="267">
        <f>'Sources and Uses Budget'!$C101</f>
        <v>0</v>
      </c>
      <c r="C102" s="267">
        <f>'Sources and Uses Budget'!$C101</f>
        <v>0</v>
      </c>
      <c r="D102" s="271">
        <f t="shared" si="1"/>
        <v>0</v>
      </c>
      <c r="E102" s="269"/>
      <c r="F102" s="268"/>
    </row>
    <row r="103" spans="1:6" s="353" customFormat="1" ht="12" customHeight="1" x14ac:dyDescent="0.25">
      <c r="A103" s="284" t="s">
        <v>1648</v>
      </c>
      <c r="B103" s="267">
        <f>'Sources and Uses Budget'!$C102</f>
        <v>0</v>
      </c>
      <c r="C103" s="267">
        <f>'Sources and Uses Budget'!$C102</f>
        <v>0</v>
      </c>
      <c r="D103" s="271">
        <f t="shared" si="1"/>
        <v>0</v>
      </c>
      <c r="E103" s="269"/>
      <c r="F103" s="268"/>
    </row>
    <row r="104" spans="1:6" s="353" customFormat="1" x14ac:dyDescent="0.25">
      <c r="A104" s="1020" t="str">
        <f>'Sources and Uses Budget'!A103</f>
        <v>Other: (Specify)</v>
      </c>
      <c r="B104" s="267">
        <f>'Sources and Uses Budget'!$C103</f>
        <v>0</v>
      </c>
      <c r="C104" s="267">
        <f>'Sources and Uses Budget'!$C103</f>
        <v>0</v>
      </c>
      <c r="D104" s="271">
        <f t="shared" si="1"/>
        <v>0</v>
      </c>
      <c r="E104" s="269"/>
      <c r="F104" s="268"/>
    </row>
    <row r="105" spans="1:6" s="353" customFormat="1" ht="13" x14ac:dyDescent="0.25">
      <c r="A105" s="272" t="s">
        <v>780</v>
      </c>
      <c r="B105" s="271">
        <f>SUM(B100:B104)</f>
        <v>9461074</v>
      </c>
      <c r="C105" s="271">
        <f>SUM(C100:C104)</f>
        <v>9461074</v>
      </c>
      <c r="D105" s="271">
        <f t="shared" si="1"/>
        <v>0</v>
      </c>
      <c r="E105" s="269"/>
      <c r="F105" s="268"/>
    </row>
    <row r="106" spans="1:6" s="353" customFormat="1" ht="13" x14ac:dyDescent="0.25">
      <c r="A106" s="272" t="s">
        <v>781</v>
      </c>
      <c r="B106" s="274">
        <f>SUM(B98+B105)</f>
        <v>77057767</v>
      </c>
      <c r="C106" s="274">
        <f>SUM(C98+C105)</f>
        <v>77057767</v>
      </c>
      <c r="D106" s="271">
        <f t="shared" si="1"/>
        <v>0</v>
      </c>
      <c r="E106" s="269"/>
      <c r="F106" s="268"/>
    </row>
    <row r="107" spans="1:6" s="353" customFormat="1" ht="13" x14ac:dyDescent="0.25">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x14ac:dyDescent="0.25"/>
  <cols>
    <col min="1" max="10" width="10.6328125" style="403" customWidth="1"/>
    <col min="11" max="16384" width="8.90625" style="403" hidden="1"/>
  </cols>
  <sheetData>
    <row r="1" spans="1:10" ht="15.5" x14ac:dyDescent="0.35">
      <c r="A1" s="1273" t="s">
        <v>1870</v>
      </c>
      <c r="B1" s="1274"/>
      <c r="C1" s="1274"/>
      <c r="D1" s="1274"/>
      <c r="E1" s="1274"/>
      <c r="F1" s="1274"/>
      <c r="G1" s="1274"/>
      <c r="H1" s="1274"/>
      <c r="I1" s="1274"/>
      <c r="J1" s="1274"/>
    </row>
    <row r="2" spans="1:10" ht="15.5" x14ac:dyDescent="0.35">
      <c r="A2" s="1277" t="s">
        <v>1269</v>
      </c>
      <c r="B2" s="1278"/>
      <c r="C2" s="1278"/>
      <c r="D2" s="1278"/>
      <c r="E2" s="1278"/>
      <c r="F2" s="1278"/>
      <c r="G2" s="1278"/>
      <c r="H2" s="1278"/>
      <c r="I2" s="1278"/>
      <c r="J2" s="1278"/>
    </row>
    <row r="3" spans="1:10" x14ac:dyDescent="0.25"/>
    <row r="4" spans="1:10" ht="12.75" customHeight="1" x14ac:dyDescent="0.25">
      <c r="A4" s="1275" t="s">
        <v>2049</v>
      </c>
      <c r="B4" s="1275"/>
      <c r="C4" s="1275"/>
      <c r="D4" s="1275"/>
      <c r="E4" s="1275"/>
      <c r="F4" s="1275"/>
      <c r="G4" s="1275"/>
      <c r="H4" s="1275"/>
      <c r="I4" s="1275"/>
      <c r="J4" s="1275"/>
    </row>
    <row r="5" spans="1:10" x14ac:dyDescent="0.25">
      <c r="A5" s="1275"/>
      <c r="B5" s="1275"/>
      <c r="C5" s="1275"/>
      <c r="D5" s="1275"/>
      <c r="E5" s="1275"/>
      <c r="F5" s="1275"/>
      <c r="G5" s="1275"/>
      <c r="H5" s="1275"/>
      <c r="I5" s="1275"/>
      <c r="J5" s="1275"/>
    </row>
    <row r="6" spans="1:10" ht="30" customHeight="1" x14ac:dyDescent="0.25">
      <c r="A6" s="1275"/>
      <c r="B6" s="1275"/>
      <c r="C6" s="1275"/>
      <c r="D6" s="1275"/>
      <c r="E6" s="1275"/>
      <c r="F6" s="1275"/>
      <c r="G6" s="1275"/>
      <c r="H6" s="1275"/>
      <c r="I6" s="1275"/>
      <c r="J6" s="1275"/>
    </row>
    <row r="7" spans="1:10" x14ac:dyDescent="0.25">
      <c r="A7" s="417"/>
      <c r="B7" s="417"/>
      <c r="C7" s="417"/>
      <c r="D7" s="417"/>
      <c r="E7" s="417"/>
      <c r="F7" s="417"/>
      <c r="G7" s="417"/>
      <c r="H7" s="417"/>
      <c r="I7" s="417"/>
      <c r="J7" s="417"/>
    </row>
    <row r="8" spans="1:10" ht="12.75" customHeight="1" x14ac:dyDescent="0.25">
      <c r="A8" s="403" t="s">
        <v>1873</v>
      </c>
      <c r="B8" s="417"/>
      <c r="C8" s="417"/>
      <c r="D8" s="417"/>
      <c r="E8" s="417"/>
      <c r="F8" s="417"/>
      <c r="G8" s="417"/>
      <c r="H8" s="417"/>
      <c r="I8" s="417"/>
      <c r="J8" s="417"/>
    </row>
    <row r="9" spans="1:10" x14ac:dyDescent="0.25"/>
    <row r="10" spans="1:10" ht="12.75" customHeight="1" x14ac:dyDescent="0.25">
      <c r="A10" s="1279" t="s">
        <v>1875</v>
      </c>
      <c r="B10" s="1279"/>
      <c r="C10" s="1279"/>
      <c r="D10" s="1279"/>
      <c r="E10" s="1279"/>
      <c r="F10" s="1279"/>
      <c r="G10" s="1279"/>
      <c r="H10" s="1279"/>
      <c r="I10" s="1279"/>
      <c r="J10" s="1279"/>
    </row>
    <row r="11" spans="1:10" x14ac:dyDescent="0.25">
      <c r="A11" s="1279"/>
      <c r="B11" s="1279"/>
      <c r="C11" s="1279"/>
      <c r="D11" s="1279"/>
      <c r="E11" s="1279"/>
      <c r="F11" s="1279"/>
      <c r="G11" s="1279"/>
      <c r="H11" s="1279"/>
      <c r="I11" s="1279"/>
      <c r="J11" s="1279"/>
    </row>
    <row r="12" spans="1:10" x14ac:dyDescent="0.25">
      <c r="A12" s="1279"/>
      <c r="B12" s="1279"/>
      <c r="C12" s="1279"/>
      <c r="D12" s="1279"/>
      <c r="E12" s="1279"/>
      <c r="F12" s="1279"/>
      <c r="G12" s="1279"/>
      <c r="H12" s="1279"/>
      <c r="I12" s="1279"/>
      <c r="J12" s="1279"/>
    </row>
    <row r="13" spans="1:10" x14ac:dyDescent="0.25">
      <c r="A13" s="1279"/>
      <c r="B13" s="1279"/>
      <c r="C13" s="1279"/>
      <c r="D13" s="1279"/>
      <c r="E13" s="1279"/>
      <c r="F13" s="1279"/>
      <c r="G13" s="1279"/>
      <c r="H13" s="1279"/>
      <c r="I13" s="1279"/>
      <c r="J13" s="1279"/>
    </row>
    <row r="14" spans="1:10" x14ac:dyDescent="0.25">
      <c r="A14" s="1279"/>
      <c r="B14" s="1279"/>
      <c r="C14" s="1279"/>
      <c r="D14" s="1279"/>
      <c r="E14" s="1279"/>
      <c r="F14" s="1279"/>
      <c r="G14" s="1279"/>
      <c r="H14" s="1279"/>
      <c r="I14" s="1279"/>
      <c r="J14" s="1279"/>
    </row>
    <row r="15" spans="1:10" x14ac:dyDescent="0.25">
      <c r="A15" s="1279"/>
      <c r="B15" s="1279"/>
      <c r="C15" s="1279"/>
      <c r="D15" s="1279"/>
      <c r="E15" s="1279"/>
      <c r="F15" s="1279"/>
      <c r="G15" s="1279"/>
      <c r="H15" s="1279"/>
      <c r="I15" s="1279"/>
      <c r="J15" s="1279"/>
    </row>
    <row r="16" spans="1:10" x14ac:dyDescent="0.25">
      <c r="A16" s="525"/>
      <c r="B16" s="525"/>
      <c r="C16" s="525"/>
      <c r="D16" s="525"/>
      <c r="E16" s="525"/>
      <c r="F16" s="525"/>
      <c r="G16" s="525"/>
      <c r="H16" s="525"/>
      <c r="I16" s="525"/>
      <c r="J16" s="525"/>
    </row>
    <row r="17" spans="1:10" x14ac:dyDescent="0.25">
      <c r="A17" s="477" t="s">
        <v>1874</v>
      </c>
      <c r="B17" s="417"/>
      <c r="C17" s="417"/>
      <c r="D17" s="417"/>
      <c r="E17" s="417"/>
      <c r="F17" s="417"/>
      <c r="G17" s="417"/>
      <c r="H17" s="417"/>
      <c r="I17" s="417"/>
      <c r="J17" s="417"/>
    </row>
    <row r="18" spans="1:10" x14ac:dyDescent="0.25">
      <c r="A18" s="417" t="s">
        <v>250</v>
      </c>
      <c r="B18" s="417"/>
      <c r="C18" s="417"/>
      <c r="D18" s="417"/>
      <c r="E18" s="417"/>
      <c r="F18" s="417"/>
      <c r="G18" s="417"/>
      <c r="H18" s="417"/>
      <c r="I18" s="417"/>
      <c r="J18" s="417"/>
    </row>
    <row r="19" spans="1:10" x14ac:dyDescent="0.25">
      <c r="A19" s="1278" t="s">
        <v>1190</v>
      </c>
      <c r="B19" s="1278"/>
      <c r="C19" s="1278"/>
      <c r="D19" s="1278"/>
      <c r="E19" s="1278"/>
    </row>
    <row r="20" spans="1:10" x14ac:dyDescent="0.25"/>
    <row r="21" spans="1:10" x14ac:dyDescent="0.25"/>
    <row r="22" spans="1:10" x14ac:dyDescent="0.25"/>
    <row r="23" spans="1:10" x14ac:dyDescent="0.25"/>
    <row r="24" spans="1:10" x14ac:dyDescent="0.25"/>
    <row r="25" spans="1:10" x14ac:dyDescent="0.25"/>
    <row r="26" spans="1:10" x14ac:dyDescent="0.25"/>
    <row r="27" spans="1:10" x14ac:dyDescent="0.25"/>
    <row r="28" spans="1:10" x14ac:dyDescent="0.25"/>
    <row r="29" spans="1:10" x14ac:dyDescent="0.25"/>
    <row r="30" spans="1:10" x14ac:dyDescent="0.25"/>
    <row r="31" spans="1:10" x14ac:dyDescent="0.25"/>
    <row r="32" spans="1:10"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0" x14ac:dyDescent="0.25"/>
    <row r="50" spans="1:10" x14ac:dyDescent="0.25"/>
    <row r="51" spans="1:10" x14ac:dyDescent="0.25"/>
    <row r="52" spans="1:10" x14ac:dyDescent="0.25"/>
    <row r="53" spans="1:10" x14ac:dyDescent="0.25"/>
    <row r="54" spans="1:10" x14ac:dyDescent="0.25"/>
    <row r="55" spans="1:10" x14ac:dyDescent="0.25"/>
    <row r="56" spans="1:10" x14ac:dyDescent="0.25">
      <c r="A56" s="1275" t="s">
        <v>1191</v>
      </c>
      <c r="B56" s="1275"/>
      <c r="C56" s="1275"/>
      <c r="D56" s="1275"/>
      <c r="E56" s="1275"/>
      <c r="F56" s="1275"/>
      <c r="G56" s="1275"/>
      <c r="H56" s="1275"/>
      <c r="I56" s="1275"/>
      <c r="J56" s="1275"/>
    </row>
    <row r="57" spans="1:10" x14ac:dyDescent="0.25">
      <c r="A57" s="1275"/>
      <c r="B57" s="1275"/>
      <c r="C57" s="1275"/>
      <c r="D57" s="1275"/>
      <c r="E57" s="1275"/>
      <c r="F57" s="1275"/>
      <c r="G57" s="1275"/>
      <c r="H57" s="1275"/>
      <c r="I57" s="1275"/>
      <c r="J57" s="1275"/>
    </row>
    <row r="58" spans="1:10" x14ac:dyDescent="0.25">
      <c r="A58" s="1275"/>
      <c r="B58" s="1275"/>
      <c r="C58" s="1275"/>
      <c r="D58" s="1275"/>
      <c r="E58" s="1275"/>
      <c r="F58" s="1275"/>
      <c r="G58" s="1275"/>
      <c r="H58" s="1275"/>
      <c r="I58" s="1275"/>
      <c r="J58" s="1275"/>
    </row>
    <row r="59" spans="1:10" x14ac:dyDescent="0.25"/>
    <row r="60" spans="1:10" x14ac:dyDescent="0.25">
      <c r="A60" s="403" t="s">
        <v>1190</v>
      </c>
    </row>
    <row r="61" spans="1:10" x14ac:dyDescent="0.25"/>
    <row r="62" spans="1:10" x14ac:dyDescent="0.25"/>
    <row r="63" spans="1:10" x14ac:dyDescent="0.25"/>
    <row r="64" spans="1:10" x14ac:dyDescent="0.25"/>
    <row r="65" spans="1:9" x14ac:dyDescent="0.25"/>
    <row r="66" spans="1:9" x14ac:dyDescent="0.25"/>
    <row r="67" spans="1:9" x14ac:dyDescent="0.25"/>
    <row r="68" spans="1:9" x14ac:dyDescent="0.25"/>
    <row r="69" spans="1:9" x14ac:dyDescent="0.25"/>
    <row r="70" spans="1:9" x14ac:dyDescent="0.25"/>
    <row r="71" spans="1:9" ht="13" x14ac:dyDescent="0.3">
      <c r="A71" s="1276" t="s">
        <v>1871</v>
      </c>
      <c r="B71" s="1276"/>
      <c r="C71" s="1276"/>
      <c r="D71" s="1276"/>
      <c r="E71" s="1276"/>
      <c r="F71" s="1276"/>
      <c r="G71" s="1276"/>
      <c r="H71" s="1276"/>
      <c r="I71" s="1276"/>
    </row>
    <row r="72" spans="1:9" x14ac:dyDescent="0.25">
      <c r="A72" s="1268" t="s">
        <v>2047</v>
      </c>
      <c r="B72" s="1268"/>
      <c r="C72" s="1268"/>
      <c r="D72" s="1268"/>
      <c r="E72" s="1268"/>
    </row>
    <row r="73" spans="1:9" x14ac:dyDescent="0.25">
      <c r="A73" s="1268" t="s">
        <v>2048</v>
      </c>
      <c r="B73" s="1268"/>
      <c r="C73" s="1268"/>
      <c r="D73" s="1268"/>
      <c r="E73" s="1268"/>
    </row>
    <row r="74" spans="1:9" x14ac:dyDescent="0.25">
      <c r="A74" s="1268" t="s">
        <v>1872</v>
      </c>
      <c r="B74" s="1268"/>
      <c r="C74" s="1268"/>
      <c r="D74" s="1268"/>
      <c r="E74" s="1268"/>
    </row>
    <row r="75" spans="1:9" x14ac:dyDescent="0.25"/>
    <row r="76" spans="1:9" x14ac:dyDescent="0.25"/>
    <row r="77" spans="1:9" x14ac:dyDescent="0.25"/>
    <row r="78" spans="1:9" ht="12.5" customHeight="1" x14ac:dyDescent="0.25"/>
    <row r="79" spans="1:9" ht="12.5" customHeight="1" x14ac:dyDescent="0.25"/>
    <row r="80" spans="1:9" ht="12.5" customHeight="1" x14ac:dyDescent="0.25"/>
    <row r="81" ht="12.5" customHeight="1" x14ac:dyDescent="0.25"/>
    <row r="82" ht="12.5" customHeight="1" x14ac:dyDescent="0.25"/>
    <row r="83" ht="12.5" customHeight="1" x14ac:dyDescent="0.25"/>
    <row r="84" ht="12.5" customHeight="1" x14ac:dyDescent="0.25"/>
    <row r="85" ht="12.5" customHeight="1" x14ac:dyDescent="0.25"/>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85" zoomScaleNormal="85" workbookViewId="0">
      <selection activeCell="D8" sqref="D8"/>
    </sheetView>
  </sheetViews>
  <sheetFormatPr defaultColWidth="0" defaultRowHeight="13" zeroHeight="1" x14ac:dyDescent="0.3"/>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08984375" style="405" customWidth="1"/>
    <col min="10" max="10" width="8.90625" style="403" hidden="1" customWidth="1"/>
    <col min="11" max="16384" width="8.90625" style="403" hidden="1"/>
  </cols>
  <sheetData>
    <row r="1" spans="1:13" x14ac:dyDescent="0.3"/>
    <row r="2" spans="1:13" x14ac:dyDescent="0.3">
      <c r="A2" s="1330" t="s">
        <v>2462</v>
      </c>
      <c r="B2" s="1330"/>
      <c r="C2" s="1330"/>
      <c r="D2" s="1330"/>
      <c r="E2" s="1330"/>
      <c r="F2" s="1330"/>
      <c r="G2" s="1330"/>
      <c r="H2" s="1330"/>
      <c r="I2" s="1330"/>
    </row>
    <row r="3" spans="1:13" x14ac:dyDescent="0.3">
      <c r="A3" s="1318" t="s">
        <v>2221</v>
      </c>
      <c r="B3" s="1318"/>
      <c r="C3" s="1318"/>
      <c r="D3" s="1318"/>
      <c r="E3" s="1318"/>
      <c r="F3" s="1318"/>
      <c r="G3" s="1318"/>
      <c r="H3" s="1318"/>
      <c r="I3" s="1318"/>
    </row>
    <row r="4" spans="1:13" x14ac:dyDescent="0.3">
      <c r="A4" s="1318"/>
      <c r="B4" s="1318"/>
      <c r="C4" s="1278"/>
      <c r="D4" s="1278"/>
      <c r="E4" s="1278"/>
      <c r="F4" s="1278"/>
      <c r="G4" s="1278"/>
    </row>
    <row r="5" spans="1:13" x14ac:dyDescent="0.3">
      <c r="A5" s="1318"/>
      <c r="B5" s="1318"/>
      <c r="C5" s="1278"/>
      <c r="D5" s="1278"/>
      <c r="E5" s="1278"/>
      <c r="F5" s="1278"/>
      <c r="G5" s="1278"/>
    </row>
    <row r="6" spans="1:13" ht="12.75" customHeight="1" x14ac:dyDescent="0.3">
      <c r="A6" s="1321" t="s">
        <v>2220</v>
      </c>
      <c r="B6" s="1321"/>
      <c r="C6" s="1321"/>
      <c r="D6" s="1321"/>
      <c r="E6" s="1321"/>
      <c r="F6" s="1321"/>
      <c r="G6" s="1321"/>
      <c r="I6" s="491"/>
    </row>
    <row r="7" spans="1:13" x14ac:dyDescent="0.3">
      <c r="A7" s="1321"/>
      <c r="B7" s="1321"/>
      <c r="C7" s="1321"/>
      <c r="D7" s="1321"/>
      <c r="E7" s="1321"/>
      <c r="F7" s="1321"/>
      <c r="G7" s="1321"/>
      <c r="I7" s="491"/>
    </row>
    <row r="8" spans="1:13" x14ac:dyDescent="0.3">
      <c r="A8" s="482"/>
      <c r="B8" s="482"/>
      <c r="C8" s="483"/>
      <c r="D8" s="483"/>
      <c r="E8" s="483"/>
      <c r="F8" s="483"/>
    </row>
    <row r="9" spans="1:13" x14ac:dyDescent="0.3">
      <c r="A9" s="1307" t="s">
        <v>1102</v>
      </c>
      <c r="B9" s="1307"/>
      <c r="C9" s="1307"/>
      <c r="D9" s="1307"/>
      <c r="E9" s="1307"/>
      <c r="F9" s="1307"/>
      <c r="G9" s="1307"/>
      <c r="H9" s="1029"/>
      <c r="I9" s="1030"/>
    </row>
    <row r="10" spans="1:13" x14ac:dyDescent="0.3">
      <c r="A10" s="483"/>
      <c r="B10" s="483"/>
      <c r="E10" s="405"/>
    </row>
    <row r="11" spans="1:13" ht="13.65" customHeight="1" x14ac:dyDescent="0.3">
      <c r="C11" s="483"/>
      <c r="D11" s="1320" t="s">
        <v>1101</v>
      </c>
      <c r="E11" s="1320"/>
      <c r="F11" s="1320"/>
    </row>
    <row r="12" spans="1:13" x14ac:dyDescent="0.3">
      <c r="C12" s="483"/>
      <c r="D12" s="1320"/>
      <c r="E12" s="1320"/>
      <c r="F12" s="1320"/>
    </row>
    <row r="13" spans="1:13" x14ac:dyDescent="0.3">
      <c r="A13" s="484"/>
      <c r="B13" s="484"/>
      <c r="C13" s="484"/>
      <c r="D13" s="1298" t="s">
        <v>1091</v>
      </c>
      <c r="E13" s="1298"/>
      <c r="F13" s="1298"/>
      <c r="M13" s="96"/>
    </row>
    <row r="14" spans="1:13" x14ac:dyDescent="0.3">
      <c r="A14" s="484"/>
      <c r="B14" s="484"/>
      <c r="C14" s="484"/>
      <c r="D14" s="477"/>
      <c r="L14" s="313"/>
    </row>
    <row r="15" spans="1:13" x14ac:dyDescent="0.3">
      <c r="A15" s="485"/>
      <c r="B15" s="486" t="s">
        <v>2771</v>
      </c>
      <c r="C15" s="484"/>
      <c r="D15" s="1300" t="s">
        <v>1923</v>
      </c>
      <c r="E15" s="1300"/>
      <c r="F15" s="1300"/>
      <c r="I15" s="491"/>
    </row>
    <row r="16" spans="1:13" x14ac:dyDescent="0.3">
      <c r="A16" s="484"/>
      <c r="B16" s="484"/>
      <c r="C16" s="484"/>
      <c r="D16" s="1300"/>
      <c r="E16" s="1300"/>
      <c r="F16" s="1300"/>
      <c r="I16" s="491"/>
    </row>
    <row r="17" spans="1:9" x14ac:dyDescent="0.3">
      <c r="A17" s="484"/>
      <c r="B17" s="484"/>
      <c r="C17" s="484"/>
      <c r="D17" s="1300"/>
      <c r="E17" s="1300"/>
      <c r="F17" s="1300"/>
      <c r="I17" s="491"/>
    </row>
    <row r="18" spans="1:9" x14ac:dyDescent="0.3">
      <c r="A18" s="484"/>
      <c r="B18" s="484"/>
      <c r="C18" s="484"/>
      <c r="D18" s="446"/>
      <c r="E18" s="313" t="s">
        <v>1921</v>
      </c>
      <c r="F18" s="446"/>
      <c r="I18" s="491"/>
    </row>
    <row r="19" spans="1:9" x14ac:dyDescent="0.3">
      <c r="A19" s="484"/>
      <c r="B19" s="484"/>
      <c r="C19" s="484"/>
      <c r="I19" s="491"/>
    </row>
    <row r="20" spans="1:9" x14ac:dyDescent="0.3">
      <c r="A20" s="485"/>
      <c r="B20" s="486" t="s">
        <v>2771</v>
      </c>
      <c r="D20" s="1300" t="s">
        <v>1924</v>
      </c>
      <c r="E20" s="1300"/>
      <c r="F20" s="1300"/>
      <c r="I20" s="491"/>
    </row>
    <row r="21" spans="1:9" x14ac:dyDescent="0.3">
      <c r="A21" s="485"/>
      <c r="D21" s="1300"/>
      <c r="E21" s="1300"/>
      <c r="F21" s="1300"/>
      <c r="I21" s="491"/>
    </row>
    <row r="22" spans="1:9" x14ac:dyDescent="0.3">
      <c r="A22" s="485"/>
      <c r="D22" s="393"/>
      <c r="E22" s="96" t="s">
        <v>1920</v>
      </c>
      <c r="F22" s="393"/>
      <c r="I22" s="491"/>
    </row>
    <row r="23" spans="1:9" x14ac:dyDescent="0.3">
      <c r="A23" s="485"/>
      <c r="B23" s="485"/>
      <c r="D23" s="447"/>
      <c r="I23" s="491"/>
    </row>
    <row r="24" spans="1:9" x14ac:dyDescent="0.3">
      <c r="A24" s="485"/>
      <c r="B24" s="486" t="s">
        <v>2612</v>
      </c>
      <c r="D24" s="1300" t="s">
        <v>1092</v>
      </c>
      <c r="E24" s="1300"/>
      <c r="F24" s="1300"/>
      <c r="I24" s="491"/>
    </row>
    <row r="25" spans="1:9" x14ac:dyDescent="0.3">
      <c r="A25" s="485"/>
      <c r="B25" s="485"/>
      <c r="D25" s="1300"/>
      <c r="E25" s="1300"/>
      <c r="F25" s="1300"/>
      <c r="I25" s="491"/>
    </row>
    <row r="26" spans="1:9" x14ac:dyDescent="0.3">
      <c r="I26" s="491"/>
    </row>
    <row r="27" spans="1:9" x14ac:dyDescent="0.3">
      <c r="A27" s="485"/>
      <c r="B27" s="486" t="s">
        <v>2771</v>
      </c>
      <c r="D27" s="1300" t="s">
        <v>2050</v>
      </c>
      <c r="E27" s="1300"/>
      <c r="F27" s="1300"/>
      <c r="I27" s="491"/>
    </row>
    <row r="28" spans="1:9" x14ac:dyDescent="0.3">
      <c r="D28" s="1300"/>
      <c r="E28" s="1300"/>
      <c r="F28" s="1300"/>
      <c r="I28" s="491"/>
    </row>
    <row r="29" spans="1:9" x14ac:dyDescent="0.3">
      <c r="D29" s="1300"/>
      <c r="E29" s="1300"/>
      <c r="F29" s="1300"/>
      <c r="I29" s="491"/>
    </row>
    <row r="30" spans="1:9" x14ac:dyDescent="0.3">
      <c r="D30" s="1300"/>
      <c r="E30" s="1300"/>
      <c r="F30" s="1300"/>
      <c r="I30" s="491"/>
    </row>
    <row r="31" spans="1:9" x14ac:dyDescent="0.3">
      <c r="D31" s="1300"/>
      <c r="E31" s="1300"/>
      <c r="F31" s="1300"/>
      <c r="I31" s="491"/>
    </row>
    <row r="32" spans="1:9" x14ac:dyDescent="0.3">
      <c r="D32" s="448"/>
      <c r="I32" s="491"/>
    </row>
    <row r="33" spans="1:9" x14ac:dyDescent="0.3">
      <c r="B33" s="486" t="s">
        <v>2612</v>
      </c>
      <c r="D33" s="1300" t="s">
        <v>2051</v>
      </c>
      <c r="E33" s="1300"/>
      <c r="F33" s="1300"/>
      <c r="I33" s="491"/>
    </row>
    <row r="34" spans="1:9" x14ac:dyDescent="0.3">
      <c r="D34" s="1300"/>
      <c r="E34" s="1300"/>
      <c r="F34" s="1300"/>
      <c r="I34" s="491"/>
    </row>
    <row r="35" spans="1:9" x14ac:dyDescent="0.3">
      <c r="A35" s="485"/>
      <c r="B35" s="485"/>
      <c r="D35" s="448"/>
      <c r="I35" s="491"/>
    </row>
    <row r="36" spans="1:9" ht="14.4" customHeight="1" x14ac:dyDescent="0.3">
      <c r="A36" s="485"/>
      <c r="B36" s="486" t="s">
        <v>2771</v>
      </c>
      <c r="D36" s="1300" t="s">
        <v>1215</v>
      </c>
      <c r="E36" s="1300"/>
      <c r="F36" s="1300"/>
      <c r="I36" s="491"/>
    </row>
    <row r="37" spans="1:9" x14ac:dyDescent="0.3">
      <c r="A37" s="485"/>
      <c r="B37" s="485"/>
      <c r="D37" s="1300"/>
      <c r="E37" s="1300"/>
      <c r="F37" s="1300"/>
      <c r="I37" s="491"/>
    </row>
    <row r="38" spans="1:9" x14ac:dyDescent="0.3">
      <c r="A38" s="485"/>
      <c r="B38" s="485"/>
      <c r="D38" s="1300"/>
      <c r="E38" s="1300"/>
      <c r="F38" s="1300"/>
      <c r="I38" s="491"/>
    </row>
    <row r="39" spans="1:9" x14ac:dyDescent="0.3">
      <c r="A39" s="485"/>
      <c r="B39" s="485"/>
      <c r="D39" s="1300"/>
      <c r="E39" s="1300"/>
      <c r="F39" s="1300"/>
      <c r="I39" s="491"/>
    </row>
    <row r="40" spans="1:9" x14ac:dyDescent="0.3">
      <c r="A40" s="485"/>
      <c r="B40" s="485"/>
      <c r="I40" s="491"/>
    </row>
    <row r="41" spans="1:9" x14ac:dyDescent="0.3">
      <c r="A41" s="485"/>
      <c r="B41" s="486" t="s">
        <v>2771</v>
      </c>
      <c r="D41" s="1300" t="s">
        <v>1093</v>
      </c>
      <c r="E41" s="1300"/>
      <c r="F41" s="1300"/>
      <c r="I41" s="491"/>
    </row>
    <row r="42" spans="1:9" x14ac:dyDescent="0.3">
      <c r="A42" s="485"/>
      <c r="B42" s="485"/>
      <c r="D42" s="1300"/>
      <c r="E42" s="1300"/>
      <c r="F42" s="1300"/>
      <c r="I42" s="491"/>
    </row>
    <row r="43" spans="1:9" x14ac:dyDescent="0.3">
      <c r="A43" s="485"/>
      <c r="B43" s="485"/>
      <c r="D43" s="1300"/>
      <c r="E43" s="1300"/>
      <c r="F43" s="1300"/>
      <c r="I43" s="491"/>
    </row>
    <row r="44" spans="1:9" x14ac:dyDescent="0.3">
      <c r="A44" s="485"/>
      <c r="B44" s="485"/>
      <c r="D44" s="1300"/>
      <c r="E44" s="1300"/>
      <c r="F44" s="1300"/>
      <c r="I44" s="491"/>
    </row>
    <row r="45" spans="1:9" x14ac:dyDescent="0.3">
      <c r="A45" s="485"/>
      <c r="B45" s="485"/>
      <c r="D45" s="1300"/>
      <c r="E45" s="1300"/>
      <c r="F45" s="1300"/>
      <c r="I45" s="491"/>
    </row>
    <row r="46" spans="1:9" x14ac:dyDescent="0.3">
      <c r="A46" s="485"/>
      <c r="B46" s="485"/>
      <c r="D46" s="446"/>
      <c r="E46" s="446"/>
      <c r="F46" s="446"/>
      <c r="I46" s="491"/>
    </row>
    <row r="47" spans="1:9" x14ac:dyDescent="0.3">
      <c r="A47" s="485"/>
      <c r="B47" s="486" t="s">
        <v>2771</v>
      </c>
      <c r="D47" s="1300" t="s">
        <v>1094</v>
      </c>
      <c r="E47" s="1300"/>
      <c r="F47" s="1300"/>
      <c r="I47" s="491"/>
    </row>
    <row r="48" spans="1:9" x14ac:dyDescent="0.3">
      <c r="A48" s="485"/>
      <c r="B48" s="485"/>
      <c r="D48" s="1300"/>
      <c r="E48" s="1300"/>
      <c r="F48" s="1300"/>
      <c r="I48" s="491"/>
    </row>
    <row r="49" spans="1:9" x14ac:dyDescent="0.3">
      <c r="A49" s="485"/>
      <c r="B49" s="485"/>
      <c r="D49" s="1300"/>
      <c r="E49" s="1300"/>
      <c r="F49" s="1300"/>
      <c r="I49" s="491"/>
    </row>
    <row r="50" spans="1:9" ht="23.25" customHeight="1" x14ac:dyDescent="0.3">
      <c r="A50" s="485"/>
      <c r="B50" s="485"/>
      <c r="D50" s="1300"/>
      <c r="E50" s="1300"/>
      <c r="F50" s="1300"/>
      <c r="I50" s="491"/>
    </row>
    <row r="51" spans="1:9" x14ac:dyDescent="0.3">
      <c r="A51" s="485"/>
      <c r="B51" s="485"/>
      <c r="D51" s="447"/>
      <c r="I51" s="491"/>
    </row>
    <row r="52" spans="1:9" ht="14.4" customHeight="1" x14ac:dyDescent="0.3">
      <c r="A52" s="485"/>
      <c r="B52" s="486" t="s">
        <v>2612</v>
      </c>
      <c r="D52" s="1300" t="s">
        <v>1095</v>
      </c>
      <c r="E52" s="1300"/>
      <c r="F52" s="1300"/>
      <c r="I52" s="491"/>
    </row>
    <row r="53" spans="1:9" x14ac:dyDescent="0.3">
      <c r="A53" s="485"/>
      <c r="B53" s="485"/>
      <c r="D53" s="1300"/>
      <c r="E53" s="1300"/>
      <c r="F53" s="1300"/>
      <c r="I53" s="491"/>
    </row>
    <row r="54" spans="1:9" x14ac:dyDescent="0.3">
      <c r="A54" s="485"/>
      <c r="B54" s="485"/>
      <c r="D54" s="1300"/>
      <c r="E54" s="1300"/>
      <c r="F54" s="1300"/>
      <c r="I54" s="491"/>
    </row>
    <row r="55" spans="1:9" x14ac:dyDescent="0.3">
      <c r="A55" s="485"/>
      <c r="B55" s="485"/>
      <c r="I55" s="491"/>
    </row>
    <row r="56" spans="1:9" x14ac:dyDescent="0.3">
      <c r="A56" s="485"/>
      <c r="B56" s="486" t="s">
        <v>2771</v>
      </c>
      <c r="D56" s="1323" t="s">
        <v>1096</v>
      </c>
      <c r="E56" s="1323"/>
      <c r="F56" s="1323"/>
      <c r="I56" s="491"/>
    </row>
    <row r="57" spans="1:9" x14ac:dyDescent="0.3">
      <c r="A57" s="485"/>
      <c r="B57" s="485"/>
      <c r="D57" s="1323"/>
      <c r="E57" s="1323"/>
      <c r="F57" s="1323"/>
      <c r="I57" s="491"/>
    </row>
    <row r="58" spans="1:9" x14ac:dyDescent="0.3">
      <c r="A58" s="485"/>
      <c r="B58" s="485"/>
      <c r="D58" s="393" t="s">
        <v>1922</v>
      </c>
      <c r="E58" s="446"/>
      <c r="F58" s="446"/>
      <c r="I58" s="491"/>
    </row>
    <row r="59" spans="1:9" x14ac:dyDescent="0.3">
      <c r="A59" s="485"/>
      <c r="B59" s="485"/>
      <c r="D59" s="446"/>
      <c r="E59" s="313" t="s">
        <v>1921</v>
      </c>
      <c r="F59" s="446"/>
      <c r="I59" s="491"/>
    </row>
    <row r="60" spans="1:9" x14ac:dyDescent="0.3">
      <c r="D60" s="448"/>
      <c r="I60" s="491"/>
    </row>
    <row r="61" spans="1:9" x14ac:dyDescent="0.3">
      <c r="A61" s="485"/>
      <c r="B61" s="486" t="s">
        <v>2771</v>
      </c>
      <c r="D61" s="1300" t="s">
        <v>1097</v>
      </c>
      <c r="E61" s="1300"/>
      <c r="F61" s="1300"/>
      <c r="I61" s="491"/>
    </row>
    <row r="62" spans="1:9" x14ac:dyDescent="0.3">
      <c r="D62" s="1300"/>
      <c r="E62" s="1300"/>
      <c r="F62" s="1300"/>
      <c r="I62" s="491"/>
    </row>
    <row r="63" spans="1:9" x14ac:dyDescent="0.3">
      <c r="D63" s="1300"/>
      <c r="E63" s="1300"/>
      <c r="F63" s="1300"/>
      <c r="I63" s="491"/>
    </row>
    <row r="64" spans="1:9" x14ac:dyDescent="0.3">
      <c r="I64" s="491"/>
    </row>
    <row r="65" spans="1:9" x14ac:dyDescent="0.3">
      <c r="A65" s="485"/>
      <c r="B65" s="486" t="s">
        <v>2612</v>
      </c>
      <c r="D65" s="1300" t="s">
        <v>1098</v>
      </c>
      <c r="E65" s="1300"/>
      <c r="F65" s="1300"/>
      <c r="I65" s="491"/>
    </row>
    <row r="66" spans="1:9" x14ac:dyDescent="0.3">
      <c r="D66" s="1300"/>
      <c r="E66" s="1300"/>
      <c r="F66" s="1300"/>
      <c r="I66" s="491"/>
    </row>
    <row r="67" spans="1:9" x14ac:dyDescent="0.3">
      <c r="I67" s="491"/>
    </row>
    <row r="68" spans="1:9" x14ac:dyDescent="0.3">
      <c r="A68" s="485"/>
      <c r="B68" s="486" t="s">
        <v>2612</v>
      </c>
      <c r="D68" s="1300" t="s">
        <v>1099</v>
      </c>
      <c r="E68" s="1300"/>
      <c r="F68" s="1300"/>
      <c r="I68" s="491"/>
    </row>
    <row r="69" spans="1:9" x14ac:dyDescent="0.3">
      <c r="D69" s="1300"/>
      <c r="E69" s="1300"/>
      <c r="F69" s="1300"/>
      <c r="I69" s="491"/>
    </row>
    <row r="70" spans="1:9" x14ac:dyDescent="0.3">
      <c r="D70" s="1300"/>
      <c r="E70" s="1300"/>
      <c r="F70" s="1300"/>
      <c r="I70" s="491"/>
    </row>
    <row r="71" spans="1:9" x14ac:dyDescent="0.3">
      <c r="I71" s="491"/>
    </row>
    <row r="72" spans="1:9" x14ac:dyDescent="0.3">
      <c r="A72" s="485"/>
      <c r="B72" s="486" t="s">
        <v>2771</v>
      </c>
      <c r="D72" s="1300" t="s">
        <v>1100</v>
      </c>
      <c r="E72" s="1300"/>
      <c r="F72" s="1300"/>
      <c r="I72" s="491"/>
    </row>
    <row r="73" spans="1:9" x14ac:dyDescent="0.3">
      <c r="D73" s="1300"/>
      <c r="E73" s="1300"/>
      <c r="F73" s="1300"/>
      <c r="I73" s="491"/>
    </row>
    <row r="74" spans="1:9" x14ac:dyDescent="0.3">
      <c r="A74" s="485"/>
      <c r="B74" s="485"/>
      <c r="D74" s="447"/>
      <c r="I74" s="491"/>
    </row>
    <row r="75" spans="1:9" x14ac:dyDescent="0.3">
      <c r="A75" s="1307" t="s">
        <v>1045</v>
      </c>
      <c r="B75" s="1307"/>
      <c r="C75" s="1307"/>
      <c r="D75" s="1307"/>
      <c r="E75" s="1307"/>
      <c r="F75" s="1307"/>
      <c r="G75" s="1307"/>
      <c r="H75" s="1029"/>
      <c r="I75" s="1155"/>
    </row>
    <row r="76" spans="1:9" x14ac:dyDescent="0.3">
      <c r="I76" s="491"/>
    </row>
    <row r="77" spans="1:9" x14ac:dyDescent="0.3">
      <c r="C77" s="487"/>
      <c r="D77" s="1316" t="s">
        <v>1103</v>
      </c>
      <c r="E77" s="1316"/>
      <c r="F77" s="1316"/>
      <c r="I77" s="491"/>
    </row>
    <row r="78" spans="1:9" x14ac:dyDescent="0.3">
      <c r="A78" s="447"/>
      <c r="B78" s="447"/>
      <c r="D78" s="1300" t="s">
        <v>1118</v>
      </c>
      <c r="E78" s="1300"/>
      <c r="F78" s="1300"/>
      <c r="I78" s="491"/>
    </row>
    <row r="79" spans="1:9" x14ac:dyDescent="0.3">
      <c r="A79" s="447"/>
      <c r="B79" s="447"/>
      <c r="I79" s="491"/>
    </row>
    <row r="80" spans="1:9" ht="13.65" customHeight="1" x14ac:dyDescent="0.3">
      <c r="A80" s="485"/>
      <c r="B80" s="486" t="s">
        <v>2771</v>
      </c>
      <c r="D80" s="1300" t="s">
        <v>1246</v>
      </c>
      <c r="E80" s="1300"/>
      <c r="F80" s="1300"/>
      <c r="I80" s="491"/>
    </row>
    <row r="81" spans="1:9" x14ac:dyDescent="0.3">
      <c r="A81" s="485"/>
      <c r="B81" s="485"/>
      <c r="D81" s="1300"/>
      <c r="E81" s="1300"/>
      <c r="F81" s="1300"/>
      <c r="I81" s="491"/>
    </row>
    <row r="82" spans="1:9" x14ac:dyDescent="0.3">
      <c r="A82" s="485"/>
      <c r="B82" s="485"/>
      <c r="D82" s="1300"/>
      <c r="E82" s="1300"/>
      <c r="F82" s="1300"/>
      <c r="I82" s="491"/>
    </row>
    <row r="83" spans="1:9" x14ac:dyDescent="0.3">
      <c r="A83" s="485"/>
      <c r="B83" s="485"/>
      <c r="D83" s="1300"/>
      <c r="E83" s="1300"/>
      <c r="F83" s="1300"/>
      <c r="I83" s="491"/>
    </row>
    <row r="84" spans="1:9" x14ac:dyDescent="0.3">
      <c r="A84" s="485"/>
      <c r="B84" s="485"/>
      <c r="D84" s="1300"/>
      <c r="E84" s="1300"/>
      <c r="F84" s="1300"/>
      <c r="I84" s="491"/>
    </row>
    <row r="85" spans="1:9" x14ac:dyDescent="0.3">
      <c r="A85" s="485"/>
      <c r="B85" s="485"/>
      <c r="D85" s="1300"/>
      <c r="E85" s="1300"/>
      <c r="F85" s="1300"/>
      <c r="I85" s="491"/>
    </row>
    <row r="86" spans="1:9" x14ac:dyDescent="0.3">
      <c r="A86" s="485"/>
      <c r="B86" s="485"/>
      <c r="D86" s="1300"/>
      <c r="E86" s="1300"/>
      <c r="F86" s="1300"/>
      <c r="I86" s="491"/>
    </row>
    <row r="87" spans="1:9" x14ac:dyDescent="0.3">
      <c r="A87" s="485"/>
      <c r="B87" s="485"/>
      <c r="D87" s="1300"/>
      <c r="E87" s="1300"/>
      <c r="F87" s="1300"/>
      <c r="I87" s="491"/>
    </row>
    <row r="88" spans="1:9" x14ac:dyDescent="0.3">
      <c r="A88" s="485"/>
      <c r="B88" s="485"/>
      <c r="D88" s="386"/>
      <c r="E88" s="386"/>
      <c r="F88" s="386"/>
      <c r="I88" s="491"/>
    </row>
    <row r="89" spans="1:9" ht="15" customHeight="1" x14ac:dyDescent="0.3">
      <c r="A89" s="485"/>
      <c r="B89" s="486" t="s">
        <v>2771</v>
      </c>
      <c r="D89" s="1300" t="s">
        <v>1743</v>
      </c>
      <c r="E89" s="1300"/>
      <c r="F89" s="1300"/>
      <c r="I89" s="491"/>
    </row>
    <row r="90" spans="1:9" x14ac:dyDescent="0.3">
      <c r="A90" s="485"/>
      <c r="B90" s="485"/>
      <c r="D90" s="1300"/>
      <c r="E90" s="1300"/>
      <c r="F90" s="1300"/>
      <c r="I90" s="491"/>
    </row>
    <row r="91" spans="1:9" x14ac:dyDescent="0.3">
      <c r="A91" s="485"/>
      <c r="B91" s="485"/>
      <c r="D91" s="446"/>
      <c r="E91" s="446"/>
      <c r="F91" s="446"/>
      <c r="I91" s="491"/>
    </row>
    <row r="92" spans="1:9" x14ac:dyDescent="0.3">
      <c r="A92" s="485"/>
      <c r="B92" s="486" t="s">
        <v>2771</v>
      </c>
      <c r="D92" s="1300" t="s">
        <v>1746</v>
      </c>
      <c r="E92" s="1300"/>
      <c r="F92" s="1300"/>
      <c r="I92" s="491"/>
    </row>
    <row r="93" spans="1:9" x14ac:dyDescent="0.3">
      <c r="A93" s="485"/>
      <c r="B93" s="485"/>
      <c r="D93" s="1300"/>
      <c r="E93" s="1300"/>
      <c r="F93" s="1300"/>
      <c r="I93" s="491"/>
    </row>
    <row r="94" spans="1:9" x14ac:dyDescent="0.3">
      <c r="A94" s="485"/>
      <c r="B94" s="485"/>
      <c r="D94" s="1300"/>
      <c r="E94" s="1300"/>
      <c r="F94" s="1300"/>
      <c r="I94" s="491"/>
    </row>
    <row r="95" spans="1:9" x14ac:dyDescent="0.3">
      <c r="A95" s="485"/>
      <c r="B95" s="485"/>
      <c r="D95" s="446"/>
      <c r="E95" s="446"/>
      <c r="F95" s="446"/>
      <c r="I95" s="491"/>
    </row>
    <row r="96" spans="1:9" x14ac:dyDescent="0.3">
      <c r="A96" s="485"/>
      <c r="B96" s="486" t="s">
        <v>2771</v>
      </c>
      <c r="D96" s="1300" t="s">
        <v>1745</v>
      </c>
      <c r="E96" s="1300"/>
      <c r="F96" s="1300"/>
      <c r="I96" s="491"/>
    </row>
    <row r="97" spans="1:9" s="988" customFormat="1" x14ac:dyDescent="0.3">
      <c r="A97" s="986"/>
      <c r="B97" s="986"/>
      <c r="C97" s="987"/>
      <c r="D97" s="1300"/>
      <c r="E97" s="1300"/>
      <c r="F97" s="1300"/>
      <c r="I97" s="1156"/>
    </row>
    <row r="98" spans="1:9" x14ac:dyDescent="0.3">
      <c r="A98" s="485"/>
      <c r="B98" s="485"/>
      <c r="D98" s="393"/>
      <c r="E98" s="313" t="s">
        <v>1925</v>
      </c>
      <c r="F98" s="446"/>
      <c r="I98" s="491"/>
    </row>
    <row r="99" spans="1:9" x14ac:dyDescent="0.3">
      <c r="A99" s="485"/>
      <c r="B99" s="485"/>
      <c r="D99" s="386"/>
      <c r="E99" s="386"/>
      <c r="F99" s="386"/>
      <c r="I99" s="491"/>
    </row>
    <row r="100" spans="1:9" x14ac:dyDescent="0.3">
      <c r="A100" s="485"/>
      <c r="B100" s="486" t="s">
        <v>2612</v>
      </c>
      <c r="D100" s="1300" t="s">
        <v>1744</v>
      </c>
      <c r="E100" s="1300"/>
      <c r="F100" s="1300"/>
      <c r="I100" s="491"/>
    </row>
    <row r="101" spans="1:9" x14ac:dyDescent="0.3">
      <c r="A101" s="485"/>
      <c r="B101" s="485"/>
      <c r="D101" s="1300"/>
      <c r="E101" s="1300"/>
      <c r="F101" s="1300"/>
      <c r="I101" s="491"/>
    </row>
    <row r="102" spans="1:9" x14ac:dyDescent="0.3">
      <c r="A102" s="485"/>
      <c r="B102" s="485"/>
      <c r="D102" s="446"/>
      <c r="E102" s="446"/>
      <c r="F102" s="446"/>
      <c r="I102" s="491"/>
    </row>
    <row r="103" spans="1:9" ht="14.4" customHeight="1" x14ac:dyDescent="0.3">
      <c r="A103" s="485"/>
      <c r="B103" s="486" t="s">
        <v>2612</v>
      </c>
      <c r="D103" s="1300" t="s">
        <v>1195</v>
      </c>
      <c r="E103" s="1300"/>
      <c r="F103" s="1300"/>
      <c r="I103" s="491"/>
    </row>
    <row r="104" spans="1:9" x14ac:dyDescent="0.3">
      <c r="A104" s="485"/>
      <c r="B104" s="485"/>
      <c r="D104" s="1300"/>
      <c r="E104" s="1300"/>
      <c r="F104" s="1300"/>
      <c r="I104" s="491"/>
    </row>
    <row r="105" spans="1:9" x14ac:dyDescent="0.3">
      <c r="A105" s="485"/>
      <c r="B105" s="485"/>
      <c r="D105" s="1300"/>
      <c r="E105" s="1300"/>
      <c r="F105" s="1300"/>
      <c r="I105" s="491"/>
    </row>
    <row r="106" spans="1:9" x14ac:dyDescent="0.3">
      <c r="A106" s="485"/>
      <c r="B106" s="485"/>
      <c r="D106" s="1300"/>
      <c r="E106" s="1300"/>
      <c r="F106" s="1300"/>
      <c r="I106" s="491"/>
    </row>
    <row r="107" spans="1:9" x14ac:dyDescent="0.3">
      <c r="A107" s="485"/>
      <c r="B107" s="485"/>
      <c r="D107" s="1300"/>
      <c r="E107" s="1300"/>
      <c r="F107" s="1300"/>
      <c r="I107" s="491"/>
    </row>
    <row r="108" spans="1:9" x14ac:dyDescent="0.3">
      <c r="A108" s="485"/>
      <c r="B108" s="485"/>
      <c r="D108" s="1300"/>
      <c r="E108" s="1300"/>
      <c r="F108" s="1300"/>
      <c r="I108" s="491"/>
    </row>
    <row r="109" spans="1:9" x14ac:dyDescent="0.3">
      <c r="A109" s="485"/>
      <c r="B109" s="485"/>
      <c r="D109" s="1300"/>
      <c r="E109" s="1300"/>
      <c r="F109" s="1300"/>
      <c r="I109" s="491"/>
    </row>
    <row r="110" spans="1:9" x14ac:dyDescent="0.3">
      <c r="A110" s="485"/>
      <c r="B110" s="485"/>
      <c r="D110" s="1300"/>
      <c r="E110" s="1300"/>
      <c r="F110" s="1300"/>
      <c r="I110" s="491"/>
    </row>
    <row r="111" spans="1:9" x14ac:dyDescent="0.3">
      <c r="A111" s="485"/>
      <c r="B111" s="485"/>
      <c r="D111" s="1300"/>
      <c r="E111" s="1300"/>
      <c r="F111" s="1300"/>
      <c r="I111" s="491"/>
    </row>
    <row r="112" spans="1:9" x14ac:dyDescent="0.3">
      <c r="A112" s="485"/>
      <c r="B112" s="485"/>
      <c r="D112" s="1300"/>
      <c r="E112" s="1300"/>
      <c r="F112" s="1300"/>
      <c r="I112" s="491"/>
    </row>
    <row r="113" spans="1:9" x14ac:dyDescent="0.3">
      <c r="A113" s="485"/>
      <c r="B113" s="485"/>
      <c r="D113" s="1300"/>
      <c r="E113" s="1300"/>
      <c r="F113" s="1300"/>
      <c r="I113" s="491"/>
    </row>
    <row r="114" spans="1:9" x14ac:dyDescent="0.3">
      <c r="A114" s="485"/>
      <c r="B114" s="485"/>
      <c r="D114" s="1300"/>
      <c r="E114" s="1300"/>
      <c r="F114" s="1300"/>
      <c r="I114" s="491"/>
    </row>
    <row r="115" spans="1:9" x14ac:dyDescent="0.3">
      <c r="A115" s="485"/>
      <c r="B115" s="485"/>
      <c r="D115" s="1300"/>
      <c r="E115" s="1300"/>
      <c r="F115" s="1300"/>
      <c r="I115" s="491"/>
    </row>
    <row r="116" spans="1:9" x14ac:dyDescent="0.3">
      <c r="A116" s="485"/>
      <c r="B116" s="485"/>
      <c r="D116" s="1300"/>
      <c r="E116" s="1300"/>
      <c r="F116" s="1300"/>
      <c r="I116" s="491"/>
    </row>
    <row r="117" spans="1:9" x14ac:dyDescent="0.3">
      <c r="A117" s="485"/>
      <c r="B117" s="485"/>
      <c r="D117" s="1300"/>
      <c r="E117" s="1300"/>
      <c r="F117" s="1300"/>
      <c r="I117" s="491"/>
    </row>
    <row r="118" spans="1:9" x14ac:dyDescent="0.3">
      <c r="A118" s="485"/>
      <c r="B118" s="485"/>
      <c r="D118" s="525"/>
      <c r="E118" s="525"/>
      <c r="F118" s="525"/>
      <c r="I118" s="491"/>
    </row>
    <row r="119" spans="1:9" ht="14.25" customHeight="1" x14ac:dyDescent="0.3">
      <c r="A119" s="485"/>
      <c r="B119" s="486" t="s">
        <v>2612</v>
      </c>
      <c r="D119" s="1322" t="s">
        <v>1104</v>
      </c>
      <c r="E119" s="1322"/>
      <c r="F119" s="1322"/>
      <c r="I119" s="491"/>
    </row>
    <row r="120" spans="1:9" x14ac:dyDescent="0.3">
      <c r="A120" s="485"/>
      <c r="B120" s="485"/>
      <c r="D120" s="1322"/>
      <c r="E120" s="1322"/>
      <c r="F120" s="1322"/>
      <c r="I120" s="491"/>
    </row>
    <row r="121" spans="1:9" x14ac:dyDescent="0.3">
      <c r="A121" s="485"/>
      <c r="B121" s="485"/>
      <c r="D121" s="1322"/>
      <c r="E121" s="1322"/>
      <c r="F121" s="1322"/>
      <c r="I121" s="491"/>
    </row>
    <row r="122" spans="1:9" x14ac:dyDescent="0.3">
      <c r="A122" s="485"/>
      <c r="B122" s="485"/>
      <c r="D122" s="1322"/>
      <c r="E122" s="1322"/>
      <c r="F122" s="1322"/>
      <c r="I122" s="491"/>
    </row>
    <row r="123" spans="1:9" x14ac:dyDescent="0.3">
      <c r="A123" s="485"/>
      <c r="B123" s="485"/>
      <c r="D123" s="1322"/>
      <c r="E123" s="1322"/>
      <c r="F123" s="1322"/>
      <c r="I123" s="491"/>
    </row>
    <row r="124" spans="1:9" x14ac:dyDescent="0.3">
      <c r="A124" s="485"/>
      <c r="B124" s="485"/>
      <c r="D124" s="1322"/>
      <c r="E124" s="1322"/>
      <c r="F124" s="1322"/>
      <c r="I124" s="491"/>
    </row>
    <row r="125" spans="1:9" x14ac:dyDescent="0.3">
      <c r="A125" s="485"/>
      <c r="B125" s="485"/>
      <c r="D125" s="1322"/>
      <c r="E125" s="1322"/>
      <c r="F125" s="1322"/>
      <c r="I125" s="491"/>
    </row>
    <row r="126" spans="1:9" x14ac:dyDescent="0.3">
      <c r="A126" s="485"/>
      <c r="B126" s="485"/>
      <c r="D126" s="1322"/>
      <c r="E126" s="1322"/>
      <c r="F126" s="1322"/>
      <c r="I126" s="491"/>
    </row>
    <row r="127" spans="1:9" x14ac:dyDescent="0.3">
      <c r="C127" s="403"/>
      <c r="D127" s="526"/>
      <c r="E127" s="526"/>
      <c r="F127" s="526"/>
      <c r="I127" s="491"/>
    </row>
    <row r="128" spans="1:9" x14ac:dyDescent="0.3">
      <c r="A128" s="485"/>
      <c r="B128" s="486" t="s">
        <v>2771</v>
      </c>
      <c r="C128" s="403"/>
      <c r="D128" s="1322" t="s">
        <v>2052</v>
      </c>
      <c r="E128" s="1322"/>
      <c r="F128" s="1322"/>
      <c r="I128" s="491"/>
    </row>
    <row r="129" spans="1:9" x14ac:dyDescent="0.3">
      <c r="A129" s="485"/>
      <c r="B129" s="485"/>
      <c r="C129" s="403"/>
      <c r="D129" s="1322"/>
      <c r="E129" s="1322"/>
      <c r="F129" s="1322"/>
      <c r="I129" s="491"/>
    </row>
    <row r="130" spans="1:9" x14ac:dyDescent="0.3">
      <c r="I130" s="491"/>
    </row>
    <row r="131" spans="1:9" x14ac:dyDescent="0.3">
      <c r="A131" s="485"/>
      <c r="B131" s="486" t="s">
        <v>2771</v>
      </c>
      <c r="D131" s="1300" t="s">
        <v>1105</v>
      </c>
      <c r="E131" s="1300"/>
      <c r="F131" s="1300"/>
      <c r="I131" s="491"/>
    </row>
    <row r="132" spans="1:9" x14ac:dyDescent="0.3">
      <c r="D132" s="1300"/>
      <c r="E132" s="1300"/>
      <c r="F132" s="1300"/>
      <c r="I132" s="491"/>
    </row>
    <row r="133" spans="1:9" x14ac:dyDescent="0.3">
      <c r="D133" s="1300"/>
      <c r="E133" s="1300"/>
      <c r="F133" s="1300"/>
      <c r="I133" s="491"/>
    </row>
    <row r="134" spans="1:9" x14ac:dyDescent="0.3">
      <c r="D134" s="1300"/>
      <c r="E134" s="1300"/>
      <c r="F134" s="1300"/>
      <c r="I134" s="491"/>
    </row>
    <row r="135" spans="1:9" x14ac:dyDescent="0.3">
      <c r="D135" s="1300"/>
      <c r="E135" s="1300"/>
      <c r="F135" s="1300"/>
      <c r="I135" s="491"/>
    </row>
    <row r="136" spans="1:9" x14ac:dyDescent="0.3">
      <c r="I136" s="491"/>
    </row>
    <row r="137" spans="1:9" x14ac:dyDescent="0.3">
      <c r="A137" s="485"/>
      <c r="B137" s="486" t="s">
        <v>2771</v>
      </c>
      <c r="D137" s="1300" t="s">
        <v>1106</v>
      </c>
      <c r="E137" s="1300"/>
      <c r="F137" s="1300"/>
      <c r="I137" s="491"/>
    </row>
    <row r="138" spans="1:9" s="418" customFormat="1" ht="13.65" customHeight="1" x14ac:dyDescent="0.25">
      <c r="A138" s="489"/>
      <c r="B138" s="489"/>
      <c r="C138" s="489"/>
      <c r="D138" s="1300"/>
      <c r="E138" s="1300"/>
      <c r="F138" s="1300"/>
      <c r="I138" s="1157"/>
    </row>
    <row r="139" spans="1:9" ht="13.65" customHeight="1" x14ac:dyDescent="0.3">
      <c r="D139" s="1300"/>
      <c r="E139" s="1300"/>
      <c r="F139" s="1300"/>
      <c r="I139" s="491"/>
    </row>
    <row r="140" spans="1:9" ht="13.65" customHeight="1" x14ac:dyDescent="0.3">
      <c r="D140" s="1300"/>
      <c r="E140" s="1300"/>
      <c r="F140" s="1300"/>
      <c r="I140" s="491"/>
    </row>
    <row r="141" spans="1:9" ht="13.65" customHeight="1" x14ac:dyDescent="0.3">
      <c r="D141" s="1300"/>
      <c r="E141" s="1300"/>
      <c r="F141" s="1300"/>
      <c r="I141" s="491"/>
    </row>
    <row r="142" spans="1:9" ht="13.65" customHeight="1" x14ac:dyDescent="0.3">
      <c r="A142" s="490"/>
      <c r="B142" s="490"/>
      <c r="D142" s="1300"/>
      <c r="E142" s="1300"/>
      <c r="F142" s="1300"/>
      <c r="I142" s="491"/>
    </row>
    <row r="143" spans="1:9" ht="13.65" customHeight="1" x14ac:dyDescent="0.3">
      <c r="D143" s="1300"/>
      <c r="E143" s="1300"/>
      <c r="F143" s="1300"/>
      <c r="I143" s="491"/>
    </row>
    <row r="144" spans="1:9" ht="13.65" customHeight="1" x14ac:dyDescent="0.3">
      <c r="D144" s="1300"/>
      <c r="E144" s="1300"/>
      <c r="F144" s="1300"/>
      <c r="I144" s="491"/>
    </row>
    <row r="145" spans="2:9" ht="13.65" customHeight="1" x14ac:dyDescent="0.3">
      <c r="D145" s="1300"/>
      <c r="E145" s="1300"/>
      <c r="F145" s="1300"/>
      <c r="I145" s="491"/>
    </row>
    <row r="146" spans="2:9" ht="13.65" customHeight="1" x14ac:dyDescent="0.3">
      <c r="D146" s="1300"/>
      <c r="E146" s="1300"/>
      <c r="F146" s="1300"/>
      <c r="I146" s="491"/>
    </row>
    <row r="147" spans="2:9" ht="13.65" customHeight="1" x14ac:dyDescent="0.3">
      <c r="D147" s="1300"/>
      <c r="E147" s="1300"/>
      <c r="F147" s="1300"/>
      <c r="I147" s="491"/>
    </row>
    <row r="148" spans="2:9" ht="13.65" customHeight="1" x14ac:dyDescent="0.3">
      <c r="D148" s="1300"/>
      <c r="E148" s="1300"/>
      <c r="F148" s="1300"/>
      <c r="I148" s="491"/>
    </row>
    <row r="149" spans="2:9" ht="13.65" customHeight="1" x14ac:dyDescent="0.3">
      <c r="D149" s="1300"/>
      <c r="E149" s="1300"/>
      <c r="F149" s="1300"/>
      <c r="I149" s="491"/>
    </row>
    <row r="150" spans="2:9" ht="13.65" customHeight="1" x14ac:dyDescent="0.3">
      <c r="D150" s="477"/>
      <c r="E150" s="447"/>
      <c r="F150" s="447"/>
      <c r="I150" s="491"/>
    </row>
    <row r="151" spans="2:9" ht="13.65" customHeight="1" x14ac:dyDescent="0.3">
      <c r="B151" s="486" t="s">
        <v>2612</v>
      </c>
      <c r="D151" s="1300" t="s">
        <v>1178</v>
      </c>
      <c r="E151" s="1300"/>
      <c r="F151" s="1300"/>
      <c r="I151" s="491"/>
    </row>
    <row r="152" spans="2:9" ht="13.65" customHeight="1" x14ac:dyDescent="0.3">
      <c r="D152" s="1300"/>
      <c r="E152" s="1300"/>
      <c r="F152" s="1300"/>
      <c r="I152" s="491"/>
    </row>
    <row r="153" spans="2:9" ht="13.65" customHeight="1" x14ac:dyDescent="0.3">
      <c r="D153" s="1300"/>
      <c r="E153" s="1300"/>
      <c r="F153" s="1300"/>
      <c r="I153" s="491"/>
    </row>
    <row r="154" spans="2:9" ht="13.65" customHeight="1" x14ac:dyDescent="0.3">
      <c r="D154" s="1300"/>
      <c r="E154" s="1300"/>
      <c r="F154" s="1300"/>
      <c r="I154" s="491"/>
    </row>
    <row r="155" spans="2:9" ht="13.65" customHeight="1" x14ac:dyDescent="0.3">
      <c r="D155" s="1300"/>
      <c r="E155" s="1300"/>
      <c r="F155" s="1300"/>
      <c r="I155" s="491"/>
    </row>
    <row r="156" spans="2:9" ht="13.65" customHeight="1" x14ac:dyDescent="0.3">
      <c r="D156" s="1300"/>
      <c r="E156" s="1300"/>
      <c r="F156" s="1300"/>
      <c r="I156" s="491"/>
    </row>
    <row r="157" spans="2:9" ht="13.65" customHeight="1" x14ac:dyDescent="0.3">
      <c r="D157" s="1300"/>
      <c r="E157" s="1300"/>
      <c r="F157" s="1300"/>
      <c r="I157" s="491"/>
    </row>
    <row r="158" spans="2:9" ht="13.65" customHeight="1" x14ac:dyDescent="0.3">
      <c r="D158" s="1300"/>
      <c r="E158" s="1300"/>
      <c r="F158" s="1300"/>
      <c r="I158" s="491"/>
    </row>
    <row r="159" spans="2:9" ht="13.65" customHeight="1" x14ac:dyDescent="0.3">
      <c r="D159" s="1300"/>
      <c r="E159" s="1300"/>
      <c r="F159" s="1300"/>
      <c r="I159" s="491"/>
    </row>
    <row r="160" spans="2:9" ht="13.65" customHeight="1" x14ac:dyDescent="0.3">
      <c r="D160" s="1300"/>
      <c r="E160" s="1300"/>
      <c r="F160" s="1300"/>
      <c r="I160" s="491"/>
    </row>
    <row r="161" spans="1:9" ht="13.65" customHeight="1" x14ac:dyDescent="0.3">
      <c r="D161" s="1300"/>
      <c r="E161" s="1300"/>
      <c r="F161" s="1300"/>
      <c r="I161" s="491"/>
    </row>
    <row r="162" spans="1:9" ht="13.65" customHeight="1" x14ac:dyDescent="0.3">
      <c r="D162" s="1300"/>
      <c r="E162" s="1300"/>
      <c r="F162" s="1300"/>
      <c r="I162" s="491"/>
    </row>
    <row r="163" spans="1:9" ht="13.65" customHeight="1" x14ac:dyDescent="0.3">
      <c r="D163" s="1300"/>
      <c r="E163" s="1300"/>
      <c r="F163" s="1300"/>
      <c r="I163" s="491"/>
    </row>
    <row r="164" spans="1:9" ht="13.65" customHeight="1" x14ac:dyDescent="0.3">
      <c r="D164" s="1300"/>
      <c r="E164" s="1300"/>
      <c r="F164" s="1300"/>
      <c r="I164" s="491"/>
    </row>
    <row r="165" spans="1:9" ht="13.65" customHeight="1" x14ac:dyDescent="0.3">
      <c r="D165" s="1300"/>
      <c r="E165" s="1300"/>
      <c r="F165" s="1300"/>
      <c r="I165" s="491"/>
    </row>
    <row r="166" spans="1:9" ht="13.65" customHeight="1" x14ac:dyDescent="0.3">
      <c r="D166" s="1300"/>
      <c r="E166" s="1300"/>
      <c r="F166" s="1300"/>
      <c r="I166" s="491"/>
    </row>
    <row r="167" spans="1:9" ht="13.65" customHeight="1" x14ac:dyDescent="0.3">
      <c r="D167" s="1300"/>
      <c r="E167" s="1300"/>
      <c r="F167" s="1300"/>
      <c r="I167" s="491"/>
    </row>
    <row r="168" spans="1:9" ht="13.65" customHeight="1" x14ac:dyDescent="0.3">
      <c r="D168" s="1300"/>
      <c r="E168" s="1300"/>
      <c r="F168" s="1300"/>
      <c r="I168" s="491"/>
    </row>
    <row r="169" spans="1:9" ht="13.65" customHeight="1" x14ac:dyDescent="0.3">
      <c r="D169" s="1319" t="s">
        <v>2075</v>
      </c>
      <c r="E169" s="1319"/>
      <c r="F169" s="1319"/>
      <c r="G169" s="508"/>
      <c r="I169" s="491"/>
    </row>
    <row r="170" spans="1:9" ht="13.65" customHeight="1" x14ac:dyDescent="0.3">
      <c r="D170" s="1317"/>
      <c r="E170" s="1317"/>
      <c r="F170" s="1317"/>
      <c r="G170" s="1317"/>
      <c r="I170" s="491"/>
    </row>
    <row r="171" spans="1:9" ht="14.4" customHeight="1" x14ac:dyDescent="0.3">
      <c r="A171" s="490"/>
      <c r="B171" s="486" t="s">
        <v>2612</v>
      </c>
      <c r="C171" s="477"/>
      <c r="D171" s="1271" t="s">
        <v>2215</v>
      </c>
      <c r="E171" s="1271"/>
      <c r="F171" s="1271"/>
      <c r="G171" s="477"/>
      <c r="I171" s="491"/>
    </row>
    <row r="172" spans="1:9" ht="14.4" customHeight="1" x14ac:dyDescent="0.3">
      <c r="A172" s="490"/>
      <c r="B172" s="490"/>
      <c r="C172" s="477"/>
      <c r="D172" s="1271"/>
      <c r="E172" s="1271"/>
      <c r="F172" s="1271"/>
      <c r="G172" s="477"/>
      <c r="I172" s="491"/>
    </row>
    <row r="173" spans="1:9" ht="14.4" customHeight="1" x14ac:dyDescent="0.3">
      <c r="A173" s="490"/>
      <c r="B173" s="490"/>
      <c r="C173" s="477"/>
      <c r="D173" s="1271"/>
      <c r="E173" s="1271"/>
      <c r="F173" s="1271"/>
      <c r="G173" s="477"/>
      <c r="I173" s="491"/>
    </row>
    <row r="174" spans="1:9" ht="14.4" customHeight="1" x14ac:dyDescent="0.3">
      <c r="A174" s="490"/>
      <c r="B174" s="490"/>
      <c r="C174" s="477"/>
      <c r="D174" s="1271"/>
      <c r="E174" s="1271"/>
      <c r="F174" s="1271"/>
      <c r="G174" s="477"/>
      <c r="I174" s="491"/>
    </row>
    <row r="175" spans="1:9" ht="13.65" customHeight="1" x14ac:dyDescent="0.3">
      <c r="A175" s="490"/>
      <c r="B175" s="490"/>
      <c r="C175" s="477"/>
      <c r="D175" s="1271"/>
      <c r="E175" s="1271"/>
      <c r="F175" s="1271"/>
      <c r="G175" s="477"/>
      <c r="I175" s="491"/>
    </row>
    <row r="176" spans="1:9" ht="13.65" customHeight="1" x14ac:dyDescent="0.3">
      <c r="A176" s="490"/>
      <c r="B176" s="490"/>
      <c r="C176" s="477"/>
      <c r="D176" s="477"/>
      <c r="E176" s="477"/>
      <c r="F176" s="477"/>
      <c r="G176" s="477"/>
      <c r="I176" s="491"/>
    </row>
    <row r="177" spans="1:9" ht="13.65" customHeight="1" x14ac:dyDescent="0.3">
      <c r="A177" s="490"/>
      <c r="B177" s="486" t="s">
        <v>2771</v>
      </c>
      <c r="C177" s="477"/>
      <c r="D177" s="1271" t="s">
        <v>1107</v>
      </c>
      <c r="E177" s="1271"/>
      <c r="F177" s="1271"/>
      <c r="G177" s="477"/>
      <c r="I177" s="491"/>
    </row>
    <row r="178" spans="1:9" ht="13.65" customHeight="1" x14ac:dyDescent="0.3">
      <c r="A178" s="490"/>
      <c r="B178" s="490"/>
      <c r="C178" s="477"/>
      <c r="D178" s="1271"/>
      <c r="E178" s="1271"/>
      <c r="F178" s="1271"/>
      <c r="G178" s="477"/>
      <c r="I178" s="491"/>
    </row>
    <row r="179" spans="1:9" ht="13.65" customHeight="1" x14ac:dyDescent="0.3">
      <c r="A179" s="490"/>
      <c r="B179" s="490"/>
      <c r="C179" s="477"/>
      <c r="D179" s="1271"/>
      <c r="E179" s="1271"/>
      <c r="F179" s="1271"/>
      <c r="G179" s="477"/>
      <c r="I179" s="491"/>
    </row>
    <row r="180" spans="1:9" ht="13.65" customHeight="1" x14ac:dyDescent="0.3">
      <c r="A180" s="490"/>
      <c r="B180" s="490"/>
      <c r="C180" s="477"/>
      <c r="D180" s="1271"/>
      <c r="E180" s="1271"/>
      <c r="F180" s="1271"/>
      <c r="G180" s="477"/>
      <c r="I180" s="491"/>
    </row>
    <row r="181" spans="1:9" ht="13.65" customHeight="1" x14ac:dyDescent="0.3">
      <c r="D181" s="447"/>
      <c r="E181" s="447"/>
      <c r="F181" s="447"/>
      <c r="I181" s="491"/>
    </row>
    <row r="182" spans="1:9" ht="13.65" customHeight="1" x14ac:dyDescent="0.3">
      <c r="B182" s="486" t="s">
        <v>2612</v>
      </c>
      <c r="D182" s="1312" t="s">
        <v>2053</v>
      </c>
      <c r="E182" s="1312"/>
      <c r="F182" s="1312"/>
      <c r="I182" s="491"/>
    </row>
    <row r="183" spans="1:9" ht="13.65" customHeight="1" x14ac:dyDescent="0.3">
      <c r="D183" s="1312"/>
      <c r="E183" s="1312"/>
      <c r="F183" s="1312"/>
      <c r="I183" s="491"/>
    </row>
    <row r="184" spans="1:9" ht="13.65" customHeight="1" x14ac:dyDescent="0.3">
      <c r="D184" s="1312"/>
      <c r="E184" s="1312"/>
      <c r="F184" s="1312"/>
      <c r="I184" s="491"/>
    </row>
    <row r="185" spans="1:9" ht="13.65" customHeight="1" x14ac:dyDescent="0.3">
      <c r="A185" s="491"/>
      <c r="B185" s="491"/>
      <c r="E185" s="447"/>
      <c r="F185" s="447"/>
      <c r="I185" s="491"/>
    </row>
    <row r="186" spans="1:9" x14ac:dyDescent="0.3">
      <c r="A186" s="1307" t="s">
        <v>2054</v>
      </c>
      <c r="B186" s="1307"/>
      <c r="C186" s="1307"/>
      <c r="D186" s="1307"/>
      <c r="E186" s="1307"/>
      <c r="F186" s="1307"/>
      <c r="G186" s="1307"/>
      <c r="H186" s="1029"/>
      <c r="I186" s="1155"/>
    </row>
    <row r="187" spans="1:9" ht="12" customHeight="1" x14ac:dyDescent="0.3">
      <c r="D187" s="447"/>
      <c r="E187" s="447"/>
      <c r="F187" s="447"/>
      <c r="I187" s="491"/>
    </row>
    <row r="188" spans="1:9" x14ac:dyDescent="0.3">
      <c r="B188" s="1302" t="s">
        <v>447</v>
      </c>
      <c r="C188" s="1302"/>
      <c r="D188" s="1302"/>
      <c r="E188" s="1302"/>
      <c r="F188" s="1302"/>
      <c r="I188" s="491"/>
    </row>
    <row r="189" spans="1:9" x14ac:dyDescent="0.3">
      <c r="B189" s="393" t="s">
        <v>1876</v>
      </c>
      <c r="C189" s="393"/>
      <c r="D189" s="393"/>
      <c r="E189" s="393"/>
      <c r="F189" s="393"/>
      <c r="I189" s="491"/>
    </row>
    <row r="190" spans="1:9" ht="12" customHeight="1" x14ac:dyDescent="0.3">
      <c r="A190" s="483"/>
      <c r="B190" s="483"/>
      <c r="C190" s="483"/>
      <c r="I190" s="491"/>
    </row>
    <row r="191" spans="1:9" x14ac:dyDescent="0.3">
      <c r="A191" s="1307" t="s">
        <v>1046</v>
      </c>
      <c r="B191" s="1307"/>
      <c r="C191" s="1307"/>
      <c r="D191" s="1307"/>
      <c r="E191" s="1307"/>
      <c r="F191" s="1307"/>
      <c r="G191" s="1307"/>
      <c r="H191" s="1029"/>
      <c r="I191" s="1155"/>
    </row>
    <row r="192" spans="1:9" ht="12" customHeight="1" x14ac:dyDescent="0.3">
      <c r="A192" s="405"/>
      <c r="B192" s="405"/>
      <c r="E192" s="405"/>
      <c r="I192" s="491"/>
    </row>
    <row r="193" spans="1:9" ht="13.65" customHeight="1" x14ac:dyDescent="0.3">
      <c r="A193" s="405"/>
      <c r="B193" s="405"/>
      <c r="D193" s="1316" t="s">
        <v>1747</v>
      </c>
      <c r="E193" s="1316"/>
      <c r="F193" s="1316"/>
      <c r="I193" s="491"/>
    </row>
    <row r="194" spans="1:9" x14ac:dyDescent="0.3">
      <c r="A194" s="405"/>
      <c r="B194" s="405"/>
      <c r="D194" s="1316"/>
      <c r="E194" s="1316"/>
      <c r="F194" s="1316"/>
      <c r="I194" s="491"/>
    </row>
    <row r="195" spans="1:9" x14ac:dyDescent="0.3">
      <c r="A195" s="405"/>
      <c r="B195" s="405"/>
      <c r="D195" s="1302" t="s">
        <v>1196</v>
      </c>
      <c r="E195" s="1302"/>
      <c r="F195" s="1302"/>
      <c r="I195" s="491"/>
    </row>
    <row r="196" spans="1:9" x14ac:dyDescent="0.3">
      <c r="A196" s="405"/>
      <c r="B196" s="405"/>
      <c r="D196" s="393"/>
      <c r="E196" s="393"/>
      <c r="F196" s="393"/>
      <c r="I196" s="491"/>
    </row>
    <row r="197" spans="1:9" x14ac:dyDescent="0.3">
      <c r="A197" s="405"/>
      <c r="B197" s="486" t="s">
        <v>2612</v>
      </c>
      <c r="D197" s="1287" t="s">
        <v>1748</v>
      </c>
      <c r="E197" s="1287"/>
      <c r="F197" s="1287"/>
      <c r="I197" s="491"/>
    </row>
    <row r="198" spans="1:9" x14ac:dyDescent="0.3">
      <c r="A198" s="405"/>
      <c r="B198" s="405"/>
      <c r="D198" s="1286" t="s">
        <v>1903</v>
      </c>
      <c r="E198" s="1286"/>
      <c r="F198" s="1286"/>
      <c r="I198" s="491"/>
    </row>
    <row r="199" spans="1:9" x14ac:dyDescent="0.3">
      <c r="A199" s="405"/>
      <c r="B199" s="405"/>
      <c r="D199" s="96" t="s">
        <v>1749</v>
      </c>
      <c r="E199" s="1324" t="s">
        <v>1926</v>
      </c>
      <c r="F199" s="1324"/>
      <c r="I199" s="491"/>
    </row>
    <row r="200" spans="1:9" x14ac:dyDescent="0.3">
      <c r="A200" s="405"/>
      <c r="B200" s="405"/>
      <c r="D200" s="3"/>
      <c r="E200" s="3"/>
      <c r="F200" s="3"/>
      <c r="I200" s="491"/>
    </row>
    <row r="201" spans="1:9" x14ac:dyDescent="0.3">
      <c r="A201" s="405"/>
      <c r="B201" s="486" t="s">
        <v>2612</v>
      </c>
      <c r="D201" s="1286" t="s">
        <v>1750</v>
      </c>
      <c r="E201" s="1286"/>
      <c r="F201" s="1286"/>
      <c r="I201" s="491"/>
    </row>
    <row r="202" spans="1:9" x14ac:dyDescent="0.3">
      <c r="A202" s="405"/>
      <c r="B202" s="405"/>
      <c r="D202" s="1287" t="s">
        <v>1903</v>
      </c>
      <c r="E202" s="1287"/>
      <c r="F202" s="1287"/>
      <c r="I202" s="491"/>
    </row>
    <row r="203" spans="1:9" x14ac:dyDescent="0.3">
      <c r="A203" s="405"/>
      <c r="B203" s="405"/>
      <c r="D203" s="57" t="s">
        <v>1751</v>
      </c>
      <c r="E203" s="1324" t="s">
        <v>1927</v>
      </c>
      <c r="F203" s="1324"/>
      <c r="I203" s="491"/>
    </row>
    <row r="204" spans="1:9" x14ac:dyDescent="0.3">
      <c r="A204" s="405"/>
      <c r="B204" s="405"/>
      <c r="D204" s="3"/>
      <c r="E204" s="3"/>
      <c r="F204" s="3"/>
      <c r="I204" s="491"/>
    </row>
    <row r="205" spans="1:9" x14ac:dyDescent="0.3">
      <c r="A205" s="405"/>
      <c r="B205" s="486" t="s">
        <v>2771</v>
      </c>
      <c r="D205" s="1286" t="s">
        <v>1752</v>
      </c>
      <c r="E205" s="1286"/>
      <c r="F205" s="1286"/>
      <c r="I205" s="491"/>
    </row>
    <row r="206" spans="1:9" x14ac:dyDescent="0.3">
      <c r="A206" s="405"/>
      <c r="B206" s="405"/>
      <c r="D206" s="1287" t="s">
        <v>1903</v>
      </c>
      <c r="E206" s="1287"/>
      <c r="F206" s="1287"/>
      <c r="I206" s="491"/>
    </row>
    <row r="207" spans="1:9" x14ac:dyDescent="0.3">
      <c r="A207" s="405"/>
      <c r="B207" s="405"/>
      <c r="D207" s="57" t="s">
        <v>1749</v>
      </c>
      <c r="E207" s="1324" t="s">
        <v>1928</v>
      </c>
      <c r="F207" s="1324"/>
      <c r="I207" s="491"/>
    </row>
    <row r="208" spans="1:9" x14ac:dyDescent="0.3">
      <c r="A208" s="405"/>
      <c r="B208" s="405"/>
      <c r="D208" s="393"/>
      <c r="E208" s="393"/>
      <c r="F208" s="393"/>
      <c r="I208" s="491"/>
    </row>
    <row r="209" spans="1:9" ht="14.25" customHeight="1" x14ac:dyDescent="0.3">
      <c r="A209" s="485"/>
      <c r="B209" s="486" t="s">
        <v>2612</v>
      </c>
      <c r="D209" s="387" t="s">
        <v>1896</v>
      </c>
      <c r="E209" s="386"/>
      <c r="F209" s="386"/>
      <c r="I209" s="491"/>
    </row>
    <row r="210" spans="1:9" x14ac:dyDescent="0.3">
      <c r="A210" s="485"/>
      <c r="B210" s="485"/>
      <c r="D210" s="1287" t="s">
        <v>1903</v>
      </c>
      <c r="E210" s="1287"/>
      <c r="F210" s="1287"/>
      <c r="I210" s="491"/>
    </row>
    <row r="211" spans="1:9" x14ac:dyDescent="0.3">
      <c r="D211" s="386"/>
      <c r="E211" s="1324" t="s">
        <v>1929</v>
      </c>
      <c r="F211" s="1324"/>
      <c r="I211" s="491"/>
    </row>
    <row r="212" spans="1:9" x14ac:dyDescent="0.3">
      <c r="D212" s="448"/>
      <c r="I212" s="491"/>
    </row>
    <row r="213" spans="1:9" x14ac:dyDescent="0.3">
      <c r="B213" s="486" t="s">
        <v>2612</v>
      </c>
      <c r="D213" s="1286" t="s">
        <v>1753</v>
      </c>
      <c r="E213" s="1286"/>
      <c r="F213" s="1286"/>
      <c r="I213" s="491"/>
    </row>
    <row r="214" spans="1:9" x14ac:dyDescent="0.3">
      <c r="D214" s="1287" t="s">
        <v>1903</v>
      </c>
      <c r="E214" s="1287"/>
      <c r="F214" s="1287"/>
      <c r="I214" s="491"/>
    </row>
    <row r="215" spans="1:9" x14ac:dyDescent="0.3">
      <c r="D215" s="57" t="s">
        <v>1749</v>
      </c>
      <c r="E215" s="1324" t="s">
        <v>1930</v>
      </c>
      <c r="F215" s="1324"/>
      <c r="I215" s="491"/>
    </row>
    <row r="216" spans="1:9" x14ac:dyDescent="0.3">
      <c r="D216" s="452"/>
      <c r="E216" s="452"/>
      <c r="F216" s="452"/>
      <c r="I216" s="491"/>
    </row>
    <row r="217" spans="1:9" x14ac:dyDescent="0.3">
      <c r="A217" s="485"/>
      <c r="B217" s="486" t="s">
        <v>2612</v>
      </c>
      <c r="D217" s="1300" t="s">
        <v>1217</v>
      </c>
      <c r="E217" s="1300"/>
      <c r="F217" s="1300"/>
      <c r="I217" s="491"/>
    </row>
    <row r="218" spans="1:9" ht="14.4" customHeight="1" x14ac:dyDescent="0.3">
      <c r="A218" s="485"/>
      <c r="B218" s="403"/>
      <c r="D218" s="1300"/>
      <c r="E218" s="1300"/>
      <c r="F218" s="1300"/>
      <c r="I218" s="491"/>
    </row>
    <row r="219" spans="1:9" x14ac:dyDescent="0.3">
      <c r="A219" s="485"/>
      <c r="D219" s="1300"/>
      <c r="E219" s="1300"/>
      <c r="F219" s="1300"/>
      <c r="I219" s="491"/>
    </row>
    <row r="220" spans="1:9" x14ac:dyDescent="0.3">
      <c r="A220" s="485"/>
      <c r="D220" s="1300"/>
      <c r="E220" s="1300"/>
      <c r="F220" s="1300"/>
      <c r="I220" s="491"/>
    </row>
    <row r="221" spans="1:9" x14ac:dyDescent="0.3">
      <c r="D221" s="452"/>
      <c r="E221" s="452"/>
      <c r="F221" s="452"/>
      <c r="I221" s="491"/>
    </row>
    <row r="222" spans="1:9" x14ac:dyDescent="0.3">
      <c r="A222" s="1307" t="s">
        <v>1047</v>
      </c>
      <c r="B222" s="1307"/>
      <c r="C222" s="1307"/>
      <c r="D222" s="1307"/>
      <c r="E222" s="1307"/>
      <c r="F222" s="1307"/>
      <c r="G222" s="1307"/>
      <c r="H222" s="1029"/>
      <c r="I222" s="1155"/>
    </row>
    <row r="223" spans="1:9" ht="12" customHeight="1" x14ac:dyDescent="0.3">
      <c r="D223" s="447"/>
      <c r="E223" s="447"/>
      <c r="F223" s="447"/>
      <c r="I223" s="491"/>
    </row>
    <row r="224" spans="1:9" x14ac:dyDescent="0.3">
      <c r="C224" s="487"/>
      <c r="D224" s="1308" t="s">
        <v>208</v>
      </c>
      <c r="E224" s="1308"/>
      <c r="F224" s="1308"/>
      <c r="I224" s="491"/>
    </row>
    <row r="225" spans="1:9" x14ac:dyDescent="0.3">
      <c r="A225" s="483"/>
      <c r="B225" s="483"/>
      <c r="C225" s="483"/>
      <c r="D225" s="1298" t="s">
        <v>1121</v>
      </c>
      <c r="E225" s="1298"/>
      <c r="F225" s="1298"/>
      <c r="I225" s="491"/>
    </row>
    <row r="226" spans="1:9" ht="12" customHeight="1" x14ac:dyDescent="0.3">
      <c r="A226" s="491"/>
      <c r="B226" s="491"/>
      <c r="C226" s="491"/>
      <c r="I226" s="491"/>
    </row>
    <row r="227" spans="1:9" ht="13.65" customHeight="1" x14ac:dyDescent="0.3">
      <c r="A227" s="491"/>
      <c r="C227" s="491"/>
      <c r="D227" s="1308" t="s">
        <v>547</v>
      </c>
      <c r="E227" s="1308"/>
      <c r="F227" s="1308"/>
      <c r="I227" s="491"/>
    </row>
    <row r="228" spans="1:9" x14ac:dyDescent="0.3">
      <c r="A228" s="485"/>
      <c r="B228" s="486" t="s">
        <v>2771</v>
      </c>
      <c r="D228" s="1300" t="s">
        <v>1754</v>
      </c>
      <c r="E228" s="1300"/>
      <c r="F228" s="1300"/>
      <c r="I228" s="491"/>
    </row>
    <row r="229" spans="1:9" ht="14.25" customHeight="1" x14ac:dyDescent="0.3">
      <c r="A229" s="485"/>
      <c r="B229" s="485"/>
      <c r="D229" s="1300"/>
      <c r="E229" s="1300"/>
      <c r="F229" s="1300"/>
      <c r="I229" s="491"/>
    </row>
    <row r="230" spans="1:9" ht="14.25" customHeight="1" x14ac:dyDescent="0.3">
      <c r="A230" s="485"/>
      <c r="B230" s="485"/>
      <c r="D230" s="1300"/>
      <c r="E230" s="1300"/>
      <c r="F230" s="1300"/>
      <c r="I230" s="491"/>
    </row>
    <row r="231" spans="1:9" x14ac:dyDescent="0.3">
      <c r="A231" s="485"/>
      <c r="B231" s="485"/>
      <c r="D231" s="1300"/>
      <c r="E231" s="1300"/>
      <c r="F231" s="1300"/>
      <c r="I231" s="491"/>
    </row>
    <row r="232" spans="1:9" x14ac:dyDescent="0.3">
      <c r="A232" s="485"/>
      <c r="B232" s="485"/>
      <c r="D232" s="446"/>
      <c r="E232" s="446"/>
      <c r="F232" s="446"/>
      <c r="I232" s="491"/>
    </row>
    <row r="233" spans="1:9" x14ac:dyDescent="0.3">
      <c r="A233" s="485"/>
      <c r="B233" s="486" t="s">
        <v>2771</v>
      </c>
      <c r="D233" s="1300" t="s">
        <v>1755</v>
      </c>
      <c r="E233" s="1300"/>
      <c r="F233" s="1300"/>
      <c r="I233" s="491"/>
    </row>
    <row r="234" spans="1:9" x14ac:dyDescent="0.3">
      <c r="A234" s="485"/>
      <c r="B234" s="485"/>
      <c r="D234" s="1300"/>
      <c r="E234" s="1300"/>
      <c r="F234" s="1300"/>
      <c r="I234" s="491"/>
    </row>
    <row r="235" spans="1:9" x14ac:dyDescent="0.3">
      <c r="A235" s="485"/>
      <c r="B235" s="485"/>
      <c r="D235" s="1300"/>
      <c r="E235" s="1300"/>
      <c r="F235" s="1300"/>
      <c r="I235" s="491"/>
    </row>
    <row r="236" spans="1:9" x14ac:dyDescent="0.3">
      <c r="A236" s="485"/>
      <c r="B236" s="485"/>
      <c r="D236" s="1300"/>
      <c r="E236" s="1300"/>
      <c r="F236" s="1300"/>
      <c r="I236" s="491"/>
    </row>
    <row r="237" spans="1:9" ht="14.25" customHeight="1" x14ac:dyDescent="0.3">
      <c r="A237" s="485"/>
      <c r="B237" s="485"/>
      <c r="D237" s="1300"/>
      <c r="E237" s="1300"/>
      <c r="F237" s="1300"/>
      <c r="I237" s="491"/>
    </row>
    <row r="238" spans="1:9" ht="14.25" customHeight="1" x14ac:dyDescent="0.3">
      <c r="A238" s="485"/>
      <c r="B238" s="485"/>
      <c r="D238" s="446"/>
      <c r="E238" s="446"/>
      <c r="F238" s="446"/>
      <c r="I238" s="491"/>
    </row>
    <row r="239" spans="1:9" x14ac:dyDescent="0.3">
      <c r="A239" s="485"/>
      <c r="B239" s="485"/>
      <c r="D239" s="1300" t="s">
        <v>1119</v>
      </c>
      <c r="E239" s="1300"/>
      <c r="F239" s="1300"/>
      <c r="I239" s="491"/>
    </row>
    <row r="240" spans="1:9" x14ac:dyDescent="0.3">
      <c r="A240" s="485"/>
      <c r="B240" s="485"/>
      <c r="D240" s="1300"/>
      <c r="E240" s="1300"/>
      <c r="F240" s="1300"/>
      <c r="I240" s="491"/>
    </row>
    <row r="241" spans="1:9" x14ac:dyDescent="0.3">
      <c r="A241" s="485"/>
      <c r="B241" s="485"/>
      <c r="D241" s="1300"/>
      <c r="E241" s="1300"/>
      <c r="F241" s="1300"/>
      <c r="I241" s="491"/>
    </row>
    <row r="242" spans="1:9" x14ac:dyDescent="0.3">
      <c r="A242" s="485"/>
      <c r="B242" s="485"/>
      <c r="D242" s="1300"/>
      <c r="E242" s="1300"/>
      <c r="F242" s="1300"/>
      <c r="I242" s="491"/>
    </row>
    <row r="243" spans="1:9" x14ac:dyDescent="0.3">
      <c r="A243" s="485"/>
      <c r="B243" s="485"/>
      <c r="D243" s="1300"/>
      <c r="E243" s="1300"/>
      <c r="F243" s="1300"/>
      <c r="I243" s="491"/>
    </row>
    <row r="244" spans="1:9" x14ac:dyDescent="0.3">
      <c r="A244" s="485"/>
      <c r="B244" s="485"/>
      <c r="D244" s="447"/>
      <c r="E244" s="447"/>
      <c r="F244" s="447"/>
      <c r="I244" s="491"/>
    </row>
    <row r="245" spans="1:9" x14ac:dyDescent="0.3">
      <c r="A245" s="485"/>
      <c r="B245" s="486" t="s">
        <v>2771</v>
      </c>
      <c r="D245" s="1300" t="s">
        <v>2055</v>
      </c>
      <c r="E245" s="1300"/>
      <c r="F245" s="1300"/>
      <c r="I245" s="491"/>
    </row>
    <row r="246" spans="1:9" x14ac:dyDescent="0.3">
      <c r="A246" s="485"/>
      <c r="B246" s="485"/>
      <c r="D246" s="1300"/>
      <c r="E246" s="1300"/>
      <c r="F246" s="1300"/>
      <c r="I246" s="491"/>
    </row>
    <row r="247" spans="1:9" x14ac:dyDescent="0.3">
      <c r="A247" s="485"/>
      <c r="B247" s="485"/>
      <c r="D247" s="1300"/>
      <c r="E247" s="1300"/>
      <c r="F247" s="1300"/>
      <c r="I247" s="491"/>
    </row>
    <row r="248" spans="1:9" x14ac:dyDescent="0.3">
      <c r="A248" s="485"/>
      <c r="B248" s="485"/>
      <c r="E248" s="1037" t="s">
        <v>1897</v>
      </c>
      <c r="I248" s="491"/>
    </row>
    <row r="249" spans="1:9" x14ac:dyDescent="0.3">
      <c r="A249" s="485"/>
      <c r="B249" s="485"/>
      <c r="D249" s="447"/>
      <c r="E249" s="447"/>
      <c r="F249" s="447"/>
      <c r="I249" s="491"/>
    </row>
    <row r="250" spans="1:9" ht="14.4" customHeight="1" x14ac:dyDescent="0.3">
      <c r="A250" s="485"/>
      <c r="B250" s="486" t="s">
        <v>2612</v>
      </c>
      <c r="D250" s="1300" t="s">
        <v>2056</v>
      </c>
      <c r="E250" s="1300"/>
      <c r="F250" s="1300"/>
      <c r="I250" s="491"/>
    </row>
    <row r="251" spans="1:9" x14ac:dyDescent="0.3">
      <c r="A251" s="485"/>
      <c r="B251" s="485"/>
      <c r="D251" s="1300"/>
      <c r="E251" s="1300"/>
      <c r="F251" s="1300"/>
      <c r="I251" s="491"/>
    </row>
    <row r="252" spans="1:9" x14ac:dyDescent="0.3">
      <c r="A252" s="485"/>
      <c r="B252" s="485"/>
      <c r="D252" s="1300"/>
      <c r="E252" s="1300"/>
      <c r="F252" s="1300"/>
      <c r="I252" s="491"/>
    </row>
    <row r="253" spans="1:9" x14ac:dyDescent="0.3">
      <c r="A253" s="485"/>
      <c r="B253" s="485"/>
      <c r="D253" s="1300"/>
      <c r="E253" s="1300"/>
      <c r="F253" s="1300"/>
      <c r="I253" s="491"/>
    </row>
    <row r="254" spans="1:9" x14ac:dyDescent="0.3">
      <c r="A254" s="485"/>
      <c r="B254" s="485"/>
      <c r="D254" s="1300"/>
      <c r="E254" s="1300"/>
      <c r="F254" s="1300"/>
      <c r="I254" s="491"/>
    </row>
    <row r="255" spans="1:9" x14ac:dyDescent="0.3">
      <c r="A255" s="485"/>
      <c r="B255" s="485"/>
      <c r="D255" s="446"/>
      <c r="E255" s="446"/>
      <c r="F255" s="446"/>
      <c r="I255" s="491"/>
    </row>
    <row r="256" spans="1:9" x14ac:dyDescent="0.3">
      <c r="A256" s="485"/>
      <c r="B256" s="486" t="s">
        <v>2771</v>
      </c>
      <c r="D256" s="393" t="s">
        <v>2057</v>
      </c>
      <c r="E256" s="446"/>
      <c r="F256" s="446"/>
      <c r="I256" s="491"/>
    </row>
    <row r="257" spans="1:9" x14ac:dyDescent="0.3">
      <c r="A257" s="485"/>
      <c r="B257" s="485"/>
      <c r="E257" s="1037" t="s">
        <v>1898</v>
      </c>
      <c r="I257" s="491"/>
    </row>
    <row r="258" spans="1:9" x14ac:dyDescent="0.3">
      <c r="D258" s="447"/>
      <c r="E258" s="447"/>
      <c r="F258" s="447"/>
      <c r="I258" s="491"/>
    </row>
    <row r="259" spans="1:9" x14ac:dyDescent="0.3">
      <c r="A259" s="485"/>
      <c r="B259" s="486" t="s">
        <v>2771</v>
      </c>
      <c r="D259" s="1300" t="s">
        <v>1120</v>
      </c>
      <c r="E259" s="1300"/>
      <c r="F259" s="1300"/>
      <c r="I259" s="491"/>
    </row>
    <row r="260" spans="1:9" x14ac:dyDescent="0.3">
      <c r="A260" s="485"/>
      <c r="B260" s="485"/>
      <c r="D260" s="1300"/>
      <c r="E260" s="1300"/>
      <c r="F260" s="1300"/>
      <c r="I260" s="491"/>
    </row>
    <row r="261" spans="1:9" x14ac:dyDescent="0.3">
      <c r="D261" s="492"/>
      <c r="I261" s="491"/>
    </row>
    <row r="262" spans="1:9" x14ac:dyDescent="0.3">
      <c r="A262" s="1307" t="s">
        <v>1048</v>
      </c>
      <c r="B262" s="1307"/>
      <c r="C262" s="1307"/>
      <c r="D262" s="1307"/>
      <c r="E262" s="1307"/>
      <c r="F262" s="1307"/>
      <c r="G262" s="1307"/>
      <c r="H262" s="1029"/>
      <c r="I262" s="1155"/>
    </row>
    <row r="263" spans="1:9" x14ac:dyDescent="0.3">
      <c r="D263" s="492"/>
      <c r="I263" s="491"/>
    </row>
    <row r="264" spans="1:9" x14ac:dyDescent="0.3">
      <c r="C264" s="487"/>
      <c r="D264" s="1308" t="s">
        <v>1122</v>
      </c>
      <c r="E264" s="1308"/>
      <c r="F264" s="1308"/>
      <c r="I264" s="491"/>
    </row>
    <row r="265" spans="1:9" x14ac:dyDescent="0.3">
      <c r="A265" s="483"/>
      <c r="B265" s="483"/>
      <c r="C265" s="483"/>
      <c r="D265" s="447"/>
      <c r="E265" s="447"/>
      <c r="F265" s="447"/>
      <c r="I265" s="491"/>
    </row>
    <row r="266" spans="1:9" x14ac:dyDescent="0.3">
      <c r="A266" s="484"/>
      <c r="B266" s="484"/>
      <c r="C266" s="484"/>
      <c r="D266" s="1308" t="s">
        <v>269</v>
      </c>
      <c r="E266" s="1308"/>
      <c r="F266" s="1308"/>
      <c r="I266" s="491"/>
    </row>
    <row r="267" spans="1:9" ht="14.4" customHeight="1" x14ac:dyDescent="0.3">
      <c r="A267" s="485"/>
      <c r="B267" s="486" t="s">
        <v>2771</v>
      </c>
      <c r="D267" s="1300" t="s">
        <v>1197</v>
      </c>
      <c r="E267" s="1300"/>
      <c r="F267" s="1300"/>
      <c r="I267" s="491"/>
    </row>
    <row r="268" spans="1:9" x14ac:dyDescent="0.3">
      <c r="D268" s="1300"/>
      <c r="E268" s="1300"/>
      <c r="F268" s="1300"/>
      <c r="I268" s="491"/>
    </row>
    <row r="269" spans="1:9" x14ac:dyDescent="0.3">
      <c r="E269" s="1037" t="s">
        <v>1899</v>
      </c>
      <c r="I269" s="491"/>
    </row>
    <row r="270" spans="1:9" x14ac:dyDescent="0.3">
      <c r="D270" s="447"/>
      <c r="E270" s="447"/>
      <c r="F270" s="447"/>
      <c r="I270" s="491"/>
    </row>
    <row r="271" spans="1:9" ht="14.4" customHeight="1" x14ac:dyDescent="0.3">
      <c r="A271" s="485"/>
      <c r="B271" s="486" t="s">
        <v>2612</v>
      </c>
      <c r="D271" s="1300" t="s">
        <v>2058</v>
      </c>
      <c r="E271" s="1300"/>
      <c r="F271" s="1300"/>
      <c r="I271" s="491"/>
    </row>
    <row r="272" spans="1:9" x14ac:dyDescent="0.3">
      <c r="D272" s="1300"/>
      <c r="E272" s="1300"/>
      <c r="F272" s="1300"/>
      <c r="I272" s="491"/>
    </row>
    <row r="273" spans="1:9" x14ac:dyDescent="0.3">
      <c r="D273" s="1300"/>
      <c r="E273" s="1300"/>
      <c r="F273" s="1300"/>
      <c r="I273" s="491"/>
    </row>
    <row r="274" spans="1:9" x14ac:dyDescent="0.3">
      <c r="D274" s="1300"/>
      <c r="E274" s="1300"/>
      <c r="F274" s="1300"/>
      <c r="I274" s="491"/>
    </row>
    <row r="275" spans="1:9" x14ac:dyDescent="0.3">
      <c r="D275" s="1300"/>
      <c r="E275" s="1300"/>
      <c r="F275" s="1300"/>
      <c r="I275" s="491"/>
    </row>
    <row r="276" spans="1:9" x14ac:dyDescent="0.3">
      <c r="D276" s="1300"/>
      <c r="E276" s="1300"/>
      <c r="F276" s="1300"/>
      <c r="I276" s="491"/>
    </row>
    <row r="277" spans="1:9" x14ac:dyDescent="0.3">
      <c r="D277" s="447"/>
      <c r="E277" s="447"/>
      <c r="F277" s="447"/>
      <c r="I277" s="491"/>
    </row>
    <row r="278" spans="1:9" x14ac:dyDescent="0.3">
      <c r="A278" s="485"/>
      <c r="B278" s="486" t="s">
        <v>2612</v>
      </c>
      <c r="D278" s="1300" t="s">
        <v>1123</v>
      </c>
      <c r="E278" s="1300"/>
      <c r="F278" s="1300"/>
      <c r="I278" s="491"/>
    </row>
    <row r="279" spans="1:9" x14ac:dyDescent="0.3">
      <c r="D279" s="1300"/>
      <c r="E279" s="1300"/>
      <c r="F279" s="1300"/>
      <c r="I279" s="491"/>
    </row>
    <row r="280" spans="1:9" x14ac:dyDescent="0.3">
      <c r="D280" s="1300"/>
      <c r="E280" s="1300"/>
      <c r="F280" s="1300"/>
      <c r="I280" s="491"/>
    </row>
    <row r="281" spans="1:9" x14ac:dyDescent="0.3">
      <c r="D281" s="493"/>
      <c r="E281" s="447"/>
      <c r="F281" s="447"/>
      <c r="I281" s="491"/>
    </row>
    <row r="282" spans="1:9" x14ac:dyDescent="0.3">
      <c r="A282" s="1307" t="s">
        <v>1049</v>
      </c>
      <c r="B282" s="1307"/>
      <c r="C282" s="1307"/>
      <c r="D282" s="1307"/>
      <c r="E282" s="1307"/>
      <c r="F282" s="1307"/>
      <c r="G282" s="1307"/>
      <c r="H282" s="1029"/>
      <c r="I282" s="1155"/>
    </row>
    <row r="283" spans="1:9" x14ac:dyDescent="0.3">
      <c r="D283" s="493"/>
      <c r="E283" s="447"/>
      <c r="F283" s="447"/>
      <c r="I283" s="491"/>
    </row>
    <row r="284" spans="1:9" x14ac:dyDescent="0.3">
      <c r="C284" s="483"/>
      <c r="D284" s="1316" t="s">
        <v>1124</v>
      </c>
      <c r="E284" s="1316"/>
      <c r="F284" s="1316"/>
      <c r="I284" s="491"/>
    </row>
    <row r="285" spans="1:9" x14ac:dyDescent="0.3">
      <c r="C285" s="483"/>
      <c r="D285" s="1316"/>
      <c r="E285" s="1316"/>
      <c r="F285" s="1316"/>
      <c r="I285" s="491"/>
    </row>
    <row r="286" spans="1:9" x14ac:dyDescent="0.3">
      <c r="A286" s="484"/>
      <c r="B286" s="484"/>
      <c r="C286" s="484"/>
      <c r="D286" s="405"/>
      <c r="I286" s="491"/>
    </row>
    <row r="287" spans="1:9" x14ac:dyDescent="0.3">
      <c r="C287" s="484"/>
      <c r="D287" s="1308" t="s">
        <v>209</v>
      </c>
      <c r="E287" s="1308"/>
      <c r="F287" s="1308"/>
      <c r="I287" s="491"/>
    </row>
    <row r="288" spans="1:9" ht="15.75" customHeight="1" x14ac:dyDescent="0.3">
      <c r="A288" s="485"/>
      <c r="B288" s="485"/>
      <c r="D288" s="1325" t="s">
        <v>1125</v>
      </c>
      <c r="E288" s="1325"/>
      <c r="F288" s="1325"/>
      <c r="I288" s="491"/>
    </row>
    <row r="289" spans="1:9" x14ac:dyDescent="0.3">
      <c r="E289" s="447"/>
      <c r="F289" s="447"/>
      <c r="I289" s="491"/>
    </row>
    <row r="290" spans="1:9" x14ac:dyDescent="0.3">
      <c r="A290" s="485"/>
      <c r="B290" s="486" t="s">
        <v>2612</v>
      </c>
      <c r="D290" s="1300" t="s">
        <v>1126</v>
      </c>
      <c r="E290" s="1300"/>
      <c r="F290" s="1300"/>
      <c r="I290" s="491"/>
    </row>
    <row r="291" spans="1:9" x14ac:dyDescent="0.3">
      <c r="A291" s="485"/>
      <c r="B291" s="485"/>
      <c r="D291" s="1300"/>
      <c r="E291" s="1300"/>
      <c r="F291" s="1300"/>
      <c r="I291" s="491"/>
    </row>
    <row r="292" spans="1:9" x14ac:dyDescent="0.3">
      <c r="D292" s="447"/>
      <c r="E292" s="447"/>
      <c r="F292" s="447"/>
      <c r="I292" s="491"/>
    </row>
    <row r="293" spans="1:9" x14ac:dyDescent="0.3">
      <c r="A293" s="485"/>
      <c r="B293" s="486" t="s">
        <v>2612</v>
      </c>
      <c r="D293" s="1300" t="s">
        <v>1127</v>
      </c>
      <c r="E293" s="1300"/>
      <c r="F293" s="1300"/>
      <c r="I293" s="491"/>
    </row>
    <row r="294" spans="1:9" x14ac:dyDescent="0.3">
      <c r="A294" s="485"/>
      <c r="B294" s="485"/>
      <c r="D294" s="1300"/>
      <c r="E294" s="1300"/>
      <c r="F294" s="1300"/>
      <c r="I294" s="491"/>
    </row>
    <row r="295" spans="1:9" x14ac:dyDescent="0.3">
      <c r="A295" s="485"/>
      <c r="B295" s="485"/>
      <c r="D295" s="1300"/>
      <c r="E295" s="1300"/>
      <c r="F295" s="1300"/>
      <c r="I295" s="491"/>
    </row>
    <row r="296" spans="1:9" x14ac:dyDescent="0.3">
      <c r="D296" s="447"/>
      <c r="E296" s="447"/>
      <c r="F296" s="447"/>
      <c r="I296" s="491"/>
    </row>
    <row r="297" spans="1:9" x14ac:dyDescent="0.3">
      <c r="A297" s="485"/>
      <c r="B297" s="486" t="s">
        <v>2612</v>
      </c>
      <c r="D297" s="1300" t="s">
        <v>1128</v>
      </c>
      <c r="E297" s="1300"/>
      <c r="F297" s="1300"/>
      <c r="I297" s="491"/>
    </row>
    <row r="298" spans="1:9" x14ac:dyDescent="0.3">
      <c r="A298" s="485"/>
      <c r="B298" s="485"/>
      <c r="D298" s="1300"/>
      <c r="E298" s="1300"/>
      <c r="F298" s="1300"/>
      <c r="I298" s="491"/>
    </row>
    <row r="299" spans="1:9" x14ac:dyDescent="0.3">
      <c r="A299" s="491"/>
      <c r="B299" s="491"/>
      <c r="E299" s="447"/>
      <c r="F299" s="447"/>
      <c r="I299" s="491"/>
    </row>
    <row r="300" spans="1:9" x14ac:dyDescent="0.3">
      <c r="A300" s="1307" t="s">
        <v>1050</v>
      </c>
      <c r="B300" s="1307"/>
      <c r="C300" s="1307"/>
      <c r="D300" s="1307"/>
      <c r="E300" s="1307"/>
      <c r="F300" s="1307"/>
      <c r="G300" s="1307"/>
      <c r="H300" s="1029"/>
      <c r="I300" s="1155"/>
    </row>
    <row r="301" spans="1:9" x14ac:dyDescent="0.3">
      <c r="A301" s="491"/>
      <c r="B301" s="491"/>
      <c r="D301" s="447"/>
      <c r="E301" s="447"/>
      <c r="F301" s="447"/>
      <c r="I301" s="491"/>
    </row>
    <row r="302" spans="1:9" x14ac:dyDescent="0.3">
      <c r="C302" s="491"/>
      <c r="D302" s="1308" t="s">
        <v>683</v>
      </c>
      <c r="E302" s="1308"/>
      <c r="F302" s="1308"/>
      <c r="I302" s="491"/>
    </row>
    <row r="303" spans="1:9" x14ac:dyDescent="0.3">
      <c r="C303" s="491"/>
      <c r="D303" s="1298" t="s">
        <v>1129</v>
      </c>
      <c r="E303" s="1298"/>
      <c r="F303" s="1298"/>
      <c r="I303" s="491"/>
    </row>
    <row r="304" spans="1:9" x14ac:dyDescent="0.3">
      <c r="C304" s="491"/>
      <c r="D304" s="494"/>
      <c r="I304" s="491"/>
    </row>
    <row r="305" spans="1:9" x14ac:dyDescent="0.3">
      <c r="B305" s="486" t="s">
        <v>2612</v>
      </c>
      <c r="D305" s="1298" t="s">
        <v>1130</v>
      </c>
      <c r="E305" s="1298"/>
      <c r="F305" s="1298"/>
      <c r="I305" s="491"/>
    </row>
    <row r="306" spans="1:9" x14ac:dyDescent="0.3">
      <c r="A306" s="485"/>
      <c r="B306" s="485"/>
      <c r="D306" s="495"/>
      <c r="E306" s="496"/>
      <c r="F306" s="496"/>
      <c r="I306" s="491"/>
    </row>
    <row r="307" spans="1:9" ht="13.65" customHeight="1" x14ac:dyDescent="0.3">
      <c r="B307" s="486" t="s">
        <v>2612</v>
      </c>
      <c r="D307" s="1309" t="s">
        <v>1220</v>
      </c>
      <c r="E307" s="1309"/>
      <c r="F307" s="1309"/>
      <c r="I307" s="491"/>
    </row>
    <row r="308" spans="1:9" x14ac:dyDescent="0.3">
      <c r="A308" s="485"/>
      <c r="B308" s="485"/>
      <c r="D308" s="1309"/>
      <c r="E308" s="1309"/>
      <c r="F308" s="1309"/>
      <c r="I308" s="491"/>
    </row>
    <row r="309" spans="1:9" x14ac:dyDescent="0.3">
      <c r="A309" s="485"/>
      <c r="B309" s="485"/>
      <c r="D309" s="1309"/>
      <c r="E309" s="1309"/>
      <c r="F309" s="1309"/>
      <c r="I309" s="491"/>
    </row>
    <row r="310" spans="1:9" x14ac:dyDescent="0.3">
      <c r="A310" s="485"/>
      <c r="B310" s="485"/>
      <c r="D310" s="1309"/>
      <c r="E310" s="1309"/>
      <c r="F310" s="1309"/>
      <c r="I310" s="491"/>
    </row>
    <row r="311" spans="1:9" x14ac:dyDescent="0.3">
      <c r="A311" s="485"/>
      <c r="B311" s="485"/>
      <c r="D311" s="1309"/>
      <c r="E311" s="1309"/>
      <c r="F311" s="1309"/>
      <c r="I311" s="491"/>
    </row>
    <row r="312" spans="1:9" x14ac:dyDescent="0.3">
      <c r="A312" s="485"/>
      <c r="B312" s="485"/>
      <c r="D312" s="495"/>
      <c r="E312" s="496"/>
      <c r="F312" s="496"/>
      <c r="I312" s="491"/>
    </row>
    <row r="313" spans="1:9" ht="13.65" customHeight="1" x14ac:dyDescent="0.3">
      <c r="B313" s="486" t="s">
        <v>2612</v>
      </c>
      <c r="D313" s="1309" t="s">
        <v>1131</v>
      </c>
      <c r="E313" s="1309"/>
      <c r="F313" s="1309"/>
      <c r="I313" s="491"/>
    </row>
    <row r="314" spans="1:9" x14ac:dyDescent="0.3">
      <c r="D314" s="1309"/>
      <c r="E314" s="1309"/>
      <c r="F314" s="1309"/>
      <c r="I314" s="491"/>
    </row>
    <row r="315" spans="1:9" x14ac:dyDescent="0.3">
      <c r="A315" s="485"/>
      <c r="B315" s="485"/>
      <c r="D315" s="495"/>
      <c r="E315" s="496"/>
      <c r="F315" s="496"/>
      <c r="I315" s="491"/>
    </row>
    <row r="316" spans="1:9" x14ac:dyDescent="0.3">
      <c r="B316" s="486" t="s">
        <v>2612</v>
      </c>
      <c r="D316" s="1298" t="s">
        <v>1132</v>
      </c>
      <c r="E316" s="1298"/>
      <c r="F316" s="1298"/>
      <c r="I316" s="491"/>
    </row>
    <row r="317" spans="1:9" x14ac:dyDescent="0.3">
      <c r="E317" s="447"/>
      <c r="F317" s="447"/>
      <c r="I317" s="491"/>
    </row>
    <row r="318" spans="1:9" x14ac:dyDescent="0.3">
      <c r="A318" s="485"/>
      <c r="B318" s="486" t="s">
        <v>2612</v>
      </c>
      <c r="D318" s="1300" t="s">
        <v>2249</v>
      </c>
      <c r="E318" s="1300"/>
      <c r="F318" s="1300"/>
      <c r="I318" s="491"/>
    </row>
    <row r="319" spans="1:9" x14ac:dyDescent="0.3">
      <c r="A319" s="485"/>
      <c r="B319" s="485"/>
      <c r="D319" s="1300"/>
      <c r="E319" s="1300"/>
      <c r="F319" s="1300"/>
      <c r="I319" s="491"/>
    </row>
    <row r="320" spans="1:9" x14ac:dyDescent="0.3">
      <c r="A320" s="485"/>
      <c r="B320" s="485"/>
      <c r="D320" s="1300"/>
      <c r="E320" s="1300"/>
      <c r="F320" s="1300"/>
      <c r="I320" s="491"/>
    </row>
    <row r="321" spans="1:9" x14ac:dyDescent="0.3">
      <c r="A321" s="485"/>
      <c r="B321" s="485"/>
      <c r="D321" s="1300"/>
      <c r="E321" s="1300"/>
      <c r="F321" s="1300"/>
      <c r="I321" s="491"/>
    </row>
    <row r="322" spans="1:9" x14ac:dyDescent="0.3">
      <c r="A322" s="485"/>
      <c r="B322" s="485"/>
      <c r="D322" s="1300"/>
      <c r="E322" s="1300"/>
      <c r="F322" s="1300"/>
      <c r="I322" s="491"/>
    </row>
    <row r="323" spans="1:9" x14ac:dyDescent="0.3">
      <c r="A323" s="485"/>
      <c r="B323" s="485"/>
      <c r="D323" s="1300"/>
      <c r="E323" s="1300"/>
      <c r="F323" s="1300"/>
      <c r="I323" s="491"/>
    </row>
    <row r="324" spans="1:9" x14ac:dyDescent="0.3">
      <c r="A324" s="485"/>
      <c r="B324" s="485"/>
      <c r="D324" s="1300"/>
      <c r="E324" s="1300"/>
      <c r="F324" s="1300"/>
      <c r="I324" s="491"/>
    </row>
    <row r="325" spans="1:9" x14ac:dyDescent="0.3">
      <c r="A325" s="485"/>
      <c r="B325" s="485"/>
      <c r="D325" s="1300"/>
      <c r="E325" s="1300"/>
      <c r="F325" s="1300"/>
      <c r="I325" s="491"/>
    </row>
    <row r="326" spans="1:9" x14ac:dyDescent="0.3">
      <c r="A326" s="485"/>
      <c r="B326" s="485"/>
      <c r="D326" s="1300"/>
      <c r="E326" s="1300"/>
      <c r="F326" s="1300"/>
      <c r="I326" s="491"/>
    </row>
    <row r="327" spans="1:9" x14ac:dyDescent="0.3">
      <c r="A327" s="485"/>
      <c r="B327" s="485"/>
      <c r="D327" s="1300"/>
      <c r="E327" s="1300"/>
      <c r="F327" s="1300"/>
      <c r="I327" s="491"/>
    </row>
    <row r="328" spans="1:9" x14ac:dyDescent="0.3">
      <c r="A328" s="485"/>
      <c r="B328" s="485"/>
      <c r="D328" s="1300"/>
      <c r="E328" s="1300"/>
      <c r="F328" s="1300"/>
      <c r="I328" s="491"/>
    </row>
    <row r="329" spans="1:9" x14ac:dyDescent="0.3">
      <c r="A329" s="485"/>
      <c r="B329" s="485"/>
      <c r="D329" s="1300"/>
      <c r="E329" s="1300"/>
      <c r="F329" s="1300"/>
      <c r="I329" s="491"/>
    </row>
    <row r="330" spans="1:9" x14ac:dyDescent="0.3">
      <c r="A330" s="485"/>
      <c r="B330" s="485"/>
      <c r="D330" s="1300"/>
      <c r="E330" s="1300"/>
      <c r="F330" s="1300"/>
      <c r="I330" s="491"/>
    </row>
    <row r="331" spans="1:9" x14ac:dyDescent="0.3">
      <c r="A331" s="485"/>
      <c r="B331" s="485"/>
      <c r="D331" s="1300"/>
      <c r="E331" s="1300"/>
      <c r="F331" s="1300"/>
      <c r="I331" s="491"/>
    </row>
    <row r="332" spans="1:9" x14ac:dyDescent="0.3">
      <c r="A332" s="485"/>
      <c r="B332" s="485"/>
      <c r="D332" s="1300"/>
      <c r="E332" s="1300"/>
      <c r="F332" s="1300"/>
      <c r="I332" s="491"/>
    </row>
    <row r="333" spans="1:9" x14ac:dyDescent="0.3">
      <c r="D333" s="447"/>
      <c r="E333" s="447"/>
      <c r="F333" s="447"/>
      <c r="I333" s="491"/>
    </row>
    <row r="334" spans="1:9" x14ac:dyDescent="0.3">
      <c r="A334" s="485"/>
      <c r="B334" s="486" t="s">
        <v>2612</v>
      </c>
      <c r="D334" s="1300" t="s">
        <v>1133</v>
      </c>
      <c r="E334" s="1300"/>
      <c r="F334" s="1300"/>
      <c r="I334" s="491"/>
    </row>
    <row r="335" spans="1:9" x14ac:dyDescent="0.3">
      <c r="D335" s="1300"/>
      <c r="E335" s="1300"/>
      <c r="F335" s="1300"/>
      <c r="I335" s="491"/>
    </row>
    <row r="336" spans="1:9" x14ac:dyDescent="0.3">
      <c r="D336" s="1300"/>
      <c r="E336" s="1300"/>
      <c r="F336" s="1300"/>
      <c r="I336" s="491"/>
    </row>
    <row r="337" spans="1:9" x14ac:dyDescent="0.3">
      <c r="D337" s="1300"/>
      <c r="E337" s="1300"/>
      <c r="F337" s="1300"/>
      <c r="I337" s="491"/>
    </row>
    <row r="338" spans="1:9" x14ac:dyDescent="0.3">
      <c r="D338" s="1300"/>
      <c r="E338" s="1300"/>
      <c r="F338" s="1300"/>
      <c r="I338" s="491"/>
    </row>
    <row r="339" spans="1:9" x14ac:dyDescent="0.3">
      <c r="D339" s="1300"/>
      <c r="E339" s="1300"/>
      <c r="F339" s="1300"/>
      <c r="I339" s="491"/>
    </row>
    <row r="340" spans="1:9" x14ac:dyDescent="0.3">
      <c r="D340" s="1300"/>
      <c r="E340" s="1300"/>
      <c r="F340" s="1300"/>
      <c r="I340" s="491"/>
    </row>
    <row r="341" spans="1:9" x14ac:dyDescent="0.3">
      <c r="D341" s="1300"/>
      <c r="E341" s="1300"/>
      <c r="F341" s="1300"/>
      <c r="I341" s="491"/>
    </row>
    <row r="342" spans="1:9" x14ac:dyDescent="0.3">
      <c r="D342" s="1300"/>
      <c r="E342" s="1300"/>
      <c r="F342" s="1300"/>
      <c r="I342" s="491"/>
    </row>
    <row r="343" spans="1:9" x14ac:dyDescent="0.3">
      <c r="D343" s="447"/>
      <c r="E343" s="447"/>
      <c r="F343" s="447"/>
      <c r="I343" s="491"/>
    </row>
    <row r="344" spans="1:9" ht="14.25" customHeight="1" x14ac:dyDescent="0.3">
      <c r="A344" s="485"/>
      <c r="B344" s="486" t="s">
        <v>2612</v>
      </c>
      <c r="D344" s="1300" t="s">
        <v>1904</v>
      </c>
      <c r="E344" s="1300"/>
      <c r="F344" s="1300"/>
      <c r="I344" s="491"/>
    </row>
    <row r="345" spans="1:9" x14ac:dyDescent="0.3">
      <c r="D345" s="1300"/>
      <c r="E345" s="1300"/>
      <c r="F345" s="1300"/>
      <c r="I345" s="491"/>
    </row>
    <row r="346" spans="1:9" x14ac:dyDescent="0.3">
      <c r="D346" s="1300"/>
      <c r="E346" s="1300"/>
      <c r="F346" s="1300"/>
      <c r="I346" s="491"/>
    </row>
    <row r="347" spans="1:9" x14ac:dyDescent="0.3">
      <c r="D347" s="1300"/>
      <c r="E347" s="1300"/>
      <c r="F347" s="1300"/>
      <c r="I347" s="491"/>
    </row>
    <row r="348" spans="1:9" x14ac:dyDescent="0.3">
      <c r="D348" s="387" t="s">
        <v>1903</v>
      </c>
      <c r="E348" s="386"/>
      <c r="F348" s="386"/>
      <c r="I348" s="491"/>
    </row>
    <row r="349" spans="1:9" x14ac:dyDescent="0.3">
      <c r="D349" s="386"/>
      <c r="E349" s="96" t="s">
        <v>1900</v>
      </c>
      <c r="G349" s="96"/>
      <c r="I349" s="491"/>
    </row>
    <row r="350" spans="1:9" x14ac:dyDescent="0.3">
      <c r="D350" s="446"/>
      <c r="E350" s="446"/>
      <c r="F350" s="446"/>
      <c r="I350" s="491"/>
    </row>
    <row r="351" spans="1:9" ht="13.5" thickBot="1" x14ac:dyDescent="0.35">
      <c r="A351" s="1023"/>
      <c r="B351" s="1023"/>
      <c r="C351" s="1023"/>
      <c r="D351" s="1328" t="s">
        <v>980</v>
      </c>
      <c r="E351" s="1328"/>
      <c r="F351" s="1328"/>
      <c r="G351" s="1028"/>
      <c r="H351" s="1028"/>
      <c r="I351" s="1158"/>
    </row>
    <row r="352" spans="1:9" ht="13.5" thickTop="1" x14ac:dyDescent="0.3">
      <c r="D352" s="1327" t="s">
        <v>2250</v>
      </c>
      <c r="E352" s="1327"/>
      <c r="F352" s="1327"/>
      <c r="I352" s="491"/>
    </row>
    <row r="353" spans="1:9" x14ac:dyDescent="0.3">
      <c r="D353" s="447"/>
      <c r="E353" s="447"/>
      <c r="F353" s="447"/>
      <c r="I353" s="491"/>
    </row>
    <row r="354" spans="1:9" x14ac:dyDescent="0.3">
      <c r="A354" s="477"/>
      <c r="B354" s="477"/>
      <c r="C354" s="477"/>
      <c r="D354" s="448"/>
      <c r="E354" s="448"/>
      <c r="F354" s="447"/>
      <c r="I354" s="491"/>
    </row>
    <row r="355" spans="1:9" x14ac:dyDescent="0.3">
      <c r="A355" s="485"/>
      <c r="B355" s="486" t="s">
        <v>2612</v>
      </c>
      <c r="C355" s="488"/>
      <c r="D355" s="1298" t="s">
        <v>1902</v>
      </c>
      <c r="E355" s="1298"/>
      <c r="F355" s="1298"/>
      <c r="I355" s="491"/>
    </row>
    <row r="356" spans="1:9" ht="12.75" customHeight="1" x14ac:dyDescent="0.3">
      <c r="D356" s="1038"/>
      <c r="E356" s="96" t="s">
        <v>1901</v>
      </c>
      <c r="F356" s="1038"/>
      <c r="I356" s="491"/>
    </row>
    <row r="357" spans="1:9" x14ac:dyDescent="0.3">
      <c r="D357" s="1300" t="s">
        <v>1240</v>
      </c>
      <c r="E357" s="1300"/>
      <c r="F357" s="1300"/>
      <c r="I357" s="491"/>
    </row>
    <row r="358" spans="1:9" x14ac:dyDescent="0.3">
      <c r="D358" s="1300"/>
      <c r="E358" s="1300"/>
      <c r="F358" s="1300"/>
      <c r="I358" s="491"/>
    </row>
    <row r="359" spans="1:9" x14ac:dyDescent="0.3">
      <c r="D359" s="1300"/>
      <c r="E359" s="1300"/>
      <c r="F359" s="1300"/>
      <c r="I359" s="491"/>
    </row>
    <row r="360" spans="1:9" x14ac:dyDescent="0.3">
      <c r="A360" s="485"/>
      <c r="B360" s="486" t="s">
        <v>2612</v>
      </c>
      <c r="C360" s="477"/>
      <c r="D360" s="1317" t="s">
        <v>2059</v>
      </c>
      <c r="E360" s="1317"/>
      <c r="F360" s="1317"/>
      <c r="I360" s="481"/>
    </row>
    <row r="361" spans="1:9" x14ac:dyDescent="0.3">
      <c r="A361" s="477"/>
      <c r="B361" s="477"/>
      <c r="C361" s="477"/>
      <c r="D361" s="448"/>
      <c r="E361" s="448"/>
      <c r="F361" s="447"/>
      <c r="I361" s="491"/>
    </row>
    <row r="362" spans="1:9" x14ac:dyDescent="0.3">
      <c r="A362" s="477"/>
      <c r="B362" s="486" t="s">
        <v>2612</v>
      </c>
      <c r="C362" s="477"/>
      <c r="D362" s="1271" t="s">
        <v>2060</v>
      </c>
      <c r="E362" s="1271"/>
      <c r="F362" s="1271"/>
      <c r="I362" s="491"/>
    </row>
    <row r="363" spans="1:9" x14ac:dyDescent="0.3">
      <c r="A363" s="477"/>
      <c r="B363" s="477"/>
      <c r="C363" s="477"/>
      <c r="D363" s="1271"/>
      <c r="E363" s="1271"/>
      <c r="F363" s="1271"/>
      <c r="I363" s="491"/>
    </row>
    <row r="364" spans="1:9" x14ac:dyDescent="0.3">
      <c r="A364" s="477"/>
      <c r="B364" s="477"/>
      <c r="C364" s="477"/>
      <c r="D364" s="1271"/>
      <c r="E364" s="1271"/>
      <c r="F364" s="1271"/>
      <c r="I364" s="491"/>
    </row>
    <row r="365" spans="1:9" x14ac:dyDescent="0.3">
      <c r="A365" s="477"/>
      <c r="B365" s="477"/>
      <c r="C365" s="477"/>
      <c r="D365" s="1271"/>
      <c r="E365" s="1271"/>
      <c r="F365" s="1271"/>
      <c r="I365" s="491"/>
    </row>
    <row r="366" spans="1:9" x14ac:dyDescent="0.3">
      <c r="A366" s="477"/>
      <c r="B366" s="477"/>
      <c r="C366" s="477"/>
      <c r="D366" s="1271"/>
      <c r="E366" s="1271"/>
      <c r="F366" s="1271"/>
      <c r="I366" s="491"/>
    </row>
    <row r="367" spans="1:9" x14ac:dyDescent="0.3">
      <c r="A367" s="477"/>
      <c r="B367" s="477"/>
      <c r="C367" s="477"/>
      <c r="D367" s="1271"/>
      <c r="E367" s="1271"/>
      <c r="F367" s="1271"/>
      <c r="I367" s="491"/>
    </row>
    <row r="368" spans="1:9" x14ac:dyDescent="0.3">
      <c r="A368" s="477"/>
      <c r="B368" s="477"/>
      <c r="C368" s="477"/>
      <c r="D368" s="1271"/>
      <c r="E368" s="1271"/>
      <c r="F368" s="1271"/>
      <c r="I368" s="491"/>
    </row>
    <row r="369" spans="1:9" x14ac:dyDescent="0.3">
      <c r="A369" s="477"/>
      <c r="B369" s="477"/>
      <c r="C369" s="477"/>
      <c r="D369" s="1271"/>
      <c r="E369" s="1271"/>
      <c r="F369" s="1271"/>
      <c r="I369" s="491"/>
    </row>
    <row r="370" spans="1:9" x14ac:dyDescent="0.3">
      <c r="A370" s="477"/>
      <c r="B370" s="477"/>
      <c r="C370" s="477"/>
      <c r="D370" s="1271"/>
      <c r="E370" s="1271"/>
      <c r="F370" s="1271"/>
      <c r="I370" s="491"/>
    </row>
    <row r="371" spans="1:9" x14ac:dyDescent="0.3">
      <c r="A371" s="477"/>
      <c r="B371" s="477"/>
      <c r="C371" s="477"/>
      <c r="D371" s="1271"/>
      <c r="E371" s="1271"/>
      <c r="F371" s="1271"/>
      <c r="I371" s="491"/>
    </row>
    <row r="372" spans="1:9" x14ac:dyDescent="0.3">
      <c r="A372" s="477"/>
      <c r="B372" s="477"/>
      <c r="C372" s="477"/>
      <c r="D372" s="1271"/>
      <c r="E372" s="1271"/>
      <c r="F372" s="1271"/>
      <c r="I372" s="491"/>
    </row>
    <row r="373" spans="1:9" x14ac:dyDescent="0.3">
      <c r="A373" s="477"/>
      <c r="B373" s="477"/>
      <c r="C373" s="477"/>
      <c r="D373" s="1271"/>
      <c r="E373" s="1271"/>
      <c r="F373" s="1271"/>
      <c r="I373" s="491"/>
    </row>
    <row r="374" spans="1:9" x14ac:dyDescent="0.3">
      <c r="A374" s="477"/>
      <c r="B374" s="477"/>
      <c r="C374" s="477"/>
      <c r="D374" s="452"/>
      <c r="E374" s="452"/>
      <c r="F374" s="452"/>
      <c r="I374" s="491"/>
    </row>
    <row r="375" spans="1:9" ht="12.5" customHeight="1" x14ac:dyDescent="0.3">
      <c r="A375" s="477"/>
      <c r="B375" s="486" t="s">
        <v>2612</v>
      </c>
      <c r="C375" s="477"/>
      <c r="D375" s="1279" t="s">
        <v>1222</v>
      </c>
      <c r="E375" s="1279"/>
      <c r="F375" s="1279"/>
      <c r="I375" s="491"/>
    </row>
    <row r="376" spans="1:9" x14ac:dyDescent="0.3">
      <c r="A376" s="477"/>
      <c r="B376" s="477"/>
      <c r="C376" s="477"/>
      <c r="D376" s="1279"/>
      <c r="E376" s="1279"/>
      <c r="F376" s="1279"/>
      <c r="I376" s="491"/>
    </row>
    <row r="377" spans="1:9" x14ac:dyDescent="0.3">
      <c r="A377" s="477"/>
      <c r="B377" s="477"/>
      <c r="C377" s="477"/>
      <c r="D377" s="1279"/>
      <c r="E377" s="1279"/>
      <c r="F377" s="1279"/>
      <c r="I377" s="491"/>
    </row>
    <row r="378" spans="1:9" x14ac:dyDescent="0.3">
      <c r="A378" s="477"/>
      <c r="B378" s="477"/>
      <c r="C378" s="477"/>
      <c r="D378" s="1279"/>
      <c r="E378" s="1279"/>
      <c r="F378" s="1279"/>
      <c r="I378" s="491"/>
    </row>
    <row r="379" spans="1:9" x14ac:dyDescent="0.3">
      <c r="A379" s="477"/>
      <c r="B379" s="477"/>
      <c r="C379" s="477"/>
      <c r="D379" s="525"/>
      <c r="E379" s="525"/>
      <c r="F379" s="525"/>
      <c r="I379" s="491"/>
    </row>
    <row r="380" spans="1:9" x14ac:dyDescent="0.3">
      <c r="A380" s="477"/>
      <c r="B380" s="486" t="s">
        <v>2612</v>
      </c>
      <c r="C380" s="477"/>
      <c r="D380" s="403" t="s">
        <v>1835</v>
      </c>
      <c r="E380" s="525"/>
      <c r="F380" s="525"/>
      <c r="I380" s="491"/>
    </row>
    <row r="381" spans="1:9" x14ac:dyDescent="0.3">
      <c r="A381" s="477"/>
      <c r="B381" s="477"/>
      <c r="C381" s="477"/>
      <c r="D381" s="403" t="s">
        <v>1836</v>
      </c>
      <c r="E381" s="525"/>
      <c r="F381" s="525"/>
      <c r="I381" s="491"/>
    </row>
    <row r="382" spans="1:9" x14ac:dyDescent="0.3">
      <c r="A382" s="477"/>
      <c r="B382" s="477"/>
      <c r="C382" s="477"/>
      <c r="D382" s="403" t="s">
        <v>1837</v>
      </c>
      <c r="E382" s="525"/>
      <c r="F382" s="525"/>
      <c r="I382" s="491"/>
    </row>
    <row r="383" spans="1:9" x14ac:dyDescent="0.3">
      <c r="A383" s="477"/>
      <c r="B383" s="477"/>
      <c r="C383" s="477"/>
      <c r="D383" s="403" t="s">
        <v>1838</v>
      </c>
      <c r="E383" s="525"/>
      <c r="F383" s="525"/>
      <c r="I383" s="491"/>
    </row>
    <row r="384" spans="1:9" x14ac:dyDescent="0.3">
      <c r="A384" s="477"/>
      <c r="B384" s="477"/>
      <c r="C384" s="477"/>
      <c r="D384" s="403" t="s">
        <v>1839</v>
      </c>
      <c r="E384" s="525"/>
      <c r="F384" s="525"/>
      <c r="I384" s="491"/>
    </row>
    <row r="385" spans="1:9" x14ac:dyDescent="0.3">
      <c r="A385" s="477"/>
      <c r="B385" s="477"/>
      <c r="C385" s="477"/>
      <c r="D385" s="403" t="s">
        <v>1840</v>
      </c>
      <c r="E385" s="525"/>
      <c r="F385" s="525"/>
      <c r="I385" s="491"/>
    </row>
    <row r="386" spans="1:9" x14ac:dyDescent="0.3">
      <c r="A386" s="477"/>
      <c r="B386" s="477"/>
      <c r="C386" s="477"/>
      <c r="E386" s="448"/>
      <c r="F386" s="447"/>
      <c r="I386" s="491"/>
    </row>
    <row r="387" spans="1:9" x14ac:dyDescent="0.3">
      <c r="A387" s="485"/>
      <c r="B387" s="486" t="s">
        <v>2612</v>
      </c>
      <c r="C387" s="477"/>
      <c r="D387" s="1271" t="s">
        <v>1134</v>
      </c>
      <c r="E387" s="1271"/>
      <c r="F387" s="1271"/>
      <c r="I387" s="491"/>
    </row>
    <row r="388" spans="1:9" x14ac:dyDescent="0.3">
      <c r="A388" s="477"/>
      <c r="B388" s="477"/>
      <c r="C388" s="477"/>
      <c r="D388" s="1271"/>
      <c r="E388" s="1271"/>
      <c r="F388" s="1271"/>
      <c r="I388" s="491"/>
    </row>
    <row r="389" spans="1:9" x14ac:dyDescent="0.3">
      <c r="A389" s="477"/>
      <c r="B389" s="477"/>
      <c r="C389" s="477"/>
      <c r="D389" s="1271"/>
      <c r="E389" s="1271"/>
      <c r="F389" s="1271"/>
      <c r="I389" s="491"/>
    </row>
    <row r="390" spans="1:9" x14ac:dyDescent="0.3">
      <c r="A390" s="477"/>
      <c r="B390" s="477"/>
      <c r="C390" s="477"/>
      <c r="D390" s="1271"/>
      <c r="E390" s="1271"/>
      <c r="F390" s="1271"/>
      <c r="I390" s="491"/>
    </row>
    <row r="391" spans="1:9" x14ac:dyDescent="0.3">
      <c r="A391" s="477"/>
      <c r="B391" s="477"/>
      <c r="C391" s="477"/>
      <c r="D391" s="448"/>
      <c r="E391" s="448"/>
      <c r="F391" s="447"/>
      <c r="I391" s="491"/>
    </row>
    <row r="392" spans="1:9" x14ac:dyDescent="0.3">
      <c r="A392" s="477"/>
      <c r="B392" s="477"/>
      <c r="C392" s="477"/>
      <c r="D392" s="1271" t="s">
        <v>1135</v>
      </c>
      <c r="E392" s="1271"/>
      <c r="F392" s="1271"/>
      <c r="I392" s="491"/>
    </row>
    <row r="393" spans="1:9" x14ac:dyDescent="0.3">
      <c r="A393" s="477"/>
      <c r="B393" s="477"/>
      <c r="C393" s="477"/>
      <c r="D393" s="1271"/>
      <c r="E393" s="1271"/>
      <c r="F393" s="1271"/>
      <c r="I393" s="491"/>
    </row>
    <row r="394" spans="1:9" x14ac:dyDescent="0.3">
      <c r="A394" s="477"/>
      <c r="B394" s="477"/>
      <c r="C394" s="477"/>
      <c r="D394" s="1271"/>
      <c r="E394" s="1271"/>
      <c r="F394" s="1271"/>
      <c r="I394" s="491"/>
    </row>
    <row r="395" spans="1:9" x14ac:dyDescent="0.3">
      <c r="A395" s="477"/>
      <c r="B395" s="477"/>
      <c r="C395" s="477"/>
      <c r="D395" s="1271"/>
      <c r="E395" s="1271"/>
      <c r="F395" s="1271"/>
      <c r="I395" s="491"/>
    </row>
    <row r="396" spans="1:9" ht="18" customHeight="1" x14ac:dyDescent="0.3">
      <c r="A396" s="477"/>
      <c r="B396" s="477"/>
      <c r="C396" s="477"/>
      <c r="D396" s="1271"/>
      <c r="E396" s="1271"/>
      <c r="F396" s="1271"/>
      <c r="I396" s="491"/>
    </row>
    <row r="397" spans="1:9" x14ac:dyDescent="0.3">
      <c r="A397" s="477"/>
      <c r="B397" s="477"/>
      <c r="C397" s="477"/>
      <c r="D397" s="1271"/>
      <c r="E397" s="1271"/>
      <c r="F397" s="1271"/>
      <c r="I397" s="491"/>
    </row>
    <row r="398" spans="1:9" x14ac:dyDescent="0.3">
      <c r="A398" s="477"/>
      <c r="B398" s="477"/>
      <c r="C398" s="477"/>
      <c r="D398" s="1271"/>
      <c r="E398" s="1271"/>
      <c r="F398" s="1271"/>
      <c r="I398" s="491"/>
    </row>
    <row r="399" spans="1:9" x14ac:dyDescent="0.3">
      <c r="A399" s="477"/>
      <c r="B399" s="477"/>
      <c r="C399" s="477"/>
      <c r="D399" s="1271"/>
      <c r="E399" s="1271"/>
      <c r="F399" s="1271"/>
      <c r="I399" s="491"/>
    </row>
    <row r="400" spans="1:9" ht="8.25" customHeight="1" x14ac:dyDescent="0.3">
      <c r="A400" s="477"/>
      <c r="B400" s="477"/>
      <c r="C400" s="477"/>
      <c r="D400" s="1271"/>
      <c r="E400" s="1271"/>
      <c r="F400" s="1271"/>
      <c r="I400" s="491"/>
    </row>
    <row r="401" spans="1:9" ht="13.65" customHeight="1" x14ac:dyDescent="0.3">
      <c r="A401" s="477"/>
      <c r="B401" s="477"/>
      <c r="C401" s="477"/>
      <c r="D401" s="1271" t="s">
        <v>1136</v>
      </c>
      <c r="E401" s="1271"/>
      <c r="F401" s="1271"/>
      <c r="I401" s="491"/>
    </row>
    <row r="402" spans="1:9" x14ac:dyDescent="0.3">
      <c r="A402" s="477"/>
      <c r="B402" s="477"/>
      <c r="C402" s="477"/>
      <c r="D402" s="1271"/>
      <c r="E402" s="1271"/>
      <c r="F402" s="1271"/>
      <c r="I402" s="491"/>
    </row>
    <row r="403" spans="1:9" x14ac:dyDescent="0.3">
      <c r="A403" s="477"/>
      <c r="B403" s="477"/>
      <c r="C403" s="477"/>
      <c r="D403" s="1271"/>
      <c r="E403" s="1271"/>
      <c r="F403" s="1271"/>
      <c r="I403" s="491"/>
    </row>
    <row r="404" spans="1:9" x14ac:dyDescent="0.3">
      <c r="A404" s="477"/>
      <c r="B404" s="477"/>
      <c r="C404" s="477"/>
      <c r="D404" s="1271"/>
      <c r="E404" s="1271"/>
      <c r="F404" s="1271"/>
      <c r="I404" s="491"/>
    </row>
    <row r="405" spans="1:9" x14ac:dyDescent="0.3">
      <c r="A405" s="477"/>
      <c r="B405" s="477"/>
      <c r="C405" s="477"/>
      <c r="D405" s="1271"/>
      <c r="E405" s="1271"/>
      <c r="F405" s="1271"/>
      <c r="I405" s="491"/>
    </row>
    <row r="406" spans="1:9" x14ac:dyDescent="0.3">
      <c r="A406" s="477"/>
      <c r="B406" s="477"/>
      <c r="C406" s="477"/>
      <c r="D406" s="1271"/>
      <c r="E406" s="1271"/>
      <c r="F406" s="1271"/>
      <c r="I406" s="491"/>
    </row>
    <row r="407" spans="1:9" x14ac:dyDescent="0.3">
      <c r="A407" s="477"/>
      <c r="B407" s="477"/>
      <c r="C407" s="477"/>
      <c r="D407" s="1271"/>
      <c r="E407" s="1271"/>
      <c r="F407" s="1271"/>
      <c r="I407" s="491"/>
    </row>
    <row r="408" spans="1:9" x14ac:dyDescent="0.3">
      <c r="A408" s="477"/>
      <c r="B408" s="477"/>
      <c r="C408" s="477"/>
      <c r="D408" s="1271"/>
      <c r="E408" s="1271"/>
      <c r="F408" s="1271"/>
      <c r="I408" s="491"/>
    </row>
    <row r="409" spans="1:9" x14ac:dyDescent="0.3">
      <c r="A409" s="477"/>
      <c r="B409" s="477"/>
      <c r="C409" s="477"/>
      <c r="D409" s="1271"/>
      <c r="E409" s="1271"/>
      <c r="F409" s="1271"/>
      <c r="I409" s="491"/>
    </row>
    <row r="410" spans="1:9" x14ac:dyDescent="0.3">
      <c r="A410" s="477"/>
      <c r="B410" s="477"/>
      <c r="C410" s="477"/>
      <c r="D410" s="1271"/>
      <c r="E410" s="1271"/>
      <c r="F410" s="1271"/>
      <c r="I410" s="491"/>
    </row>
    <row r="411" spans="1:9" x14ac:dyDescent="0.3">
      <c r="A411" s="477"/>
      <c r="B411" s="477"/>
      <c r="C411" s="477"/>
      <c r="D411" s="1271"/>
      <c r="E411" s="1271"/>
      <c r="F411" s="1271"/>
      <c r="I411" s="491"/>
    </row>
    <row r="412" spans="1:9" x14ac:dyDescent="0.3">
      <c r="A412" s="477"/>
      <c r="B412" s="477"/>
      <c r="C412" s="477"/>
      <c r="D412" s="1271"/>
      <c r="E412" s="1271"/>
      <c r="F412" s="1271"/>
      <c r="I412" s="491"/>
    </row>
    <row r="413" spans="1:9" x14ac:dyDescent="0.3">
      <c r="A413" s="477"/>
      <c r="B413" s="477"/>
      <c r="C413" s="497"/>
      <c r="D413" s="1271"/>
      <c r="E413" s="1271"/>
      <c r="F413" s="1271"/>
      <c r="I413" s="491"/>
    </row>
    <row r="414" spans="1:9" x14ac:dyDescent="0.3">
      <c r="A414" s="477"/>
      <c r="B414" s="477"/>
      <c r="C414" s="497"/>
      <c r="D414" s="1271"/>
      <c r="E414" s="1271"/>
      <c r="F414" s="1271"/>
      <c r="I414" s="491"/>
    </row>
    <row r="415" spans="1:9" x14ac:dyDescent="0.3">
      <c r="A415" s="477"/>
      <c r="B415" s="477"/>
      <c r="C415" s="477"/>
      <c r="D415" s="1271"/>
      <c r="E415" s="1271"/>
      <c r="F415" s="1271"/>
      <c r="I415" s="491"/>
    </row>
    <row r="416" spans="1:9" x14ac:dyDescent="0.3">
      <c r="A416" s="477"/>
      <c r="B416" s="477"/>
      <c r="C416" s="497"/>
      <c r="D416" s="1271"/>
      <c r="E416" s="1271"/>
      <c r="F416" s="1271"/>
      <c r="I416" s="491"/>
    </row>
    <row r="417" spans="1:9" x14ac:dyDescent="0.3">
      <c r="A417" s="477"/>
      <c r="B417" s="477"/>
      <c r="C417" s="497"/>
      <c r="D417" s="1271"/>
      <c r="E417" s="1271"/>
      <c r="F417" s="1271"/>
      <c r="I417" s="491"/>
    </row>
    <row r="418" spans="1:9" x14ac:dyDescent="0.3">
      <c r="A418" s="477"/>
      <c r="B418" s="477"/>
      <c r="C418" s="497"/>
      <c r="D418" s="1271"/>
      <c r="E418" s="1271"/>
      <c r="F418" s="1271"/>
      <c r="I418" s="491"/>
    </row>
    <row r="419" spans="1:9" x14ac:dyDescent="0.3">
      <c r="A419" s="477"/>
      <c r="B419" s="477"/>
      <c r="C419" s="477"/>
      <c r="D419" s="448"/>
      <c r="E419" s="448"/>
      <c r="F419" s="447"/>
      <c r="I419" s="491"/>
    </row>
    <row r="420" spans="1:9" x14ac:dyDescent="0.3">
      <c r="A420" s="477"/>
      <c r="B420" s="486" t="s">
        <v>2612</v>
      </c>
      <c r="C420" s="477"/>
      <c r="D420" s="1271" t="s">
        <v>1137</v>
      </c>
      <c r="E420" s="1271"/>
      <c r="F420" s="1271"/>
      <c r="I420" s="491"/>
    </row>
    <row r="421" spans="1:9" x14ac:dyDescent="0.3">
      <c r="A421" s="477"/>
      <c r="B421" s="477"/>
      <c r="C421" s="477"/>
      <c r="D421" s="1271"/>
      <c r="E421" s="1271"/>
      <c r="F421" s="1271"/>
      <c r="I421" s="491"/>
    </row>
    <row r="422" spans="1:9" x14ac:dyDescent="0.3">
      <c r="A422" s="477"/>
      <c r="B422" s="477"/>
      <c r="C422" s="477"/>
      <c r="D422" s="452"/>
      <c r="E422" s="452"/>
      <c r="F422" s="452"/>
      <c r="I422" s="491"/>
    </row>
    <row r="423" spans="1:9" ht="14.4" customHeight="1" x14ac:dyDescent="0.3">
      <c r="A423" s="485"/>
      <c r="B423" s="486" t="s">
        <v>2612</v>
      </c>
      <c r="D423" s="1271" t="s">
        <v>1883</v>
      </c>
      <c r="E423" s="1271"/>
      <c r="F423" s="1271"/>
      <c r="I423" s="491"/>
    </row>
    <row r="424" spans="1:9" ht="14.4" customHeight="1" x14ac:dyDescent="0.3">
      <c r="A424" s="485"/>
      <c r="D424" s="1271"/>
      <c r="E424" s="1271"/>
      <c r="F424" s="1271"/>
      <c r="I424" s="491"/>
    </row>
    <row r="425" spans="1:9" ht="14.4" customHeight="1" x14ac:dyDescent="0.3">
      <c r="A425" s="485"/>
      <c r="D425" s="1271"/>
      <c r="E425" s="1271"/>
      <c r="F425" s="1271"/>
      <c r="I425" s="491"/>
    </row>
    <row r="426" spans="1:9" ht="14.4" customHeight="1" x14ac:dyDescent="0.3">
      <c r="A426" s="485"/>
      <c r="D426" s="1271"/>
      <c r="E426" s="1271"/>
      <c r="F426" s="1271"/>
      <c r="I426" s="491"/>
    </row>
    <row r="427" spans="1:9" ht="14.4" customHeight="1" x14ac:dyDescent="0.3">
      <c r="A427" s="485"/>
      <c r="D427" s="1271"/>
      <c r="E427" s="1271"/>
      <c r="F427" s="1271"/>
      <c r="I427" s="491"/>
    </row>
    <row r="428" spans="1:9" ht="14.4" customHeight="1" x14ac:dyDescent="0.3">
      <c r="A428" s="485"/>
      <c r="D428" s="386"/>
      <c r="E428" s="386"/>
      <c r="F428" s="386"/>
      <c r="I428" s="491"/>
    </row>
    <row r="429" spans="1:9" ht="13.65" customHeight="1" x14ac:dyDescent="0.3">
      <c r="A429" s="485"/>
      <c r="B429" s="486" t="s">
        <v>2612</v>
      </c>
      <c r="C429" s="477"/>
      <c r="D429" s="1271" t="s">
        <v>1241</v>
      </c>
      <c r="E429" s="1271"/>
      <c r="F429" s="1271"/>
      <c r="I429" s="491"/>
    </row>
    <row r="430" spans="1:9" x14ac:dyDescent="0.3">
      <c r="A430" s="498"/>
      <c r="B430" s="498"/>
      <c r="C430" s="477"/>
      <c r="D430" s="1271"/>
      <c r="E430" s="1271"/>
      <c r="F430" s="1271"/>
      <c r="I430" s="491"/>
    </row>
    <row r="431" spans="1:9" x14ac:dyDescent="0.3">
      <c r="A431" s="498"/>
      <c r="B431" s="498"/>
      <c r="C431" s="477"/>
      <c r="D431" s="1271"/>
      <c r="E431" s="1271"/>
      <c r="F431" s="1271"/>
      <c r="I431" s="491"/>
    </row>
    <row r="432" spans="1:9" x14ac:dyDescent="0.3">
      <c r="A432" s="498"/>
      <c r="B432" s="498"/>
      <c r="C432" s="477"/>
      <c r="D432" s="1271"/>
      <c r="E432" s="1271"/>
      <c r="F432" s="1271"/>
      <c r="I432" s="491"/>
    </row>
    <row r="433" spans="1:9" ht="15.75" customHeight="1" x14ac:dyDescent="0.3">
      <c r="A433" s="498"/>
      <c r="B433" s="498"/>
      <c r="C433" s="477"/>
      <c r="D433" s="1329" t="s">
        <v>2076</v>
      </c>
      <c r="E433" s="1271"/>
      <c r="F433" s="1271"/>
      <c r="I433" s="491"/>
    </row>
    <row r="434" spans="1:9" x14ac:dyDescent="0.3">
      <c r="D434" s="447"/>
      <c r="E434" s="447"/>
      <c r="F434" s="447"/>
      <c r="I434" s="491"/>
    </row>
    <row r="435" spans="1:9" x14ac:dyDescent="0.3">
      <c r="A435" s="485"/>
      <c r="B435" s="486" t="s">
        <v>2612</v>
      </c>
      <c r="C435" s="488"/>
      <c r="D435" s="1300" t="s">
        <v>2061</v>
      </c>
      <c r="E435" s="1300"/>
      <c r="F435" s="1300"/>
      <c r="I435" s="491"/>
    </row>
    <row r="436" spans="1:9" x14ac:dyDescent="0.3">
      <c r="A436" s="485"/>
      <c r="B436" s="485"/>
      <c r="D436" s="1300"/>
      <c r="E436" s="1300"/>
      <c r="F436" s="1300"/>
      <c r="I436" s="491"/>
    </row>
    <row r="437" spans="1:9" x14ac:dyDescent="0.3">
      <c r="D437" s="1300"/>
      <c r="E437" s="1300"/>
      <c r="F437" s="1300"/>
      <c r="I437" s="491"/>
    </row>
    <row r="438" spans="1:9" x14ac:dyDescent="0.3">
      <c r="D438" s="1300"/>
      <c r="E438" s="1300"/>
      <c r="F438" s="1300"/>
      <c r="I438" s="491"/>
    </row>
    <row r="439" spans="1:9" x14ac:dyDescent="0.3">
      <c r="D439" s="1300"/>
      <c r="E439" s="1300"/>
      <c r="F439" s="1300"/>
      <c r="I439" s="491"/>
    </row>
    <row r="440" spans="1:9" x14ac:dyDescent="0.3">
      <c r="D440" s="1300"/>
      <c r="E440" s="1300"/>
      <c r="F440" s="1300"/>
      <c r="I440" s="491"/>
    </row>
    <row r="441" spans="1:9" x14ac:dyDescent="0.3">
      <c r="D441" s="1300"/>
      <c r="E441" s="1300"/>
      <c r="F441" s="1300"/>
      <c r="I441" s="491"/>
    </row>
    <row r="442" spans="1:9" x14ac:dyDescent="0.3">
      <c r="D442" s="1300"/>
      <c r="E442" s="1300"/>
      <c r="F442" s="1300"/>
      <c r="I442" s="491"/>
    </row>
    <row r="443" spans="1:9" x14ac:dyDescent="0.3">
      <c r="D443" s="1300"/>
      <c r="E443" s="1300"/>
      <c r="F443" s="1300"/>
      <c r="I443" s="491"/>
    </row>
    <row r="444" spans="1:9" x14ac:dyDescent="0.3">
      <c r="D444" s="1300"/>
      <c r="E444" s="1300"/>
      <c r="F444" s="1300"/>
      <c r="I444" s="491"/>
    </row>
    <row r="445" spans="1:9" x14ac:dyDescent="0.3">
      <c r="D445" s="1300"/>
      <c r="E445" s="1300"/>
      <c r="F445" s="1300"/>
      <c r="I445" s="491"/>
    </row>
    <row r="446" spans="1:9" x14ac:dyDescent="0.3">
      <c r="D446" s="1300"/>
      <c r="E446" s="1300"/>
      <c r="F446" s="1300"/>
      <c r="I446" s="491"/>
    </row>
    <row r="447" spans="1:9" x14ac:dyDescent="0.3">
      <c r="D447" s="1300"/>
      <c r="E447" s="1300"/>
      <c r="F447" s="1300"/>
      <c r="I447" s="491"/>
    </row>
    <row r="448" spans="1:9" x14ac:dyDescent="0.3">
      <c r="A448" s="403"/>
      <c r="B448" s="403"/>
      <c r="C448" s="403"/>
      <c r="D448" s="1300"/>
      <c r="E448" s="1300"/>
      <c r="F448" s="1300"/>
      <c r="I448" s="491"/>
    </row>
    <row r="449" spans="1:9" x14ac:dyDescent="0.3">
      <c r="A449" s="403"/>
      <c r="B449" s="403"/>
      <c r="C449" s="403"/>
      <c r="D449" s="1300"/>
      <c r="E449" s="1300"/>
      <c r="F449" s="1300"/>
      <c r="I449" s="491"/>
    </row>
    <row r="450" spans="1:9" x14ac:dyDescent="0.3">
      <c r="A450" s="403"/>
      <c r="B450" s="403"/>
      <c r="C450" s="403"/>
      <c r="D450" s="1300"/>
      <c r="E450" s="1300"/>
      <c r="F450" s="1300"/>
      <c r="I450" s="491"/>
    </row>
    <row r="451" spans="1:9" x14ac:dyDescent="0.3">
      <c r="A451" s="403"/>
      <c r="B451" s="403"/>
      <c r="C451" s="403"/>
      <c r="D451" s="1300"/>
      <c r="E451" s="1300"/>
      <c r="F451" s="1300"/>
      <c r="I451" s="491"/>
    </row>
    <row r="452" spans="1:9" x14ac:dyDescent="0.3">
      <c r="A452" s="403"/>
      <c r="B452" s="403"/>
      <c r="C452" s="403"/>
      <c r="D452" s="1300"/>
      <c r="E452" s="1300"/>
      <c r="F452" s="1300"/>
      <c r="I452" s="491"/>
    </row>
    <row r="453" spans="1:9" x14ac:dyDescent="0.3">
      <c r="A453" s="403"/>
      <c r="B453" s="403"/>
      <c r="C453" s="403"/>
      <c r="D453" s="1300"/>
      <c r="E453" s="1300"/>
      <c r="F453" s="1300"/>
      <c r="I453" s="491"/>
    </row>
    <row r="454" spans="1:9" x14ac:dyDescent="0.3">
      <c r="A454" s="403"/>
      <c r="B454" s="403"/>
      <c r="C454" s="403"/>
      <c r="D454" s="1300"/>
      <c r="E454" s="1300"/>
      <c r="F454" s="1300"/>
      <c r="I454" s="491"/>
    </row>
    <row r="455" spans="1:9" x14ac:dyDescent="0.3">
      <c r="A455" s="403"/>
      <c r="B455" s="403"/>
      <c r="C455" s="403"/>
      <c r="D455" s="1300"/>
      <c r="E455" s="1300"/>
      <c r="F455" s="1300"/>
      <c r="I455" s="491"/>
    </row>
    <row r="456" spans="1:9" x14ac:dyDescent="0.3">
      <c r="A456" s="403"/>
      <c r="B456" s="403"/>
      <c r="C456" s="403"/>
      <c r="D456" s="1300"/>
      <c r="E456" s="1300"/>
      <c r="F456" s="1300"/>
      <c r="I456" s="491"/>
    </row>
    <row r="457" spans="1:9" x14ac:dyDescent="0.3">
      <c r="A457" s="403"/>
      <c r="B457" s="403"/>
      <c r="C457" s="403"/>
      <c r="D457" s="1300"/>
      <c r="E457" s="1300"/>
      <c r="F457" s="1300"/>
      <c r="I457" s="491"/>
    </row>
    <row r="458" spans="1:9" x14ac:dyDescent="0.3">
      <c r="A458" s="403"/>
      <c r="B458" s="403"/>
      <c r="C458" s="403"/>
      <c r="D458" s="1300"/>
      <c r="E458" s="1300"/>
      <c r="F458" s="1300"/>
      <c r="I458" s="491"/>
    </row>
    <row r="459" spans="1:9" x14ac:dyDescent="0.3">
      <c r="A459" s="403"/>
      <c r="B459" s="403"/>
      <c r="C459" s="403"/>
      <c r="D459" s="1300"/>
      <c r="E459" s="1300"/>
      <c r="F459" s="1300"/>
      <c r="I459" s="491"/>
    </row>
    <row r="460" spans="1:9" x14ac:dyDescent="0.3">
      <c r="A460" s="403"/>
      <c r="B460" s="403"/>
      <c r="C460" s="403"/>
      <c r="D460" s="1300"/>
      <c r="E460" s="1300"/>
      <c r="F460" s="1300"/>
      <c r="I460" s="491"/>
    </row>
    <row r="461" spans="1:9" x14ac:dyDescent="0.3">
      <c r="A461" s="403"/>
      <c r="B461" s="403"/>
      <c r="C461" s="403"/>
      <c r="D461" s="1300"/>
      <c r="E461" s="1300"/>
      <c r="F461" s="1300"/>
      <c r="I461" s="491"/>
    </row>
    <row r="462" spans="1:9" x14ac:dyDescent="0.3">
      <c r="A462" s="403"/>
      <c r="B462" s="403"/>
      <c r="C462" s="403"/>
      <c r="D462" s="1300"/>
      <c r="E462" s="1300"/>
      <c r="F462" s="1300"/>
      <c r="I462" s="491"/>
    </row>
    <row r="463" spans="1:9" x14ac:dyDescent="0.3">
      <c r="A463" s="403"/>
      <c r="B463" s="403"/>
      <c r="C463" s="403"/>
      <c r="D463" s="1300"/>
      <c r="E463" s="1300"/>
      <c r="F463" s="1300"/>
      <c r="I463" s="491"/>
    </row>
    <row r="464" spans="1:9" x14ac:dyDescent="0.3">
      <c r="D464" s="1300"/>
      <c r="E464" s="1300"/>
      <c r="F464" s="1300"/>
      <c r="I464" s="491"/>
    </row>
    <row r="465" spans="1:9" ht="40.65" customHeight="1" x14ac:dyDescent="0.3">
      <c r="D465" s="1300"/>
      <c r="E465" s="1300"/>
      <c r="F465" s="1300"/>
      <c r="I465" s="491"/>
    </row>
    <row r="466" spans="1:9" x14ac:dyDescent="0.3">
      <c r="D466" s="447"/>
      <c r="E466" s="447"/>
      <c r="F466" s="447"/>
      <c r="I466" s="491"/>
    </row>
    <row r="467" spans="1:9" x14ac:dyDescent="0.3">
      <c r="A467" s="485"/>
      <c r="B467" s="486" t="s">
        <v>2612</v>
      </c>
      <c r="C467" s="488"/>
      <c r="D467" s="1300" t="s">
        <v>1138</v>
      </c>
      <c r="E467" s="1300"/>
      <c r="F467" s="1300"/>
      <c r="I467" s="491"/>
    </row>
    <row r="468" spans="1:9" x14ac:dyDescent="0.3">
      <c r="D468" s="1300"/>
      <c r="E468" s="1300"/>
      <c r="F468" s="1300"/>
      <c r="I468" s="491"/>
    </row>
    <row r="469" spans="1:9" x14ac:dyDescent="0.3">
      <c r="D469" s="1300"/>
      <c r="E469" s="1300"/>
      <c r="F469" s="1300"/>
      <c r="I469" s="491"/>
    </row>
    <row r="470" spans="1:9" x14ac:dyDescent="0.3">
      <c r="D470" s="446"/>
      <c r="E470" s="446"/>
      <c r="F470" s="446"/>
      <c r="I470" s="491"/>
    </row>
    <row r="471" spans="1:9" x14ac:dyDescent="0.3">
      <c r="B471" s="486" t="s">
        <v>2612</v>
      </c>
      <c r="C471" s="485"/>
      <c r="D471" s="1300" t="s">
        <v>1198</v>
      </c>
      <c r="E471" s="1300"/>
      <c r="F471" s="1300"/>
      <c r="I471" s="491"/>
    </row>
    <row r="472" spans="1:9" x14ac:dyDescent="0.3">
      <c r="D472" s="1300"/>
      <c r="E472" s="1300"/>
      <c r="F472" s="1300"/>
      <c r="I472" s="491"/>
    </row>
    <row r="473" spans="1:9" x14ac:dyDescent="0.3">
      <c r="D473" s="447"/>
      <c r="E473" s="447"/>
      <c r="F473" s="447"/>
      <c r="I473" s="491"/>
    </row>
    <row r="474" spans="1:9" x14ac:dyDescent="0.3">
      <c r="B474" s="486" t="s">
        <v>2612</v>
      </c>
      <c r="C474" s="485"/>
      <c r="D474" s="1300" t="s">
        <v>1139</v>
      </c>
      <c r="E474" s="1300"/>
      <c r="F474" s="1300"/>
      <c r="I474" s="491"/>
    </row>
    <row r="475" spans="1:9" x14ac:dyDescent="0.3">
      <c r="D475" s="1300"/>
      <c r="E475" s="1300"/>
      <c r="F475" s="1300"/>
      <c r="I475" s="491"/>
    </row>
    <row r="476" spans="1:9" x14ac:dyDescent="0.3">
      <c r="D476" s="1300"/>
      <c r="E476" s="1300"/>
      <c r="F476" s="1300"/>
      <c r="I476" s="491"/>
    </row>
    <row r="477" spans="1:9" x14ac:dyDescent="0.3">
      <c r="D477" s="1300"/>
      <c r="E477" s="1300"/>
      <c r="F477" s="1300"/>
      <c r="I477" s="491"/>
    </row>
    <row r="478" spans="1:9" x14ac:dyDescent="0.3">
      <c r="B478" s="486" t="s">
        <v>2612</v>
      </c>
      <c r="D478" s="1300"/>
      <c r="E478" s="1300"/>
      <c r="F478" s="1300"/>
      <c r="I478" s="491"/>
    </row>
    <row r="479" spans="1:9" x14ac:dyDescent="0.3">
      <c r="A479" s="403"/>
      <c r="B479" s="403"/>
      <c r="C479" s="403"/>
      <c r="D479" s="1300"/>
      <c r="E479" s="1300"/>
      <c r="F479" s="1300"/>
      <c r="I479" s="491"/>
    </row>
    <row r="480" spans="1:9" x14ac:dyDescent="0.3">
      <c r="A480" s="403"/>
      <c r="C480" s="403"/>
      <c r="D480" s="1300"/>
      <c r="E480" s="1300"/>
      <c r="F480" s="1300"/>
      <c r="I480" s="491"/>
    </row>
    <row r="481" spans="1:9" x14ac:dyDescent="0.3">
      <c r="A481" s="403"/>
      <c r="B481" s="486" t="s">
        <v>2612</v>
      </c>
      <c r="C481" s="403"/>
      <c r="D481" s="1300"/>
      <c r="E481" s="1300"/>
      <c r="F481" s="1300"/>
      <c r="I481" s="491"/>
    </row>
    <row r="482" spans="1:9" x14ac:dyDescent="0.3">
      <c r="A482" s="403"/>
      <c r="B482" s="403"/>
      <c r="C482" s="403"/>
      <c r="D482" s="1300"/>
      <c r="E482" s="1300"/>
      <c r="F482" s="1300"/>
      <c r="I482" s="491"/>
    </row>
    <row r="483" spans="1:9" x14ac:dyDescent="0.3">
      <c r="A483" s="403"/>
      <c r="C483" s="403"/>
      <c r="D483" s="1300"/>
      <c r="E483" s="1300"/>
      <c r="F483" s="1300"/>
      <c r="I483" s="491"/>
    </row>
    <row r="484" spans="1:9" x14ac:dyDescent="0.3">
      <c r="A484" s="403"/>
      <c r="C484" s="403"/>
      <c r="D484" s="1300"/>
      <c r="E484" s="1300"/>
      <c r="F484" s="1300"/>
      <c r="I484" s="491"/>
    </row>
    <row r="485" spans="1:9" x14ac:dyDescent="0.3">
      <c r="A485" s="403"/>
      <c r="C485" s="403"/>
      <c r="D485" s="1300"/>
      <c r="E485" s="1300"/>
      <c r="F485" s="1300"/>
      <c r="I485" s="491"/>
    </row>
    <row r="486" spans="1:9" x14ac:dyDescent="0.3">
      <c r="A486" s="403"/>
      <c r="B486" s="486" t="s">
        <v>2612</v>
      </c>
      <c r="C486" s="403"/>
      <c r="D486" s="1300"/>
      <c r="E486" s="1300"/>
      <c r="F486" s="1300"/>
      <c r="I486" s="491"/>
    </row>
    <row r="487" spans="1:9" x14ac:dyDescent="0.3">
      <c r="A487" s="403"/>
      <c r="C487" s="403"/>
      <c r="D487" s="1300"/>
      <c r="E487" s="1300"/>
      <c r="F487" s="1300"/>
      <c r="I487" s="491"/>
    </row>
    <row r="488" spans="1:9" x14ac:dyDescent="0.3">
      <c r="A488" s="403"/>
      <c r="B488" s="486" t="s">
        <v>2612</v>
      </c>
      <c r="C488" s="403"/>
      <c r="D488" s="1300" t="s">
        <v>1140</v>
      </c>
      <c r="E488" s="1300"/>
      <c r="F488" s="1300"/>
      <c r="I488" s="491"/>
    </row>
    <row r="489" spans="1:9" x14ac:dyDescent="0.3">
      <c r="A489" s="403"/>
      <c r="B489" s="403"/>
      <c r="C489" s="403"/>
      <c r="D489" s="1300"/>
      <c r="E489" s="1300"/>
      <c r="F489" s="1300"/>
      <c r="I489" s="491"/>
    </row>
    <row r="490" spans="1:9" x14ac:dyDescent="0.3">
      <c r="A490" s="403"/>
      <c r="B490" s="403"/>
      <c r="C490" s="403"/>
      <c r="D490" s="1300"/>
      <c r="E490" s="1300"/>
      <c r="F490" s="1300"/>
      <c r="I490" s="491"/>
    </row>
    <row r="491" spans="1:9" x14ac:dyDescent="0.3">
      <c r="A491" s="403"/>
      <c r="B491" s="403"/>
      <c r="C491" s="403"/>
      <c r="D491" s="1300"/>
      <c r="E491" s="1300"/>
      <c r="F491" s="1300"/>
      <c r="I491" s="491"/>
    </row>
    <row r="492" spans="1:9" x14ac:dyDescent="0.3">
      <c r="D492" s="1300"/>
      <c r="E492" s="1300"/>
      <c r="F492" s="1300"/>
      <c r="I492" s="491"/>
    </row>
    <row r="493" spans="1:9" x14ac:dyDescent="0.3">
      <c r="D493" s="447"/>
      <c r="E493" s="447"/>
      <c r="F493" s="447"/>
      <c r="I493" s="491"/>
    </row>
    <row r="494" spans="1:9" x14ac:dyDescent="0.3">
      <c r="B494" s="486" t="s">
        <v>2612</v>
      </c>
      <c r="D494" s="1298" t="s">
        <v>1141</v>
      </c>
      <c r="E494" s="1298"/>
      <c r="F494" s="1298"/>
      <c r="I494" s="491"/>
    </row>
    <row r="495" spans="1:9" x14ac:dyDescent="0.3">
      <c r="A495" s="447"/>
      <c r="B495" s="447"/>
      <c r="I495" s="491"/>
    </row>
    <row r="496" spans="1:9" x14ac:dyDescent="0.3">
      <c r="A496" s="1307" t="s">
        <v>1051</v>
      </c>
      <c r="B496" s="1307"/>
      <c r="C496" s="1307"/>
      <c r="D496" s="1307"/>
      <c r="E496" s="1307"/>
      <c r="F496" s="1307"/>
      <c r="G496" s="1307"/>
      <c r="H496" s="1029"/>
      <c r="I496" s="1155"/>
    </row>
    <row r="497" spans="1:9" x14ac:dyDescent="0.3">
      <c r="A497" s="447"/>
      <c r="B497" s="447"/>
      <c r="I497" s="491"/>
    </row>
    <row r="498" spans="1:9" x14ac:dyDescent="0.3">
      <c r="D498" s="1326" t="s">
        <v>884</v>
      </c>
      <c r="E498" s="1326"/>
      <c r="F498" s="1326"/>
      <c r="I498" s="491"/>
    </row>
    <row r="499" spans="1:9" x14ac:dyDescent="0.3">
      <c r="A499" s="485"/>
      <c r="B499" s="485"/>
      <c r="D499" s="1317" t="s">
        <v>1142</v>
      </c>
      <c r="E499" s="1317"/>
      <c r="F499" s="1317"/>
      <c r="I499" s="491"/>
    </row>
    <row r="500" spans="1:9" x14ac:dyDescent="0.3">
      <c r="A500" s="485"/>
      <c r="B500" s="485"/>
      <c r="D500" s="448"/>
      <c r="I500" s="491"/>
    </row>
    <row r="501" spans="1:9" x14ac:dyDescent="0.3">
      <c r="A501" s="485"/>
      <c r="B501" s="486" t="s">
        <v>2612</v>
      </c>
      <c r="D501" s="1271" t="s">
        <v>1143</v>
      </c>
      <c r="E501" s="1271"/>
      <c r="F501" s="1271"/>
      <c r="I501" s="491"/>
    </row>
    <row r="502" spans="1:9" x14ac:dyDescent="0.3">
      <c r="A502" s="485"/>
      <c r="B502" s="485"/>
      <c r="D502" s="1271"/>
      <c r="E502" s="1271"/>
      <c r="F502" s="1271"/>
      <c r="I502" s="491"/>
    </row>
    <row r="503" spans="1:9" x14ac:dyDescent="0.3">
      <c r="A503" s="485"/>
      <c r="B503" s="485"/>
      <c r="D503" s="447"/>
      <c r="I503" s="491"/>
    </row>
    <row r="504" spans="1:9" ht="12.75" customHeight="1" x14ac:dyDescent="0.3">
      <c r="B504" s="486" t="s">
        <v>2612</v>
      </c>
      <c r="D504" s="1312" t="s">
        <v>1274</v>
      </c>
      <c r="E504" s="1312"/>
      <c r="F504" s="1312"/>
      <c r="I504" s="491"/>
    </row>
    <row r="505" spans="1:9" x14ac:dyDescent="0.3">
      <c r="A505" s="485"/>
      <c r="D505" s="1312"/>
      <c r="E505" s="1312"/>
      <c r="F505" s="1312"/>
      <c r="I505" s="491"/>
    </row>
    <row r="506" spans="1:9" x14ac:dyDescent="0.3">
      <c r="A506" s="485"/>
      <c r="B506" s="485"/>
      <c r="D506" s="1312"/>
      <c r="E506" s="1312"/>
      <c r="F506" s="1312"/>
      <c r="I506" s="491"/>
    </row>
    <row r="507" spans="1:9" x14ac:dyDescent="0.3">
      <c r="A507" s="485"/>
      <c r="B507" s="485"/>
      <c r="D507" s="1312"/>
      <c r="E507" s="1312"/>
      <c r="F507" s="1312"/>
      <c r="I507" s="491"/>
    </row>
    <row r="508" spans="1:9" x14ac:dyDescent="0.3">
      <c r="A508" s="485"/>
      <c r="D508" s="521"/>
      <c r="E508" s="521"/>
      <c r="F508" s="521"/>
      <c r="I508" s="491"/>
    </row>
    <row r="509" spans="1:9" x14ac:dyDescent="0.3">
      <c r="A509" s="485"/>
      <c r="B509" s="486" t="s">
        <v>2612</v>
      </c>
      <c r="D509" s="1298" t="s">
        <v>1144</v>
      </c>
      <c r="E509" s="1298"/>
      <c r="F509" s="1298"/>
      <c r="I509" s="491"/>
    </row>
    <row r="510" spans="1:9" x14ac:dyDescent="0.3">
      <c r="A510" s="485"/>
      <c r="B510" s="485"/>
      <c r="D510" s="447"/>
      <c r="I510" s="491"/>
    </row>
    <row r="511" spans="1:9" x14ac:dyDescent="0.3">
      <c r="A511" s="485"/>
      <c r="B511" s="486" t="s">
        <v>2612</v>
      </c>
      <c r="D511" s="1300" t="s">
        <v>1145</v>
      </c>
      <c r="E511" s="1300"/>
      <c r="F511" s="1300"/>
      <c r="I511" s="491"/>
    </row>
    <row r="512" spans="1:9" x14ac:dyDescent="0.3">
      <c r="A512" s="485"/>
      <c r="D512" s="1300"/>
      <c r="E512" s="1300"/>
      <c r="F512" s="1300"/>
      <c r="I512" s="491"/>
    </row>
    <row r="513" spans="1:9" x14ac:dyDescent="0.3">
      <c r="A513" s="491"/>
      <c r="B513" s="491"/>
      <c r="D513" s="448"/>
      <c r="I513" s="491"/>
    </row>
    <row r="514" spans="1:9" x14ac:dyDescent="0.3">
      <c r="A514" s="491"/>
      <c r="B514" s="486" t="s">
        <v>2612</v>
      </c>
      <c r="D514" s="1298" t="s">
        <v>1146</v>
      </c>
      <c r="E514" s="1298"/>
      <c r="F514" s="1298"/>
      <c r="I514" s="491"/>
    </row>
    <row r="515" spans="1:9" x14ac:dyDescent="0.3">
      <c r="D515" s="447"/>
      <c r="E515" s="447"/>
      <c r="F515" s="447"/>
      <c r="I515" s="491"/>
    </row>
    <row r="516" spans="1:9" x14ac:dyDescent="0.3">
      <c r="B516" s="486" t="s">
        <v>2612</v>
      </c>
      <c r="D516" s="1300" t="s">
        <v>2284</v>
      </c>
      <c r="E516" s="1300"/>
      <c r="F516" s="1300"/>
      <c r="I516" s="491"/>
    </row>
    <row r="517" spans="1:9" x14ac:dyDescent="0.3">
      <c r="D517" s="1300"/>
      <c r="E517" s="1300"/>
      <c r="F517" s="1300"/>
      <c r="I517" s="491"/>
    </row>
    <row r="518" spans="1:9" x14ac:dyDescent="0.3">
      <c r="D518" s="1300"/>
      <c r="E518" s="1300"/>
      <c r="F518" s="1300"/>
      <c r="I518" s="491"/>
    </row>
    <row r="519" spans="1:9" x14ac:dyDescent="0.3">
      <c r="D519" s="447"/>
      <c r="E519" s="447"/>
      <c r="F519" s="447"/>
      <c r="I519" s="491"/>
    </row>
    <row r="520" spans="1:9" x14ac:dyDescent="0.3">
      <c r="A520" s="485"/>
      <c r="B520" s="485"/>
      <c r="D520" s="447"/>
      <c r="I520" s="491"/>
    </row>
    <row r="521" spans="1:9" x14ac:dyDescent="0.3">
      <c r="A521" s="1307" t="s">
        <v>1052</v>
      </c>
      <c r="B521" s="1307"/>
      <c r="C521" s="1307"/>
      <c r="D521" s="1307"/>
      <c r="E521" s="1307"/>
      <c r="F521" s="1307"/>
      <c r="G521" s="1307"/>
      <c r="H521" s="1029"/>
      <c r="I521" s="1155"/>
    </row>
    <row r="522" spans="1:9" ht="12" customHeight="1" x14ac:dyDescent="0.3">
      <c r="A522" s="485"/>
      <c r="B522" s="485"/>
      <c r="D522" s="447"/>
      <c r="I522" s="491"/>
    </row>
    <row r="523" spans="1:9" x14ac:dyDescent="0.3">
      <c r="C523" s="483"/>
      <c r="D523" s="1308" t="s">
        <v>794</v>
      </c>
      <c r="E523" s="1308"/>
      <c r="F523" s="1308"/>
      <c r="I523" s="491"/>
    </row>
    <row r="524" spans="1:9" x14ac:dyDescent="0.3">
      <c r="C524" s="483"/>
      <c r="D524" s="507" t="s">
        <v>1200</v>
      </c>
      <c r="E524" s="507"/>
      <c r="F524" s="507"/>
      <c r="I524" s="491"/>
    </row>
    <row r="525" spans="1:9" x14ac:dyDescent="0.3">
      <c r="C525" s="483"/>
      <c r="D525" s="507" t="s">
        <v>1201</v>
      </c>
      <c r="E525" s="507"/>
      <c r="F525" s="507"/>
      <c r="I525" s="491"/>
    </row>
    <row r="526" spans="1:9" x14ac:dyDescent="0.3">
      <c r="C526" s="483"/>
      <c r="D526" s="482"/>
      <c r="E526" s="482"/>
      <c r="F526" s="482"/>
      <c r="I526" s="491"/>
    </row>
    <row r="527" spans="1:9" ht="13.65" customHeight="1" x14ac:dyDescent="0.3">
      <c r="A527" s="484"/>
      <c r="B527" s="486" t="s">
        <v>2771</v>
      </c>
      <c r="C527" s="484"/>
      <c r="D527" s="1271" t="s">
        <v>2062</v>
      </c>
      <c r="E527" s="1271"/>
      <c r="F527" s="1271"/>
      <c r="I527" s="491"/>
    </row>
    <row r="528" spans="1:9" x14ac:dyDescent="0.3">
      <c r="A528" s="484"/>
      <c r="B528" s="484"/>
      <c r="C528" s="484"/>
      <c r="D528" s="1271"/>
      <c r="E528" s="1271"/>
      <c r="F528" s="1271"/>
      <c r="I528" s="491"/>
    </row>
    <row r="529" spans="1:9" x14ac:dyDescent="0.3">
      <c r="A529" s="484"/>
      <c r="B529" s="484"/>
      <c r="C529" s="484"/>
      <c r="D529" s="452"/>
      <c r="E529" s="452"/>
      <c r="F529" s="452"/>
      <c r="I529" s="481"/>
    </row>
    <row r="530" spans="1:9" ht="12.75" customHeight="1" x14ac:dyDescent="0.3">
      <c r="A530" s="484"/>
      <c r="B530" s="486" t="s">
        <v>2771</v>
      </c>
      <c r="D530" s="387" t="s">
        <v>1905</v>
      </c>
      <c r="E530" s="386"/>
      <c r="F530" s="386"/>
      <c r="I530" s="491"/>
    </row>
    <row r="531" spans="1:9" x14ac:dyDescent="0.3">
      <c r="A531" s="484"/>
      <c r="B531" s="484"/>
      <c r="C531" s="484"/>
      <c r="D531" s="386"/>
      <c r="E531" s="96" t="s">
        <v>1906</v>
      </c>
      <c r="I531" s="491"/>
    </row>
    <row r="532" spans="1:9" x14ac:dyDescent="0.3">
      <c r="A532" s="484"/>
      <c r="B532" s="484"/>
      <c r="D532" s="1279" t="s">
        <v>2063</v>
      </c>
      <c r="E532" s="1279"/>
      <c r="F532" s="1279"/>
      <c r="I532" s="491"/>
    </row>
    <row r="533" spans="1:9" x14ac:dyDescent="0.3">
      <c r="A533" s="484"/>
      <c r="B533" s="484"/>
      <c r="D533" s="1279"/>
      <c r="E533" s="1279"/>
      <c r="F533" s="1279"/>
      <c r="I533" s="491"/>
    </row>
    <row r="534" spans="1:9" x14ac:dyDescent="0.3">
      <c r="A534" s="484"/>
      <c r="B534" s="484"/>
      <c r="C534" s="484"/>
      <c r="D534" s="1279"/>
      <c r="E534" s="1279"/>
      <c r="F534" s="1279"/>
      <c r="I534" s="491"/>
    </row>
    <row r="535" spans="1:9" x14ac:dyDescent="0.3">
      <c r="A535" s="484"/>
      <c r="B535" s="484"/>
      <c r="C535" s="484"/>
      <c r="D535" s="499"/>
      <c r="F535" s="447"/>
      <c r="I535" s="491"/>
    </row>
    <row r="536" spans="1:9" ht="13.25" customHeight="1" x14ac:dyDescent="0.3">
      <c r="A536" s="484"/>
      <c r="B536" s="486" t="s">
        <v>2612</v>
      </c>
      <c r="C536" s="484"/>
      <c r="D536" s="1300" t="s">
        <v>2064</v>
      </c>
      <c r="E536" s="1300"/>
      <c r="F536" s="1300"/>
      <c r="I536" s="491"/>
    </row>
    <row r="537" spans="1:9" x14ac:dyDescent="0.3">
      <c r="A537" s="484"/>
      <c r="B537" s="484"/>
      <c r="C537" s="484"/>
      <c r="D537" s="1300"/>
      <c r="E537" s="1300"/>
      <c r="F537" s="1300"/>
      <c r="I537" s="491"/>
    </row>
    <row r="538" spans="1:9" ht="12" customHeight="1" x14ac:dyDescent="0.3">
      <c r="A538" s="447"/>
      <c r="B538" s="447"/>
      <c r="C538" s="488"/>
      <c r="D538" s="447"/>
      <c r="F538" s="449"/>
      <c r="I538" s="491"/>
    </row>
    <row r="539" spans="1:9" x14ac:dyDescent="0.3">
      <c r="A539" s="1307" t="s">
        <v>1053</v>
      </c>
      <c r="B539" s="1307"/>
      <c r="C539" s="1307"/>
      <c r="D539" s="1307"/>
      <c r="E539" s="1307"/>
      <c r="F539" s="1307"/>
      <c r="G539" s="1307"/>
      <c r="H539" s="1029"/>
      <c r="I539" s="1155"/>
    </row>
    <row r="540" spans="1:9" x14ac:dyDescent="0.3">
      <c r="A540" s="447"/>
      <c r="B540" s="447"/>
      <c r="C540" s="488"/>
      <c r="F540" s="449"/>
      <c r="I540" s="491"/>
    </row>
    <row r="541" spans="1:9" x14ac:dyDescent="0.3">
      <c r="B541" s="1302" t="s">
        <v>447</v>
      </c>
      <c r="C541" s="1302"/>
      <c r="D541" s="1302"/>
      <c r="E541" s="1302"/>
      <c r="F541" s="1302"/>
      <c r="I541" s="491"/>
    </row>
    <row r="542" spans="1:9" x14ac:dyDescent="0.3">
      <c r="A542" s="447"/>
      <c r="B542" s="447"/>
      <c r="C542" s="488"/>
      <c r="D542" s="447"/>
      <c r="F542" s="447"/>
      <c r="I542" s="491"/>
    </row>
    <row r="543" spans="1:9" x14ac:dyDescent="0.3">
      <c r="A543" s="1299" t="s">
        <v>1054</v>
      </c>
      <c r="B543" s="1299"/>
      <c r="C543" s="1299"/>
      <c r="D543" s="1299"/>
      <c r="E543" s="1299"/>
      <c r="F543" s="1299"/>
      <c r="G543" s="1299"/>
      <c r="H543" s="1029"/>
      <c r="I543" s="1155"/>
    </row>
    <row r="544" spans="1:9" x14ac:dyDescent="0.3">
      <c r="A544" s="447"/>
      <c r="B544" s="447"/>
      <c r="C544" s="488"/>
      <c r="D544" s="447"/>
      <c r="F544" s="447"/>
      <c r="I544" s="491"/>
    </row>
    <row r="545" spans="1:9" x14ac:dyDescent="0.3">
      <c r="C545" s="488"/>
      <c r="D545" s="1308" t="s">
        <v>684</v>
      </c>
      <c r="E545" s="1308"/>
      <c r="F545" s="1308"/>
      <c r="I545" s="491"/>
    </row>
    <row r="546" spans="1:9" x14ac:dyDescent="0.3">
      <c r="C546" s="488"/>
      <c r="D546" s="1298" t="s">
        <v>1082</v>
      </c>
      <c r="E546" s="1298"/>
      <c r="F546" s="1298"/>
      <c r="I546" s="491"/>
    </row>
    <row r="547" spans="1:9" x14ac:dyDescent="0.3">
      <c r="C547" s="488"/>
      <c r="D547" s="447"/>
      <c r="E547" s="447"/>
      <c r="F547" s="447"/>
      <c r="I547" s="491"/>
    </row>
    <row r="548" spans="1:9" ht="13.65" customHeight="1" x14ac:dyDescent="0.3">
      <c r="A548" s="485"/>
      <c r="B548" s="486" t="s">
        <v>2771</v>
      </c>
      <c r="C548" s="488"/>
      <c r="D548" s="1298" t="s">
        <v>885</v>
      </c>
      <c r="E548" s="1298"/>
      <c r="F548" s="1298"/>
      <c r="I548" s="491"/>
    </row>
    <row r="549" spans="1:9" ht="13.65" customHeight="1" x14ac:dyDescent="0.3">
      <c r="A549" s="488"/>
      <c r="B549" s="488"/>
      <c r="C549" s="488"/>
      <c r="D549" s="447"/>
      <c r="I549" s="491"/>
    </row>
    <row r="550" spans="1:9" x14ac:dyDescent="0.3">
      <c r="A550" s="485"/>
      <c r="B550" s="486" t="s">
        <v>2771</v>
      </c>
      <c r="C550" s="488"/>
      <c r="D550" s="1300" t="s">
        <v>1083</v>
      </c>
      <c r="E550" s="1300"/>
      <c r="F550" s="1300"/>
      <c r="I550" s="491"/>
    </row>
    <row r="551" spans="1:9" x14ac:dyDescent="0.3">
      <c r="A551" s="488"/>
      <c r="B551" s="488"/>
      <c r="C551" s="488"/>
      <c r="D551" s="1300"/>
      <c r="E551" s="1300"/>
      <c r="F551" s="1300"/>
      <c r="I551" s="491"/>
    </row>
    <row r="552" spans="1:9" x14ac:dyDescent="0.3">
      <c r="A552" s="488"/>
      <c r="B552" s="488"/>
      <c r="C552" s="488"/>
      <c r="D552" s="447"/>
      <c r="E552" s="447"/>
      <c r="F552" s="447"/>
      <c r="I552" s="491"/>
    </row>
    <row r="553" spans="1:9" x14ac:dyDescent="0.3">
      <c r="A553" s="485"/>
      <c r="B553" s="486" t="s">
        <v>2771</v>
      </c>
      <c r="C553" s="488"/>
      <c r="D553" s="1300" t="s">
        <v>1084</v>
      </c>
      <c r="E553" s="1300"/>
      <c r="F553" s="1300"/>
      <c r="I553" s="491"/>
    </row>
    <row r="554" spans="1:9" x14ac:dyDescent="0.3">
      <c r="A554" s="488"/>
      <c r="B554" s="488"/>
      <c r="C554" s="488"/>
      <c r="D554" s="1300"/>
      <c r="E554" s="1300"/>
      <c r="F554" s="1300"/>
      <c r="I554" s="491"/>
    </row>
    <row r="555" spans="1:9" x14ac:dyDescent="0.3">
      <c r="A555" s="488"/>
      <c r="B555" s="488"/>
      <c r="C555" s="488"/>
      <c r="D555" s="447"/>
      <c r="E555" s="447"/>
      <c r="F555" s="447"/>
      <c r="I555" s="491"/>
    </row>
    <row r="556" spans="1:9" x14ac:dyDescent="0.3">
      <c r="A556" s="485"/>
      <c r="B556" s="486" t="s">
        <v>2771</v>
      </c>
      <c r="C556" s="488"/>
      <c r="D556" s="1300" t="s">
        <v>1085</v>
      </c>
      <c r="E556" s="1300"/>
      <c r="F556" s="1300"/>
      <c r="I556" s="491"/>
    </row>
    <row r="557" spans="1:9" x14ac:dyDescent="0.3">
      <c r="A557" s="488"/>
      <c r="B557" s="488"/>
      <c r="C557" s="488"/>
      <c r="D557" s="1300"/>
      <c r="E557" s="1300"/>
      <c r="F557" s="1300"/>
      <c r="I557" s="491"/>
    </row>
    <row r="558" spans="1:9" x14ac:dyDescent="0.3">
      <c r="A558" s="488"/>
      <c r="B558" s="488"/>
      <c r="C558" s="488"/>
      <c r="D558" s="447"/>
      <c r="E558" s="447"/>
      <c r="F558" s="447"/>
      <c r="I558" s="491"/>
    </row>
    <row r="559" spans="1:9" x14ac:dyDescent="0.3">
      <c r="A559" s="485"/>
      <c r="B559" s="486" t="s">
        <v>2771</v>
      </c>
      <c r="C559" s="488"/>
      <c r="D559" s="1300" t="s">
        <v>1086</v>
      </c>
      <c r="E559" s="1300"/>
      <c r="F559" s="1300"/>
      <c r="I559" s="491"/>
    </row>
    <row r="560" spans="1:9" x14ac:dyDescent="0.3">
      <c r="A560" s="488"/>
      <c r="B560" s="488"/>
      <c r="C560" s="488"/>
      <c r="D560" s="1300"/>
      <c r="E560" s="1300"/>
      <c r="F560" s="1300"/>
      <c r="I560" s="491"/>
    </row>
    <row r="561" spans="1:9" x14ac:dyDescent="0.3">
      <c r="A561" s="488"/>
      <c r="B561" s="488"/>
      <c r="C561" s="488"/>
      <c r="D561" s="1300"/>
      <c r="E561" s="1300"/>
      <c r="F561" s="1300"/>
      <c r="I561" s="491"/>
    </row>
    <row r="562" spans="1:9" x14ac:dyDescent="0.3">
      <c r="A562" s="488"/>
      <c r="B562" s="488"/>
      <c r="C562" s="488"/>
      <c r="D562" s="447"/>
      <c r="E562" s="447"/>
      <c r="F562" s="447"/>
      <c r="I562" s="491"/>
    </row>
    <row r="563" spans="1:9" x14ac:dyDescent="0.3">
      <c r="A563" s="485"/>
      <c r="B563" s="486" t="s">
        <v>2612</v>
      </c>
      <c r="C563" s="488"/>
      <c r="D563" s="1300" t="s">
        <v>2251</v>
      </c>
      <c r="E563" s="1300"/>
      <c r="F563" s="1300"/>
      <c r="I563" s="491"/>
    </row>
    <row r="564" spans="1:9" x14ac:dyDescent="0.3">
      <c r="A564" s="488"/>
      <c r="B564" s="488"/>
      <c r="C564" s="488"/>
      <c r="D564" s="1300"/>
      <c r="E564" s="1300"/>
      <c r="F564" s="1300"/>
      <c r="I564" s="491"/>
    </row>
    <row r="565" spans="1:9" x14ac:dyDescent="0.3">
      <c r="A565" s="488"/>
      <c r="B565" s="488"/>
      <c r="C565" s="488"/>
      <c r="D565" s="447"/>
      <c r="E565" s="447"/>
      <c r="F565" s="447"/>
      <c r="I565" s="491"/>
    </row>
    <row r="566" spans="1:9" x14ac:dyDescent="0.3">
      <c r="A566" s="485"/>
      <c r="B566" s="486" t="s">
        <v>2612</v>
      </c>
      <c r="C566" s="488"/>
      <c r="D566" s="1300" t="s">
        <v>1087</v>
      </c>
      <c r="E566" s="1300"/>
      <c r="F566" s="1300"/>
      <c r="I566" s="491"/>
    </row>
    <row r="567" spans="1:9" x14ac:dyDescent="0.3">
      <c r="A567" s="488"/>
      <c r="B567" s="488"/>
      <c r="C567" s="488"/>
      <c r="D567" s="1300"/>
      <c r="E567" s="1300"/>
      <c r="F567" s="1300"/>
      <c r="I567" s="491"/>
    </row>
    <row r="568" spans="1:9" x14ac:dyDescent="0.3">
      <c r="A568" s="488"/>
      <c r="B568" s="488"/>
      <c r="C568" s="488"/>
      <c r="D568" s="447"/>
      <c r="E568" s="447"/>
      <c r="F568" s="447"/>
      <c r="I568" s="491"/>
    </row>
    <row r="569" spans="1:9" x14ac:dyDescent="0.3">
      <c r="A569" s="485"/>
      <c r="B569" s="486" t="s">
        <v>2771</v>
      </c>
      <c r="C569" s="488"/>
      <c r="D569" s="1298" t="s">
        <v>1088</v>
      </c>
      <c r="E569" s="1298"/>
      <c r="F569" s="1298"/>
      <c r="I569" s="491"/>
    </row>
    <row r="570" spans="1:9" x14ac:dyDescent="0.3">
      <c r="A570" s="491"/>
      <c r="B570" s="491"/>
      <c r="C570" s="488"/>
      <c r="D570" s="1298" t="s">
        <v>1908</v>
      </c>
      <c r="E570" s="1298"/>
      <c r="F570" s="1298"/>
      <c r="I570" s="491"/>
    </row>
    <row r="571" spans="1:9" x14ac:dyDescent="0.3">
      <c r="A571" s="491"/>
      <c r="B571" s="491"/>
      <c r="C571" s="488"/>
      <c r="E571" s="96" t="s">
        <v>1907</v>
      </c>
      <c r="F571" s="405"/>
      <c r="I571" s="491"/>
    </row>
    <row r="572" spans="1:9" x14ac:dyDescent="0.3">
      <c r="A572" s="485"/>
      <c r="B572" s="485"/>
      <c r="C572" s="488"/>
      <c r="E572" s="447"/>
      <c r="F572" s="447"/>
      <c r="I572" s="491"/>
    </row>
    <row r="573" spans="1:9" x14ac:dyDescent="0.3">
      <c r="A573" s="485"/>
      <c r="B573" s="486" t="s">
        <v>2771</v>
      </c>
      <c r="C573" s="488"/>
      <c r="D573" s="1298" t="s">
        <v>1089</v>
      </c>
      <c r="E573" s="1298"/>
      <c r="F573" s="1298"/>
      <c r="I573" s="491"/>
    </row>
    <row r="574" spans="1:9" x14ac:dyDescent="0.3">
      <c r="C574" s="488"/>
      <c r="D574" s="1300" t="s">
        <v>1090</v>
      </c>
      <c r="E574" s="1300"/>
      <c r="F574" s="1300"/>
      <c r="I574" s="491"/>
    </row>
    <row r="575" spans="1:9" x14ac:dyDescent="0.3">
      <c r="A575" s="488"/>
      <c r="B575" s="488"/>
      <c r="C575" s="488"/>
      <c r="D575" s="1300"/>
      <c r="E575" s="1300"/>
      <c r="F575" s="1300"/>
      <c r="I575" s="491"/>
    </row>
    <row r="576" spans="1:9" x14ac:dyDescent="0.3">
      <c r="A576" s="488"/>
      <c r="B576" s="488"/>
      <c r="C576" s="488"/>
      <c r="D576" s="1300"/>
      <c r="E576" s="1300"/>
      <c r="F576" s="1300"/>
      <c r="I576" s="491"/>
    </row>
    <row r="577" spans="1:9" x14ac:dyDescent="0.3">
      <c r="A577" s="488"/>
      <c r="B577" s="488"/>
      <c r="C577" s="488"/>
      <c r="D577" s="447"/>
      <c r="E577" s="447"/>
      <c r="F577" s="447"/>
      <c r="I577" s="491"/>
    </row>
    <row r="578" spans="1:9" x14ac:dyDescent="0.3">
      <c r="A578" s="485"/>
      <c r="B578" s="486" t="s">
        <v>2771</v>
      </c>
      <c r="C578" s="488"/>
      <c r="D578" s="1300" t="s">
        <v>2065</v>
      </c>
      <c r="E578" s="1300"/>
      <c r="F578" s="1300"/>
      <c r="I578" s="491"/>
    </row>
    <row r="579" spans="1:9" x14ac:dyDescent="0.3">
      <c r="A579" s="485"/>
      <c r="B579" s="485"/>
      <c r="C579" s="488"/>
      <c r="D579" s="1300"/>
      <c r="E579" s="1300"/>
      <c r="F579" s="1300"/>
      <c r="I579" s="491"/>
    </row>
    <row r="580" spans="1:9" x14ac:dyDescent="0.3">
      <c r="A580" s="485"/>
      <c r="B580" s="485"/>
      <c r="C580" s="488"/>
      <c r="D580" s="1300"/>
      <c r="E580" s="1300"/>
      <c r="F580" s="1300"/>
      <c r="I580" s="491"/>
    </row>
    <row r="581" spans="1:9" x14ac:dyDescent="0.3">
      <c r="A581" s="485"/>
      <c r="B581" s="485"/>
      <c r="C581" s="488"/>
      <c r="D581" s="1300"/>
      <c r="E581" s="1300"/>
      <c r="F581" s="1300"/>
      <c r="I581" s="491"/>
    </row>
    <row r="582" spans="1:9" x14ac:dyDescent="0.3">
      <c r="A582" s="485"/>
      <c r="B582" s="485"/>
      <c r="C582" s="488"/>
      <c r="D582" s="447"/>
      <c r="E582" s="447"/>
      <c r="F582" s="447"/>
      <c r="I582" s="491"/>
    </row>
    <row r="583" spans="1:9" x14ac:dyDescent="0.3">
      <c r="A583" s="1307" t="s">
        <v>1055</v>
      </c>
      <c r="B583" s="1307"/>
      <c r="C583" s="1307"/>
      <c r="D583" s="1307"/>
      <c r="E583" s="1307"/>
      <c r="F583" s="1307"/>
      <c r="G583" s="1307"/>
      <c r="H583" s="1029"/>
      <c r="I583" s="1155"/>
    </row>
    <row r="584" spans="1:9" x14ac:dyDescent="0.3">
      <c r="A584" s="488"/>
      <c r="B584" s="488"/>
      <c r="C584" s="488"/>
      <c r="E584" s="447"/>
      <c r="F584" s="447"/>
      <c r="I584" s="491"/>
    </row>
    <row r="585" spans="1:9" ht="12.75" customHeight="1" x14ac:dyDescent="0.3">
      <c r="C585" s="483"/>
      <c r="D585" s="1316" t="s">
        <v>210</v>
      </c>
      <c r="E585" s="1316"/>
      <c r="F585" s="1316"/>
      <c r="I585" s="491"/>
    </row>
    <row r="586" spans="1:9" x14ac:dyDescent="0.3">
      <c r="A586" s="484"/>
      <c r="B586" s="484"/>
      <c r="C586" s="484"/>
      <c r="D586" s="1312" t="s">
        <v>1068</v>
      </c>
      <c r="E586" s="1312"/>
      <c r="F586" s="1312"/>
      <c r="I586" s="491"/>
    </row>
    <row r="587" spans="1:9" x14ac:dyDescent="0.3">
      <c r="A587" s="403"/>
      <c r="B587" s="403"/>
      <c r="C587" s="484"/>
      <c r="D587" s="500"/>
      <c r="I587" s="491"/>
    </row>
    <row r="588" spans="1:9" x14ac:dyDescent="0.3">
      <c r="A588" s="484"/>
      <c r="B588" s="486" t="s">
        <v>2771</v>
      </c>
      <c r="D588" s="1312" t="s">
        <v>889</v>
      </c>
      <c r="E588" s="1312"/>
      <c r="F588" s="1312"/>
      <c r="I588" s="491"/>
    </row>
    <row r="589" spans="1:9" x14ac:dyDescent="0.3">
      <c r="A589" s="491"/>
      <c r="B589" s="491"/>
      <c r="D589" s="477"/>
      <c r="I589" s="491"/>
    </row>
    <row r="590" spans="1:9" x14ac:dyDescent="0.3">
      <c r="A590" s="491"/>
      <c r="B590" s="486" t="s">
        <v>2771</v>
      </c>
      <c r="D590" s="1312" t="s">
        <v>2066</v>
      </c>
      <c r="E590" s="1312"/>
      <c r="F590" s="1312"/>
      <c r="I590" s="491"/>
    </row>
    <row r="591" spans="1:9" x14ac:dyDescent="0.3">
      <c r="A591" s="491"/>
      <c r="B591" s="491"/>
      <c r="D591" s="1312"/>
      <c r="E591" s="1312"/>
      <c r="F591" s="1312"/>
      <c r="I591" s="491"/>
    </row>
    <row r="592" spans="1:9" x14ac:dyDescent="0.3">
      <c r="A592" s="491"/>
      <c r="B592" s="491"/>
      <c r="D592" s="1312"/>
      <c r="E592" s="1312"/>
      <c r="F592" s="1312"/>
      <c r="I592" s="491"/>
    </row>
    <row r="593" spans="1:9" x14ac:dyDescent="0.3">
      <c r="A593" s="491"/>
      <c r="B593" s="491"/>
      <c r="D593" s="1312"/>
      <c r="E593" s="1312"/>
      <c r="F593" s="1312"/>
      <c r="I593" s="491"/>
    </row>
    <row r="594" spans="1:9" x14ac:dyDescent="0.3">
      <c r="A594" s="491"/>
      <c r="B594" s="486" t="s">
        <v>2612</v>
      </c>
      <c r="D594" s="1312" t="s">
        <v>1069</v>
      </c>
      <c r="E594" s="1312"/>
      <c r="F594" s="1312"/>
      <c r="I594" s="491"/>
    </row>
    <row r="595" spans="1:9" x14ac:dyDescent="0.3">
      <c r="A595" s="491"/>
      <c r="B595" s="491"/>
      <c r="D595" s="1312"/>
      <c r="E595" s="1312"/>
      <c r="F595" s="1312"/>
      <c r="I595" s="491"/>
    </row>
    <row r="596" spans="1:9" x14ac:dyDescent="0.3">
      <c r="A596" s="491"/>
      <c r="B596" s="491"/>
      <c r="D596" s="1312"/>
      <c r="E596" s="1312"/>
      <c r="F596" s="1312"/>
      <c r="I596" s="491"/>
    </row>
    <row r="597" spans="1:9" x14ac:dyDescent="0.3">
      <c r="A597" s="491"/>
      <c r="B597" s="491"/>
      <c r="D597" s="1312"/>
      <c r="E597" s="1312"/>
      <c r="F597" s="1312"/>
      <c r="I597" s="491"/>
    </row>
    <row r="598" spans="1:9" x14ac:dyDescent="0.3">
      <c r="A598" s="491"/>
      <c r="B598" s="491"/>
      <c r="D598" s="441"/>
      <c r="E598" s="441"/>
      <c r="F598" s="441"/>
      <c r="I598" s="491"/>
    </row>
    <row r="599" spans="1:9" x14ac:dyDescent="0.3">
      <c r="A599" s="491"/>
      <c r="B599" s="486" t="s">
        <v>2771</v>
      </c>
      <c r="D599" s="1312" t="s">
        <v>2067</v>
      </c>
      <c r="E599" s="1312"/>
      <c r="F599" s="1312"/>
      <c r="I599" s="491"/>
    </row>
    <row r="600" spans="1:9" x14ac:dyDescent="0.3">
      <c r="A600" s="491"/>
      <c r="B600" s="491"/>
      <c r="D600" s="1312"/>
      <c r="E600" s="1312"/>
      <c r="F600" s="1312"/>
      <c r="I600" s="491"/>
    </row>
    <row r="601" spans="1:9" x14ac:dyDescent="0.3">
      <c r="A601" s="491"/>
      <c r="B601" s="491"/>
      <c r="D601" s="500"/>
      <c r="I601" s="491"/>
    </row>
    <row r="602" spans="1:9" x14ac:dyDescent="0.3">
      <c r="A602" s="491"/>
      <c r="B602" s="486" t="s">
        <v>2612</v>
      </c>
      <c r="D602" s="1312" t="s">
        <v>1070</v>
      </c>
      <c r="E602" s="1312"/>
      <c r="F602" s="1312"/>
      <c r="I602" s="491"/>
    </row>
    <row r="603" spans="1:9" x14ac:dyDescent="0.3">
      <c r="A603" s="491"/>
      <c r="B603" s="491"/>
      <c r="D603" s="1312"/>
      <c r="E603" s="1312"/>
      <c r="F603" s="1312"/>
      <c r="I603" s="491"/>
    </row>
    <row r="604" spans="1:9" x14ac:dyDescent="0.3">
      <c r="A604" s="485"/>
      <c r="B604" s="485"/>
      <c r="D604" s="500"/>
      <c r="I604" s="491"/>
    </row>
    <row r="605" spans="1:9" x14ac:dyDescent="0.3">
      <c r="A605" s="1307" t="s">
        <v>1056</v>
      </c>
      <c r="B605" s="1307"/>
      <c r="C605" s="1307"/>
      <c r="D605" s="1307"/>
      <c r="E605" s="1307"/>
      <c r="F605" s="1307"/>
      <c r="G605" s="1307"/>
      <c r="H605" s="1029"/>
      <c r="I605" s="1155"/>
    </row>
    <row r="606" spans="1:9" x14ac:dyDescent="0.3">
      <c r="I606" s="491"/>
    </row>
    <row r="607" spans="1:9" x14ac:dyDescent="0.3">
      <c r="D607" s="1308" t="s">
        <v>1108</v>
      </c>
      <c r="E607" s="1308"/>
      <c r="F607" s="1308"/>
      <c r="I607" s="491"/>
    </row>
    <row r="608" spans="1:9" x14ac:dyDescent="0.3">
      <c r="D608" s="1280" t="s">
        <v>1109</v>
      </c>
      <c r="E608" s="1280"/>
      <c r="F608" s="1280"/>
      <c r="I608" s="491"/>
    </row>
    <row r="609" spans="1:9" x14ac:dyDescent="0.3">
      <c r="D609" s="445"/>
      <c r="I609" s="491"/>
    </row>
    <row r="610" spans="1:9" ht="14.25" customHeight="1" x14ac:dyDescent="0.3">
      <c r="A610" s="485"/>
      <c r="B610" s="486" t="s">
        <v>2771</v>
      </c>
      <c r="D610" s="1313" t="s">
        <v>1909</v>
      </c>
      <c r="E610" s="1313"/>
      <c r="F610" s="1313"/>
      <c r="I610" s="491"/>
    </row>
    <row r="611" spans="1:9" x14ac:dyDescent="0.3">
      <c r="D611" s="1313"/>
      <c r="E611" s="1313"/>
      <c r="F611" s="1313"/>
      <c r="I611" s="491"/>
    </row>
    <row r="612" spans="1:9" x14ac:dyDescent="0.3">
      <c r="D612" s="386"/>
      <c r="E612" s="1037" t="s">
        <v>1910</v>
      </c>
      <c r="F612" s="386"/>
      <c r="I612" s="491"/>
    </row>
    <row r="613" spans="1:9" x14ac:dyDescent="0.3">
      <c r="I613" s="491"/>
    </row>
    <row r="614" spans="1:9" x14ac:dyDescent="0.3">
      <c r="A614" s="1307" t="s">
        <v>1057</v>
      </c>
      <c r="B614" s="1307"/>
      <c r="C614" s="1307"/>
      <c r="D614" s="1307"/>
      <c r="E614" s="1307"/>
      <c r="F614" s="1307"/>
      <c r="G614" s="1307"/>
      <c r="H614" s="1029"/>
      <c r="I614" s="1155"/>
    </row>
    <row r="615" spans="1:9" x14ac:dyDescent="0.3">
      <c r="A615" s="447"/>
      <c r="B615" s="447"/>
      <c r="I615" s="491"/>
    </row>
    <row r="616" spans="1:9" x14ac:dyDescent="0.3">
      <c r="A616" s="483"/>
      <c r="B616" s="483"/>
      <c r="C616" s="483"/>
      <c r="D616" s="1297" t="s">
        <v>1110</v>
      </c>
      <c r="E616" s="1297"/>
      <c r="F616" s="1297"/>
      <c r="I616" s="491"/>
    </row>
    <row r="617" spans="1:9" x14ac:dyDescent="0.3">
      <c r="A617" s="483"/>
      <c r="B617" s="483"/>
      <c r="C617" s="483"/>
      <c r="D617" s="1297"/>
      <c r="E617" s="1297"/>
      <c r="F617" s="1297"/>
      <c r="I617" s="491"/>
    </row>
    <row r="618" spans="1:9" x14ac:dyDescent="0.3">
      <c r="C618" s="484"/>
      <c r="D618" s="1280" t="s">
        <v>1111</v>
      </c>
      <c r="E618" s="1280"/>
      <c r="F618" s="1280"/>
      <c r="I618" s="491"/>
    </row>
    <row r="619" spans="1:9" x14ac:dyDescent="0.3">
      <c r="C619" s="484"/>
      <c r="D619" s="445"/>
      <c r="E619" s="445"/>
      <c r="F619" s="445"/>
      <c r="I619" s="491"/>
    </row>
    <row r="620" spans="1:9" ht="12.75" customHeight="1" x14ac:dyDescent="0.3">
      <c r="A620" s="491"/>
      <c r="B620" s="486" t="s">
        <v>2771</v>
      </c>
      <c r="D620" s="1306" t="s">
        <v>1112</v>
      </c>
      <c r="E620" s="1306"/>
      <c r="F620" s="1306"/>
      <c r="I620" s="491"/>
    </row>
    <row r="621" spans="1:9" x14ac:dyDescent="0.3">
      <c r="D621" s="1306"/>
      <c r="E621" s="1306"/>
      <c r="F621" s="1306"/>
      <c r="I621" s="491"/>
    </row>
    <row r="622" spans="1:9" x14ac:dyDescent="0.3">
      <c r="I622" s="491"/>
    </row>
    <row r="623" spans="1:9" x14ac:dyDescent="0.3">
      <c r="B623" s="486" t="s">
        <v>2771</v>
      </c>
      <c r="D623" s="1306" t="s">
        <v>1113</v>
      </c>
      <c r="E623" s="1306"/>
      <c r="F623" s="1306"/>
      <c r="I623" s="491"/>
    </row>
    <row r="624" spans="1:9" x14ac:dyDescent="0.3">
      <c r="C624" s="501"/>
      <c r="D624" s="1306"/>
      <c r="E624" s="1306"/>
      <c r="F624" s="1306"/>
      <c r="I624" s="491"/>
    </row>
    <row r="625" spans="1:9" x14ac:dyDescent="0.3">
      <c r="C625" s="501"/>
      <c r="I625" s="491"/>
    </row>
    <row r="626" spans="1:9" x14ac:dyDescent="0.3">
      <c r="B626" s="486" t="s">
        <v>2612</v>
      </c>
      <c r="C626" s="501"/>
      <c r="D626" s="1306" t="s">
        <v>1114</v>
      </c>
      <c r="E626" s="1306"/>
      <c r="F626" s="1306"/>
      <c r="I626" s="491"/>
    </row>
    <row r="627" spans="1:9" x14ac:dyDescent="0.3">
      <c r="C627" s="501"/>
      <c r="D627" s="1306"/>
      <c r="E627" s="1306"/>
      <c r="F627" s="1306"/>
      <c r="I627" s="501"/>
    </row>
    <row r="628" spans="1:9" x14ac:dyDescent="0.3">
      <c r="C628" s="501"/>
      <c r="I628" s="491"/>
    </row>
    <row r="629" spans="1:9" x14ac:dyDescent="0.3">
      <c r="A629" s="1307" t="s">
        <v>1058</v>
      </c>
      <c r="B629" s="1307"/>
      <c r="C629" s="1307"/>
      <c r="D629" s="1307"/>
      <c r="E629" s="1307"/>
      <c r="F629" s="1307"/>
      <c r="G629" s="1307"/>
      <c r="H629" s="1029"/>
      <c r="I629" s="1155"/>
    </row>
    <row r="630" spans="1:9" x14ac:dyDescent="0.3">
      <c r="A630" s="483"/>
      <c r="B630" s="483"/>
      <c r="C630" s="483"/>
      <c r="I630" s="491"/>
    </row>
    <row r="631" spans="1:9" x14ac:dyDescent="0.3">
      <c r="C631" s="491"/>
      <c r="D631" s="1308" t="s">
        <v>1115</v>
      </c>
      <c r="E631" s="1308"/>
      <c r="F631" s="1308"/>
      <c r="I631" s="491"/>
    </row>
    <row r="632" spans="1:9" x14ac:dyDescent="0.3">
      <c r="A632" s="491"/>
      <c r="B632" s="491"/>
      <c r="D632" s="405"/>
      <c r="I632" s="491"/>
    </row>
    <row r="633" spans="1:9" ht="14.25" customHeight="1" x14ac:dyDescent="0.3">
      <c r="A633" s="485"/>
      <c r="B633" s="486" t="s">
        <v>2771</v>
      </c>
      <c r="D633" s="1313" t="s">
        <v>2068</v>
      </c>
      <c r="E633" s="1313"/>
      <c r="F633" s="1313"/>
      <c r="I633" s="491"/>
    </row>
    <row r="634" spans="1:9" x14ac:dyDescent="0.3">
      <c r="D634" s="1313"/>
      <c r="E634" s="1313"/>
      <c r="F634" s="1313"/>
      <c r="I634" s="491"/>
    </row>
    <row r="635" spans="1:9" x14ac:dyDescent="0.3">
      <c r="D635" s="386"/>
      <c r="E635" s="1037" t="s">
        <v>1912</v>
      </c>
      <c r="F635" s="386"/>
      <c r="I635" s="491"/>
    </row>
    <row r="636" spans="1:9" x14ac:dyDescent="0.3">
      <c r="D636" s="1300" t="s">
        <v>1911</v>
      </c>
      <c r="E636" s="1300"/>
      <c r="F636" s="1300"/>
      <c r="I636" s="491"/>
    </row>
    <row r="637" spans="1:9" x14ac:dyDescent="0.3">
      <c r="D637" s="1300"/>
      <c r="E637" s="1300"/>
      <c r="F637" s="1300"/>
      <c r="I637" s="491"/>
    </row>
    <row r="638" spans="1:9" x14ac:dyDescent="0.3">
      <c r="D638" s="1300"/>
      <c r="E638" s="1300"/>
      <c r="F638" s="1300"/>
      <c r="I638" s="491"/>
    </row>
    <row r="639" spans="1:9" x14ac:dyDescent="0.3">
      <c r="D639" s="446"/>
      <c r="E639" s="446"/>
      <c r="F639" s="446"/>
      <c r="I639" s="491"/>
    </row>
    <row r="640" spans="1:9" x14ac:dyDescent="0.3">
      <c r="A640" s="485"/>
      <c r="B640" s="486" t="s">
        <v>2612</v>
      </c>
      <c r="D640" s="1300" t="s">
        <v>1116</v>
      </c>
      <c r="E640" s="1300"/>
      <c r="F640" s="1300"/>
      <c r="I640" s="491"/>
    </row>
    <row r="641" spans="1:9" x14ac:dyDescent="0.3">
      <c r="A641" s="488"/>
      <c r="B641" s="488"/>
      <c r="C641" s="488"/>
      <c r="D641" s="1300"/>
      <c r="E641" s="1300"/>
      <c r="F641" s="1300"/>
      <c r="I641" s="491"/>
    </row>
    <row r="642" spans="1:9" x14ac:dyDescent="0.3">
      <c r="A642" s="488"/>
      <c r="B642" s="488"/>
      <c r="C642" s="488"/>
      <c r="D642" s="447"/>
      <c r="E642" s="447"/>
      <c r="F642" s="447"/>
      <c r="I642" s="491"/>
    </row>
    <row r="643" spans="1:9" x14ac:dyDescent="0.3">
      <c r="A643" s="485"/>
      <c r="B643" s="486" t="s">
        <v>2612</v>
      </c>
      <c r="C643" s="488"/>
      <c r="D643" s="1300" t="s">
        <v>1226</v>
      </c>
      <c r="E643" s="1300"/>
      <c r="F643" s="1300"/>
      <c r="I643" s="491"/>
    </row>
    <row r="644" spans="1:9" x14ac:dyDescent="0.3">
      <c r="A644" s="485"/>
      <c r="B644" s="485"/>
      <c r="C644" s="488"/>
      <c r="D644" s="1300"/>
      <c r="E644" s="1300"/>
      <c r="F644" s="1300"/>
      <c r="I644" s="491"/>
    </row>
    <row r="645" spans="1:9" x14ac:dyDescent="0.3">
      <c r="A645" s="485"/>
      <c r="B645" s="485"/>
      <c r="C645" s="488"/>
      <c r="D645" s="1300"/>
      <c r="E645" s="1300"/>
      <c r="F645" s="1300"/>
      <c r="I645" s="491"/>
    </row>
    <row r="646" spans="1:9" x14ac:dyDescent="0.3">
      <c r="A646" s="488"/>
      <c r="B646" s="486" t="s">
        <v>2612</v>
      </c>
      <c r="C646" s="488"/>
      <c r="D646" s="1298" t="s">
        <v>1117</v>
      </c>
      <c r="E646" s="1298"/>
      <c r="F646" s="1298"/>
      <c r="I646" s="491"/>
    </row>
    <row r="647" spans="1:9" x14ac:dyDescent="0.3">
      <c r="A647" s="488"/>
      <c r="B647" s="488"/>
      <c r="C647" s="488"/>
      <c r="D647" s="447"/>
      <c r="E647" s="447"/>
      <c r="F647" s="447"/>
      <c r="I647" s="491"/>
    </row>
    <row r="648" spans="1:9" x14ac:dyDescent="0.3">
      <c r="A648" s="1307" t="s">
        <v>1059</v>
      </c>
      <c r="B648" s="1307"/>
      <c r="C648" s="1307"/>
      <c r="D648" s="1307"/>
      <c r="E648" s="1307"/>
      <c r="F648" s="1307"/>
      <c r="G648" s="1307"/>
      <c r="H648" s="1029"/>
      <c r="I648" s="1155"/>
    </row>
    <row r="649" spans="1:9" x14ac:dyDescent="0.3">
      <c r="A649" s="447"/>
      <c r="B649" s="447"/>
      <c r="C649" s="488"/>
      <c r="D649" s="447"/>
      <c r="E649" s="447"/>
      <c r="F649" s="447"/>
      <c r="I649" s="491"/>
    </row>
    <row r="650" spans="1:9" x14ac:dyDescent="0.3">
      <c r="C650" s="483"/>
      <c r="D650" s="1308" t="s">
        <v>1147</v>
      </c>
      <c r="E650" s="1308"/>
      <c r="F650" s="1308"/>
      <c r="I650" s="491"/>
    </row>
    <row r="651" spans="1:9" x14ac:dyDescent="0.3">
      <c r="A651" s="484"/>
      <c r="B651" s="484"/>
      <c r="C651" s="484"/>
      <c r="D651" s="1298" t="s">
        <v>1148</v>
      </c>
      <c r="E651" s="1298"/>
      <c r="F651" s="1298"/>
      <c r="I651" s="491"/>
    </row>
    <row r="652" spans="1:9" x14ac:dyDescent="0.3">
      <c r="A652" s="484"/>
      <c r="B652" s="484"/>
      <c r="C652" s="484"/>
      <c r="D652" s="447"/>
      <c r="E652" s="447"/>
      <c r="F652" s="447"/>
      <c r="I652" s="491"/>
    </row>
    <row r="653" spans="1:9" ht="12.75" customHeight="1" x14ac:dyDescent="0.3">
      <c r="B653" s="486" t="s">
        <v>2771</v>
      </c>
      <c r="C653" s="488"/>
      <c r="D653" s="1300" t="s">
        <v>1282</v>
      </c>
      <c r="E653" s="1300"/>
      <c r="F653" s="1300"/>
      <c r="I653" s="491"/>
    </row>
    <row r="654" spans="1:9" x14ac:dyDescent="0.3">
      <c r="D654" s="1300"/>
      <c r="E654" s="1300"/>
      <c r="F654" s="1300"/>
      <c r="I654" s="491"/>
    </row>
    <row r="655" spans="1:9" x14ac:dyDescent="0.3">
      <c r="D655" s="1300"/>
      <c r="E655" s="1300"/>
      <c r="F655" s="1300"/>
      <c r="I655" s="491"/>
    </row>
    <row r="656" spans="1:9" x14ac:dyDescent="0.3">
      <c r="D656" s="1300"/>
      <c r="E656" s="1300"/>
      <c r="F656" s="1300"/>
      <c r="I656" s="491"/>
    </row>
    <row r="657" spans="1:9" ht="14.4" customHeight="1" x14ac:dyDescent="0.3">
      <c r="A657" s="485"/>
      <c r="B657" s="485"/>
      <c r="C657" s="488"/>
      <c r="D657" s="386"/>
      <c r="E657" s="386"/>
      <c r="F657" s="386"/>
      <c r="I657" s="491"/>
    </row>
    <row r="658" spans="1:9" ht="12.75" customHeight="1" x14ac:dyDescent="0.3">
      <c r="A658" s="484"/>
      <c r="B658" s="486" t="s">
        <v>2771</v>
      </c>
      <c r="C658" s="488"/>
      <c r="D658" s="1300" t="s">
        <v>1284</v>
      </c>
      <c r="E658" s="1300"/>
      <c r="F658" s="1300"/>
      <c r="I658" s="491"/>
    </row>
    <row r="659" spans="1:9" x14ac:dyDescent="0.3">
      <c r="A659" s="484"/>
      <c r="B659" s="485"/>
      <c r="C659" s="488"/>
      <c r="D659" s="1300"/>
      <c r="E659" s="1300"/>
      <c r="F659" s="1300"/>
      <c r="I659" s="491"/>
    </row>
    <row r="660" spans="1:9" x14ac:dyDescent="0.3">
      <c r="A660" s="484"/>
      <c r="B660" s="485"/>
      <c r="C660" s="488"/>
      <c r="D660" s="1300"/>
      <c r="E660" s="1300"/>
      <c r="F660" s="1300"/>
      <c r="I660" s="491"/>
    </row>
    <row r="661" spans="1:9" x14ac:dyDescent="0.3">
      <c r="A661" s="484"/>
      <c r="B661" s="485"/>
      <c r="C661" s="488"/>
      <c r="D661" s="1300"/>
      <c r="E661" s="1300"/>
      <c r="F661" s="1300"/>
      <c r="I661" s="491"/>
    </row>
    <row r="662" spans="1:9" x14ac:dyDescent="0.3">
      <c r="A662" s="484"/>
      <c r="B662" s="485"/>
      <c r="C662" s="488"/>
      <c r="D662" s="1300"/>
      <c r="E662" s="1300"/>
      <c r="F662" s="1300"/>
      <c r="I662" s="491"/>
    </row>
    <row r="663" spans="1:9" ht="14.25" customHeight="1" x14ac:dyDescent="0.3">
      <c r="A663" s="484"/>
      <c r="B663" s="485"/>
      <c r="C663" s="488"/>
      <c r="F663" s="387"/>
      <c r="I663" s="491"/>
    </row>
    <row r="664" spans="1:9" ht="12.75" customHeight="1" x14ac:dyDescent="0.3">
      <c r="A664" s="484"/>
      <c r="B664" s="486" t="s">
        <v>2771</v>
      </c>
      <c r="C664" s="488"/>
      <c r="D664" s="1300" t="s">
        <v>1283</v>
      </c>
      <c r="E664" s="1300"/>
      <c r="F664" s="1300"/>
      <c r="I664" s="491"/>
    </row>
    <row r="665" spans="1:9" x14ac:dyDescent="0.3">
      <c r="A665" s="484"/>
      <c r="B665" s="485"/>
      <c r="C665" s="488"/>
      <c r="D665" s="1300"/>
      <c r="E665" s="1300"/>
      <c r="F665" s="1300"/>
      <c r="I665" s="491"/>
    </row>
    <row r="666" spans="1:9" x14ac:dyDescent="0.3">
      <c r="A666" s="485"/>
      <c r="B666" s="485"/>
      <c r="C666" s="488"/>
      <c r="D666" s="1300"/>
      <c r="E666" s="1300"/>
      <c r="F666" s="1300"/>
      <c r="I666" s="491"/>
    </row>
    <row r="667" spans="1:9" x14ac:dyDescent="0.3">
      <c r="A667" s="485"/>
      <c r="B667" s="485"/>
      <c r="C667" s="488"/>
      <c r="D667" s="1300"/>
      <c r="E667" s="1300"/>
      <c r="F667" s="1300"/>
      <c r="I667" s="491"/>
    </row>
    <row r="668" spans="1:9" x14ac:dyDescent="0.3">
      <c r="A668" s="485"/>
      <c r="B668" s="485"/>
      <c r="C668" s="488"/>
      <c r="D668" s="446"/>
      <c r="E668" s="446"/>
      <c r="F668" s="446"/>
      <c r="I668" s="491"/>
    </row>
    <row r="669" spans="1:9" ht="12.75" customHeight="1" x14ac:dyDescent="0.3">
      <c r="A669" s="484"/>
      <c r="B669" s="486" t="s">
        <v>2612</v>
      </c>
      <c r="C669" s="488"/>
      <c r="D669" s="1300" t="s">
        <v>2069</v>
      </c>
      <c r="E669" s="1300"/>
      <c r="F669" s="1300"/>
      <c r="I669" s="491"/>
    </row>
    <row r="670" spans="1:9" ht="12.75" customHeight="1" x14ac:dyDescent="0.3">
      <c r="A670" s="484"/>
      <c r="B670" s="485"/>
      <c r="C670" s="488"/>
      <c r="D670" s="1300"/>
      <c r="E670" s="1300"/>
      <c r="F670" s="1300"/>
      <c r="I670" s="491"/>
    </row>
    <row r="671" spans="1:9" ht="12.75" customHeight="1" x14ac:dyDescent="0.3">
      <c r="A671" s="484"/>
      <c r="B671" s="485"/>
      <c r="C671" s="488"/>
      <c r="D671" s="1300"/>
      <c r="E671" s="1300"/>
      <c r="F671" s="1300"/>
      <c r="I671" s="491"/>
    </row>
    <row r="672" spans="1:9" ht="12.75" customHeight="1" x14ac:dyDescent="0.3">
      <c r="A672" s="484"/>
      <c r="B672" s="485"/>
      <c r="C672" s="488"/>
      <c r="D672" s="1300"/>
      <c r="E672" s="1300"/>
      <c r="F672" s="1300"/>
      <c r="I672" s="491"/>
    </row>
    <row r="673" spans="1:11" ht="12.75" customHeight="1" x14ac:dyDescent="0.3">
      <c r="A673" s="484"/>
      <c r="B673" s="485"/>
      <c r="C673" s="488"/>
      <c r="D673" s="1300"/>
      <c r="E673" s="1300"/>
      <c r="F673" s="1300"/>
      <c r="I673" s="491"/>
    </row>
    <row r="674" spans="1:11" ht="12.75" customHeight="1" x14ac:dyDescent="0.3">
      <c r="A674" s="484"/>
      <c r="B674" s="485"/>
      <c r="C674" s="488"/>
      <c r="D674" s="1300"/>
      <c r="E674" s="1300"/>
      <c r="F674" s="1300"/>
      <c r="I674" s="491"/>
    </row>
    <row r="675" spans="1:11" ht="12.75" customHeight="1" x14ac:dyDescent="0.3">
      <c r="A675" s="484"/>
      <c r="B675" s="485"/>
      <c r="C675" s="488"/>
      <c r="D675" s="1300"/>
      <c r="E675" s="1300"/>
      <c r="F675" s="1300"/>
      <c r="I675" s="491"/>
    </row>
    <row r="676" spans="1:11" ht="12.75" customHeight="1" x14ac:dyDescent="0.3">
      <c r="A676" s="484"/>
      <c r="B676" s="485"/>
      <c r="C676" s="488"/>
      <c r="D676" s="1300"/>
      <c r="E676" s="1300"/>
      <c r="F676" s="1300"/>
      <c r="I676" s="491"/>
    </row>
    <row r="677" spans="1:11" ht="12.75" customHeight="1" x14ac:dyDescent="0.3">
      <c r="A677" s="484"/>
      <c r="B677" s="485"/>
      <c r="C677" s="488"/>
      <c r="D677" s="1300"/>
      <c r="E677" s="1300"/>
      <c r="F677" s="1300"/>
      <c r="I677" s="491"/>
    </row>
    <row r="678" spans="1:11" x14ac:dyDescent="0.3">
      <c r="A678" s="488"/>
      <c r="B678" s="488"/>
      <c r="C678" s="488"/>
      <c r="D678" s="447"/>
      <c r="E678" s="447"/>
      <c r="F678" s="447"/>
      <c r="I678" s="491"/>
    </row>
    <row r="679" spans="1:11" x14ac:dyDescent="0.3">
      <c r="A679" s="1307" t="s">
        <v>1060</v>
      </c>
      <c r="B679" s="1307"/>
      <c r="C679" s="1307"/>
      <c r="D679" s="1307"/>
      <c r="E679" s="1307"/>
      <c r="F679" s="1307"/>
      <c r="G679" s="1307"/>
      <c r="H679" s="1031"/>
      <c r="I679" s="1159"/>
      <c r="J679" s="502"/>
      <c r="K679" s="502"/>
    </row>
    <row r="680" spans="1:11" x14ac:dyDescent="0.3">
      <c r="A680" s="449"/>
      <c r="B680" s="449"/>
      <c r="C680" s="449"/>
      <c r="D680" s="449"/>
      <c r="E680" s="449"/>
      <c r="F680" s="449"/>
      <c r="G680" s="449"/>
      <c r="H680" s="502"/>
      <c r="I680" s="484"/>
      <c r="J680" s="502"/>
      <c r="K680" s="502"/>
    </row>
    <row r="681" spans="1:11" x14ac:dyDescent="0.3">
      <c r="C681" s="483"/>
      <c r="D681" s="1308" t="s">
        <v>99</v>
      </c>
      <c r="E681" s="1308"/>
      <c r="F681" s="1308"/>
      <c r="H681" s="502"/>
      <c r="I681" s="484"/>
      <c r="J681" s="502"/>
      <c r="K681" s="502"/>
    </row>
    <row r="682" spans="1:11" x14ac:dyDescent="0.3">
      <c r="A682" s="483"/>
      <c r="B682" s="483"/>
      <c r="C682" s="483"/>
      <c r="D682" s="1308" t="s">
        <v>123</v>
      </c>
      <c r="E682" s="1308"/>
      <c r="F682" s="1308"/>
      <c r="H682" s="502"/>
      <c r="I682" s="484"/>
      <c r="J682" s="502"/>
      <c r="K682" s="502"/>
    </row>
    <row r="683" spans="1:11" x14ac:dyDescent="0.3">
      <c r="A683" s="484"/>
      <c r="B683" s="484"/>
      <c r="C683" s="484"/>
      <c r="D683" s="1298" t="s">
        <v>1077</v>
      </c>
      <c r="E683" s="1298"/>
      <c r="F683" s="1298"/>
      <c r="H683" s="502"/>
      <c r="I683" s="484"/>
      <c r="J683" s="502"/>
      <c r="K683" s="502"/>
    </row>
    <row r="684" spans="1:11" x14ac:dyDescent="0.3">
      <c r="A684" s="484"/>
      <c r="B684" s="484"/>
      <c r="C684" s="484"/>
      <c r="H684" s="502"/>
      <c r="I684" s="484"/>
      <c r="J684" s="502"/>
      <c r="K684" s="502"/>
    </row>
    <row r="685" spans="1:11" x14ac:dyDescent="0.3">
      <c r="A685" s="485"/>
      <c r="B685" s="486" t="s">
        <v>2612</v>
      </c>
      <c r="C685" s="484"/>
      <c r="D685" s="1298" t="s">
        <v>886</v>
      </c>
      <c r="E685" s="1298"/>
      <c r="F685" s="1298"/>
      <c r="H685" s="502"/>
      <c r="I685" s="484"/>
      <c r="J685" s="502"/>
      <c r="K685" s="502"/>
    </row>
    <row r="686" spans="1:11" x14ac:dyDescent="0.3">
      <c r="A686" s="484"/>
      <c r="B686" s="484"/>
      <c r="C686" s="484"/>
      <c r="D686" s="1298" t="s">
        <v>895</v>
      </c>
      <c r="E686" s="1298"/>
      <c r="F686" s="1298"/>
      <c r="H686" s="502"/>
      <c r="I686" s="484"/>
      <c r="J686" s="502"/>
      <c r="K686" s="502"/>
    </row>
    <row r="687" spans="1:11" ht="12.75" customHeight="1" x14ac:dyDescent="0.3">
      <c r="A687" s="484"/>
      <c r="B687" s="484"/>
      <c r="C687" s="484"/>
      <c r="E687" s="1037" t="s">
        <v>1914</v>
      </c>
      <c r="F687" s="421"/>
      <c r="H687" s="502"/>
      <c r="I687" s="484"/>
      <c r="J687" s="502"/>
      <c r="K687" s="502"/>
    </row>
    <row r="688" spans="1:11" x14ac:dyDescent="0.3">
      <c r="A688" s="484"/>
      <c r="B688" s="484"/>
      <c r="C688" s="484"/>
      <c r="E688" s="502" t="s">
        <v>1913</v>
      </c>
      <c r="F688" s="421"/>
      <c r="I688" s="484"/>
      <c r="J688" s="502"/>
      <c r="K688" s="502"/>
    </row>
    <row r="689" spans="1:11" x14ac:dyDescent="0.3">
      <c r="A689" s="484"/>
      <c r="B689" s="484"/>
      <c r="C689" s="484"/>
      <c r="D689" s="503"/>
      <c r="E689" s="447"/>
      <c r="H689" s="502"/>
      <c r="I689" s="484"/>
      <c r="J689" s="502"/>
      <c r="K689" s="502"/>
    </row>
    <row r="690" spans="1:11" x14ac:dyDescent="0.3">
      <c r="A690" s="485"/>
      <c r="B690" s="486" t="s">
        <v>2612</v>
      </c>
      <c r="C690" s="484"/>
      <c r="D690" s="1300" t="s">
        <v>2070</v>
      </c>
      <c r="E690" s="1300"/>
      <c r="F690" s="1300"/>
      <c r="H690" s="502"/>
      <c r="I690" s="484"/>
      <c r="J690" s="502"/>
      <c r="K690" s="502"/>
    </row>
    <row r="691" spans="1:11" x14ac:dyDescent="0.3">
      <c r="A691" s="491"/>
      <c r="B691" s="491"/>
      <c r="C691" s="484"/>
      <c r="D691" s="1300"/>
      <c r="E691" s="1300"/>
      <c r="F691" s="1300"/>
      <c r="H691" s="502"/>
      <c r="I691" s="484"/>
      <c r="J691" s="502"/>
      <c r="K691" s="502"/>
    </row>
    <row r="692" spans="1:11" x14ac:dyDescent="0.3">
      <c r="A692" s="484"/>
      <c r="B692" s="484"/>
      <c r="C692" s="484"/>
      <c r="D692" s="1300"/>
      <c r="E692" s="1300"/>
      <c r="F692" s="1300"/>
      <c r="H692" s="502"/>
      <c r="I692" s="484"/>
      <c r="J692" s="502"/>
      <c r="K692" s="502"/>
    </row>
    <row r="693" spans="1:11" x14ac:dyDescent="0.3">
      <c r="A693" s="484"/>
      <c r="B693" s="484"/>
      <c r="C693" s="484"/>
      <c r="H693" s="502"/>
      <c r="J693" s="502"/>
      <c r="K693" s="502"/>
    </row>
    <row r="694" spans="1:11" x14ac:dyDescent="0.3">
      <c r="A694" s="485"/>
      <c r="B694" s="486" t="s">
        <v>2611</v>
      </c>
      <c r="C694" s="484"/>
      <c r="D694" s="1298" t="s">
        <v>918</v>
      </c>
      <c r="E694" s="1298"/>
      <c r="F694" s="1298"/>
      <c r="H694" s="502"/>
      <c r="I694" s="484"/>
      <c r="J694" s="502"/>
      <c r="K694" s="502"/>
    </row>
    <row r="695" spans="1:11" x14ac:dyDescent="0.3">
      <c r="A695" s="485"/>
      <c r="B695" s="485"/>
      <c r="C695" s="484"/>
      <c r="D695" s="1298" t="s">
        <v>895</v>
      </c>
      <c r="E695" s="1298"/>
      <c r="F695" s="1298"/>
      <c r="H695" s="502"/>
      <c r="I695" s="484"/>
      <c r="J695" s="502"/>
      <c r="K695" s="502"/>
    </row>
    <row r="696" spans="1:11" x14ac:dyDescent="0.3">
      <c r="A696" s="484"/>
      <c r="B696" s="484"/>
      <c r="C696" s="484"/>
      <c r="E696" s="1037" t="s">
        <v>1915</v>
      </c>
      <c r="F696" s="405"/>
      <c r="H696" s="502"/>
      <c r="I696" s="484"/>
      <c r="J696" s="502"/>
      <c r="K696" s="502"/>
    </row>
    <row r="697" spans="1:11" x14ac:dyDescent="0.3">
      <c r="A697" s="484"/>
      <c r="B697" s="484"/>
      <c r="C697" s="484"/>
      <c r="D697" s="405"/>
      <c r="H697" s="502"/>
      <c r="I697" s="484"/>
      <c r="J697" s="502"/>
      <c r="K697" s="502"/>
    </row>
    <row r="698" spans="1:11" x14ac:dyDescent="0.3">
      <c r="A698" s="485"/>
      <c r="B698" s="486" t="s">
        <v>2611</v>
      </c>
      <c r="C698" s="484"/>
      <c r="D698" s="1298" t="s">
        <v>2473</v>
      </c>
      <c r="E698" s="1298"/>
      <c r="F698" s="1298"/>
      <c r="H698" s="502"/>
      <c r="I698" s="484"/>
      <c r="J698" s="502"/>
      <c r="K698" s="502"/>
    </row>
    <row r="699" spans="1:11" x14ac:dyDescent="0.3">
      <c r="A699" s="485"/>
      <c r="B699" s="485"/>
      <c r="C699" s="484"/>
      <c r="D699" s="1298" t="s">
        <v>895</v>
      </c>
      <c r="E699" s="1298"/>
      <c r="F699" s="1298"/>
      <c r="H699" s="502"/>
      <c r="I699" s="484"/>
      <c r="J699" s="502"/>
      <c r="K699" s="502"/>
    </row>
    <row r="700" spans="1:11" x14ac:dyDescent="0.3">
      <c r="A700" s="484"/>
      <c r="B700" s="484"/>
      <c r="C700" s="484"/>
      <c r="E700" s="1037" t="s">
        <v>2474</v>
      </c>
      <c r="F700" s="405"/>
      <c r="H700" s="502"/>
      <c r="I700" s="484"/>
      <c r="J700" s="502"/>
      <c r="K700" s="502"/>
    </row>
    <row r="701" spans="1:11" x14ac:dyDescent="0.3">
      <c r="A701" s="484"/>
      <c r="B701" s="484"/>
      <c r="C701" s="484"/>
      <c r="D701" s="405"/>
      <c r="H701" s="502"/>
      <c r="I701" s="484"/>
      <c r="J701" s="502"/>
      <c r="K701" s="502"/>
    </row>
    <row r="702" spans="1:11" x14ac:dyDescent="0.3">
      <c r="A702" s="485"/>
      <c r="B702" s="486" t="s">
        <v>2771</v>
      </c>
      <c r="C702" s="484"/>
      <c r="D702" s="1300" t="s">
        <v>2248</v>
      </c>
      <c r="E702" s="1300"/>
      <c r="F702" s="1300"/>
      <c r="H702" s="502"/>
      <c r="I702" s="484"/>
      <c r="J702" s="502"/>
      <c r="K702" s="502"/>
    </row>
    <row r="703" spans="1:11" x14ac:dyDescent="0.3">
      <c r="A703" s="484"/>
      <c r="B703" s="484"/>
      <c r="C703" s="484"/>
      <c r="D703" s="1300"/>
      <c r="E703" s="1300"/>
      <c r="F703" s="1300"/>
      <c r="H703" s="502"/>
      <c r="I703" s="484"/>
      <c r="J703" s="502"/>
      <c r="K703" s="502"/>
    </row>
    <row r="704" spans="1:11" x14ac:dyDescent="0.3">
      <c r="A704" s="484"/>
      <c r="B704" s="484"/>
      <c r="C704" s="484"/>
      <c r="D704" s="1300"/>
      <c r="E704" s="1300"/>
      <c r="F704" s="1300"/>
      <c r="H704" s="502"/>
      <c r="I704" s="484"/>
      <c r="J704" s="502"/>
      <c r="K704" s="502"/>
    </row>
    <row r="705" spans="1:11" x14ac:dyDescent="0.3">
      <c r="A705" s="484"/>
      <c r="B705" s="484"/>
      <c r="C705" s="484"/>
      <c r="D705" s="1300"/>
      <c r="E705" s="1300"/>
      <c r="F705" s="1300"/>
      <c r="H705" s="502"/>
      <c r="I705" s="484"/>
      <c r="J705" s="502"/>
      <c r="K705" s="502"/>
    </row>
    <row r="706" spans="1:11" x14ac:dyDescent="0.3">
      <c r="A706" s="484"/>
      <c r="B706" s="484"/>
      <c r="C706" s="484"/>
      <c r="D706" s="1300"/>
      <c r="E706" s="1300"/>
      <c r="F706" s="1300"/>
      <c r="H706" s="502"/>
      <c r="I706" s="484"/>
      <c r="J706" s="502"/>
      <c r="K706" s="502"/>
    </row>
    <row r="707" spans="1:11" x14ac:dyDescent="0.3">
      <c r="A707" s="484"/>
      <c r="B707" s="484"/>
      <c r="C707" s="484"/>
      <c r="D707" s="1300"/>
      <c r="E707" s="1300"/>
      <c r="F707" s="1300"/>
      <c r="H707" s="502"/>
      <c r="I707" s="484"/>
      <c r="J707" s="502"/>
      <c r="K707" s="502"/>
    </row>
    <row r="708" spans="1:11" x14ac:dyDescent="0.3">
      <c r="A708" s="484"/>
      <c r="B708" s="484"/>
      <c r="C708" s="484"/>
      <c r="D708" s="446"/>
      <c r="E708" s="446"/>
      <c r="F708" s="446"/>
      <c r="H708" s="502"/>
      <c r="I708" s="484"/>
      <c r="J708" s="502"/>
      <c r="K708" s="502"/>
    </row>
    <row r="709" spans="1:11" x14ac:dyDescent="0.3">
      <c r="A709" s="484"/>
      <c r="B709" s="486" t="s">
        <v>2771</v>
      </c>
      <c r="C709" s="484"/>
      <c r="D709" s="1300" t="s">
        <v>1202</v>
      </c>
      <c r="E709" s="1300"/>
      <c r="F709" s="1300"/>
      <c r="H709" s="502"/>
      <c r="I709" s="484"/>
      <c r="J709" s="502"/>
      <c r="K709" s="502"/>
    </row>
    <row r="710" spans="1:11" x14ac:dyDescent="0.3">
      <c r="A710" s="484"/>
      <c r="B710" s="484"/>
      <c r="C710" s="484"/>
      <c r="D710" s="1300"/>
      <c r="E710" s="1300"/>
      <c r="F710" s="1300"/>
      <c r="H710" s="502"/>
      <c r="I710" s="484"/>
      <c r="J710" s="502"/>
      <c r="K710" s="502"/>
    </row>
    <row r="711" spans="1:11" x14ac:dyDescent="0.3">
      <c r="A711" s="484"/>
      <c r="B711" s="484"/>
      <c r="C711" s="484"/>
      <c r="D711" s="446"/>
      <c r="E711" s="446"/>
      <c r="F711" s="446"/>
      <c r="H711" s="502"/>
      <c r="I711" s="484"/>
      <c r="J711" s="502"/>
      <c r="K711" s="502"/>
    </row>
    <row r="712" spans="1:11" x14ac:dyDescent="0.3">
      <c r="A712" s="485"/>
      <c r="B712" s="486" t="s">
        <v>2612</v>
      </c>
      <c r="C712" s="484"/>
      <c r="D712" s="1300" t="s">
        <v>1078</v>
      </c>
      <c r="E712" s="1300"/>
      <c r="F712" s="1300"/>
      <c r="H712" s="502"/>
      <c r="I712" s="484"/>
      <c r="J712" s="502"/>
      <c r="K712" s="502"/>
    </row>
    <row r="713" spans="1:11" x14ac:dyDescent="0.3">
      <c r="A713" s="484"/>
      <c r="B713" s="484"/>
      <c r="C713" s="484"/>
      <c r="D713" s="1300"/>
      <c r="E713" s="1300"/>
      <c r="F713" s="1300"/>
      <c r="H713" s="502"/>
      <c r="I713" s="484"/>
      <c r="J713" s="502"/>
      <c r="K713" s="502"/>
    </row>
    <row r="714" spans="1:11" x14ac:dyDescent="0.3">
      <c r="A714" s="484"/>
      <c r="B714" s="484"/>
      <c r="C714" s="484"/>
      <c r="D714" s="1300"/>
      <c r="E714" s="1300"/>
      <c r="F714" s="1300"/>
      <c r="H714" s="502"/>
      <c r="I714" s="484"/>
      <c r="J714" s="502"/>
      <c r="K714" s="502"/>
    </row>
    <row r="715" spans="1:11" ht="15" customHeight="1" x14ac:dyDescent="0.3">
      <c r="A715" s="484"/>
      <c r="B715" s="484"/>
      <c r="C715" s="484"/>
      <c r="D715" s="1300"/>
      <c r="E715" s="1300"/>
      <c r="F715" s="1300"/>
      <c r="H715" s="502"/>
      <c r="I715" s="484"/>
      <c r="J715" s="502"/>
      <c r="K715" s="502"/>
    </row>
    <row r="716" spans="1:11" ht="15" customHeight="1" x14ac:dyDescent="0.3">
      <c r="A716" s="484"/>
      <c r="B716" s="484"/>
      <c r="C716" s="484"/>
      <c r="D716" s="1300"/>
      <c r="E716" s="1300"/>
      <c r="F716" s="1300"/>
      <c r="H716" s="502"/>
      <c r="I716" s="484"/>
      <c r="J716" s="502"/>
      <c r="K716" s="502"/>
    </row>
    <row r="717" spans="1:11" x14ac:dyDescent="0.3">
      <c r="A717" s="484"/>
      <c r="B717" s="484"/>
      <c r="C717" s="484"/>
      <c r="D717" s="1300"/>
      <c r="E717" s="1300"/>
      <c r="F717" s="1300"/>
      <c r="H717" s="502"/>
      <c r="I717" s="484"/>
      <c r="J717" s="502"/>
      <c r="K717" s="502"/>
    </row>
    <row r="718" spans="1:11" x14ac:dyDescent="0.3">
      <c r="A718" s="484"/>
      <c r="B718" s="484"/>
      <c r="C718" s="484"/>
      <c r="D718" s="1300"/>
      <c r="E718" s="1300"/>
      <c r="F718" s="1300"/>
      <c r="H718" s="502"/>
      <c r="I718" s="484"/>
      <c r="J718" s="502"/>
      <c r="K718" s="502"/>
    </row>
    <row r="719" spans="1:11" x14ac:dyDescent="0.3">
      <c r="A719" s="484"/>
      <c r="B719" s="484"/>
      <c r="C719" s="484"/>
      <c r="D719" s="1300"/>
      <c r="E719" s="1300"/>
      <c r="F719" s="1300"/>
      <c r="H719" s="502"/>
      <c r="I719" s="484"/>
      <c r="J719" s="502"/>
      <c r="K719" s="502"/>
    </row>
    <row r="720" spans="1:11" ht="15" customHeight="1" x14ac:dyDescent="0.3">
      <c r="A720" s="484"/>
      <c r="B720" s="484"/>
      <c r="C720" s="484"/>
      <c r="D720" s="1300"/>
      <c r="E720" s="1300"/>
      <c r="F720" s="1300"/>
      <c r="H720" s="502"/>
      <c r="I720" s="484"/>
      <c r="J720" s="502"/>
      <c r="K720" s="502"/>
    </row>
    <row r="721" spans="1:11" x14ac:dyDescent="0.3">
      <c r="A721" s="484"/>
      <c r="B721" s="484"/>
      <c r="C721" s="484"/>
      <c r="D721" s="1300"/>
      <c r="E721" s="1300"/>
      <c r="F721" s="1300"/>
      <c r="H721" s="502"/>
      <c r="I721" s="484"/>
      <c r="J721" s="502"/>
      <c r="K721" s="502"/>
    </row>
    <row r="722" spans="1:11" x14ac:dyDescent="0.3">
      <c r="A722" s="484"/>
      <c r="B722" s="484"/>
      <c r="C722" s="484"/>
      <c r="D722" s="1300"/>
      <c r="E722" s="1300"/>
      <c r="F722" s="1300"/>
      <c r="H722" s="502"/>
      <c r="I722" s="484"/>
      <c r="J722" s="502"/>
      <c r="K722" s="502"/>
    </row>
    <row r="723" spans="1:11" x14ac:dyDescent="0.3">
      <c r="A723" s="484"/>
      <c r="B723" s="484"/>
      <c r="C723" s="484"/>
      <c r="D723" s="1300"/>
      <c r="E723" s="1300"/>
      <c r="F723" s="1300"/>
      <c r="H723" s="502"/>
      <c r="I723" s="484"/>
      <c r="J723" s="502"/>
      <c r="K723" s="502"/>
    </row>
    <row r="724" spans="1:11" x14ac:dyDescent="0.3">
      <c r="A724" s="484"/>
      <c r="B724" s="484"/>
      <c r="C724" s="484"/>
      <c r="D724" s="1300"/>
      <c r="E724" s="1300"/>
      <c r="F724" s="1300"/>
      <c r="H724" s="502"/>
      <c r="I724" s="484"/>
      <c r="J724" s="502"/>
      <c r="K724" s="502"/>
    </row>
    <row r="725" spans="1:11" x14ac:dyDescent="0.3">
      <c r="A725" s="484"/>
      <c r="B725" s="486" t="s">
        <v>2612</v>
      </c>
      <c r="C725" s="484"/>
      <c r="D725" s="1300" t="s">
        <v>2466</v>
      </c>
      <c r="E725" s="1300"/>
      <c r="F725" s="1300"/>
      <c r="H725" s="502"/>
      <c r="I725" s="484"/>
      <c r="J725" s="502"/>
      <c r="K725" s="502"/>
    </row>
    <row r="726" spans="1:11" x14ac:dyDescent="0.3">
      <c r="A726" s="484"/>
      <c r="B726" s="484"/>
      <c r="C726" s="484"/>
      <c r="D726" s="1300"/>
      <c r="E726" s="1300"/>
      <c r="F726" s="1300"/>
      <c r="H726" s="502"/>
      <c r="I726" s="484"/>
      <c r="J726" s="502"/>
      <c r="K726" s="502"/>
    </row>
    <row r="727" spans="1:11" x14ac:dyDescent="0.3">
      <c r="A727" s="484"/>
      <c r="B727" s="484"/>
      <c r="C727" s="484"/>
      <c r="D727" s="1300"/>
      <c r="E727" s="1300"/>
      <c r="F727" s="1300"/>
      <c r="H727" s="502"/>
      <c r="I727" s="484"/>
      <c r="J727" s="502"/>
      <c r="K727" s="502"/>
    </row>
    <row r="728" spans="1:11" x14ac:dyDescent="0.3">
      <c r="A728" s="484"/>
      <c r="B728" s="484"/>
      <c r="C728" s="484"/>
      <c r="D728" s="446"/>
      <c r="E728" s="446"/>
      <c r="F728" s="446"/>
      <c r="H728" s="502"/>
      <c r="I728" s="484"/>
      <c r="J728" s="502"/>
      <c r="K728" s="502"/>
    </row>
    <row r="729" spans="1:11" x14ac:dyDescent="0.3">
      <c r="A729" s="484"/>
      <c r="B729" s="486" t="s">
        <v>2612</v>
      </c>
      <c r="C729" s="484"/>
      <c r="D729" s="1300" t="s">
        <v>2465</v>
      </c>
      <c r="E729" s="1300"/>
      <c r="F729" s="1300"/>
      <c r="H729" s="502"/>
      <c r="I729" s="484"/>
      <c r="J729" s="502"/>
      <c r="K729" s="502"/>
    </row>
    <row r="730" spans="1:11" x14ac:dyDescent="0.3">
      <c r="A730" s="484"/>
      <c r="B730" s="484"/>
      <c r="C730" s="484"/>
      <c r="D730" s="1300"/>
      <c r="E730" s="1300"/>
      <c r="F730" s="1300"/>
      <c r="H730" s="502"/>
      <c r="I730" s="484"/>
      <c r="J730" s="502"/>
      <c r="K730" s="502"/>
    </row>
    <row r="731" spans="1:11" x14ac:dyDescent="0.3">
      <c r="A731" s="484"/>
      <c r="B731" s="484"/>
      <c r="C731" s="484"/>
      <c r="D731" s="1300"/>
      <c r="E731" s="1300"/>
      <c r="F731" s="1300"/>
      <c r="H731" s="502"/>
      <c r="I731" s="484"/>
      <c r="J731" s="502"/>
      <c r="K731" s="502"/>
    </row>
    <row r="732" spans="1:11" x14ac:dyDescent="0.3">
      <c r="A732" s="484"/>
      <c r="B732" s="484"/>
      <c r="C732" s="484"/>
      <c r="H732" s="502"/>
      <c r="I732" s="484"/>
      <c r="J732" s="502"/>
      <c r="K732" s="502"/>
    </row>
    <row r="733" spans="1:11" x14ac:dyDescent="0.3">
      <c r="A733" s="484"/>
      <c r="B733" s="486" t="s">
        <v>2612</v>
      </c>
      <c r="C733" s="484"/>
      <c r="D733" s="1300" t="s">
        <v>2464</v>
      </c>
      <c r="E733" s="1300"/>
      <c r="F733" s="1300"/>
      <c r="H733" s="502"/>
      <c r="I733" s="484"/>
      <c r="J733" s="502"/>
      <c r="K733" s="502"/>
    </row>
    <row r="734" spans="1:11" x14ac:dyDescent="0.3">
      <c r="A734" s="484"/>
      <c r="B734" s="484"/>
      <c r="C734" s="484"/>
      <c r="D734" s="1300"/>
      <c r="E734" s="1300"/>
      <c r="F734" s="1300"/>
      <c r="H734" s="502"/>
      <c r="I734" s="484"/>
      <c r="J734" s="502"/>
      <c r="K734" s="502"/>
    </row>
    <row r="735" spans="1:11" x14ac:dyDescent="0.3">
      <c r="A735" s="484"/>
      <c r="B735" s="484"/>
      <c r="C735" s="484"/>
      <c r="D735" s="1300"/>
      <c r="E735" s="1300"/>
      <c r="F735" s="1300"/>
      <c r="H735" s="502"/>
      <c r="I735" s="484"/>
      <c r="J735" s="502"/>
      <c r="K735" s="502"/>
    </row>
    <row r="736" spans="1:11" x14ac:dyDescent="0.3">
      <c r="A736" s="484"/>
      <c r="B736" s="484"/>
      <c r="C736" s="484"/>
      <c r="D736" s="1300"/>
      <c r="E736" s="1300"/>
      <c r="F736" s="1300"/>
      <c r="H736" s="502"/>
      <c r="I736" s="484"/>
      <c r="J736" s="502"/>
      <c r="K736" s="502"/>
    </row>
    <row r="737" spans="1:11" x14ac:dyDescent="0.3">
      <c r="A737" s="484"/>
      <c r="B737" s="484"/>
      <c r="C737" s="484"/>
      <c r="H737" s="502"/>
      <c r="I737" s="484"/>
      <c r="J737" s="502"/>
      <c r="K737" s="502"/>
    </row>
    <row r="738" spans="1:11" x14ac:dyDescent="0.3">
      <c r="A738" s="485"/>
      <c r="B738" s="486" t="s">
        <v>2612</v>
      </c>
      <c r="C738" s="484"/>
      <c r="D738" s="1300" t="s">
        <v>1079</v>
      </c>
      <c r="E738" s="1300"/>
      <c r="F738" s="1300"/>
      <c r="H738" s="502"/>
      <c r="I738" s="484"/>
      <c r="J738" s="502"/>
      <c r="K738" s="502"/>
    </row>
    <row r="739" spans="1:11" x14ac:dyDescent="0.3">
      <c r="A739" s="484"/>
      <c r="B739" s="484"/>
      <c r="C739" s="484"/>
      <c r="D739" s="1300"/>
      <c r="E739" s="1300"/>
      <c r="F739" s="1300"/>
      <c r="H739" s="502"/>
      <c r="I739" s="484"/>
      <c r="J739" s="502"/>
      <c r="K739" s="502"/>
    </row>
    <row r="740" spans="1:11" x14ac:dyDescent="0.3">
      <c r="A740" s="484"/>
      <c r="B740" s="484"/>
      <c r="C740" s="484"/>
      <c r="D740" s="1300"/>
      <c r="E740" s="1300"/>
      <c r="F740" s="1300"/>
      <c r="H740" s="502"/>
      <c r="I740" s="484"/>
      <c r="J740" s="502"/>
      <c r="K740" s="502"/>
    </row>
    <row r="741" spans="1:11" x14ac:dyDescent="0.3">
      <c r="A741" s="484"/>
      <c r="B741" s="484"/>
      <c r="C741" s="484"/>
      <c r="D741" s="1300"/>
      <c r="E741" s="1300"/>
      <c r="F741" s="1300"/>
      <c r="H741" s="502"/>
      <c r="I741" s="484"/>
      <c r="J741" s="502"/>
      <c r="K741" s="502"/>
    </row>
    <row r="742" spans="1:11" x14ac:dyDescent="0.3">
      <c r="A742" s="484"/>
      <c r="B742" s="484"/>
      <c r="C742" s="484"/>
      <c r="D742" s="1300"/>
      <c r="E742" s="1300"/>
      <c r="F742" s="1300"/>
      <c r="H742" s="502"/>
      <c r="I742" s="484"/>
      <c r="J742" s="502"/>
      <c r="K742" s="502"/>
    </row>
    <row r="743" spans="1:11" x14ac:dyDescent="0.3">
      <c r="A743" s="484"/>
      <c r="B743" s="484"/>
      <c r="C743" s="484"/>
      <c r="D743" s="493"/>
      <c r="H743" s="502"/>
      <c r="I743" s="484"/>
      <c r="J743" s="502"/>
      <c r="K743" s="502"/>
    </row>
    <row r="744" spans="1:11" x14ac:dyDescent="0.3">
      <c r="A744" s="485"/>
      <c r="B744" s="486" t="s">
        <v>2612</v>
      </c>
      <c r="C744" s="484"/>
      <c r="D744" s="1300" t="s">
        <v>2148</v>
      </c>
      <c r="E744" s="1300"/>
      <c r="F744" s="1300"/>
      <c r="H744" s="502"/>
      <c r="I744" s="484"/>
      <c r="J744" s="502"/>
      <c r="K744" s="502"/>
    </row>
    <row r="745" spans="1:11" x14ac:dyDescent="0.3">
      <c r="A745" s="484"/>
      <c r="B745" s="484"/>
      <c r="C745" s="484"/>
      <c r="D745" s="1300"/>
      <c r="E745" s="1300"/>
      <c r="F745" s="1300"/>
      <c r="H745" s="502"/>
      <c r="I745" s="484"/>
      <c r="J745" s="502"/>
      <c r="K745" s="502"/>
    </row>
    <row r="746" spans="1:11" x14ac:dyDescent="0.3">
      <c r="A746" s="484"/>
      <c r="B746" s="484"/>
      <c r="C746" s="484"/>
      <c r="D746" s="1300"/>
      <c r="E746" s="1300"/>
      <c r="F746" s="1300"/>
      <c r="H746" s="502"/>
      <c r="I746" s="484"/>
      <c r="J746" s="502"/>
      <c r="K746" s="502"/>
    </row>
    <row r="747" spans="1:11" x14ac:dyDescent="0.3">
      <c r="A747" s="484"/>
      <c r="B747" s="484"/>
      <c r="C747" s="484"/>
      <c r="D747" s="1300"/>
      <c r="E747" s="1300"/>
      <c r="F747" s="1300"/>
      <c r="H747" s="502"/>
      <c r="I747" s="484"/>
      <c r="J747" s="502"/>
      <c r="K747" s="502"/>
    </row>
    <row r="748" spans="1:11" x14ac:dyDescent="0.3">
      <c r="A748" s="484"/>
      <c r="B748" s="484"/>
      <c r="C748" s="484"/>
      <c r="D748" s="1300"/>
      <c r="E748" s="1300"/>
      <c r="F748" s="1300"/>
      <c r="H748" s="502"/>
      <c r="I748" s="484"/>
      <c r="J748" s="502"/>
      <c r="K748" s="502"/>
    </row>
    <row r="749" spans="1:11" x14ac:dyDescent="0.3">
      <c r="A749" s="484"/>
      <c r="B749" s="484"/>
      <c r="C749" s="484"/>
      <c r="D749" s="1300"/>
      <c r="E749" s="1300"/>
      <c r="F749" s="1300"/>
      <c r="H749" s="502"/>
      <c r="I749" s="484"/>
      <c r="J749" s="502"/>
      <c r="K749" s="502"/>
    </row>
    <row r="750" spans="1:11" x14ac:dyDescent="0.3">
      <c r="A750" s="484"/>
      <c r="B750" s="484"/>
      <c r="C750" s="484"/>
      <c r="D750" s="1300"/>
      <c r="E750" s="1300"/>
      <c r="F750" s="1300"/>
      <c r="H750" s="502"/>
      <c r="I750" s="484"/>
      <c r="J750" s="502"/>
      <c r="K750" s="502"/>
    </row>
    <row r="751" spans="1:11" x14ac:dyDescent="0.3">
      <c r="A751" s="484"/>
      <c r="B751" s="484"/>
      <c r="C751" s="484"/>
      <c r="D751" s="1301" t="s">
        <v>2077</v>
      </c>
      <c r="E751" s="1301"/>
      <c r="F751" s="1301"/>
      <c r="H751" s="502"/>
      <c r="I751" s="484"/>
      <c r="J751" s="502"/>
      <c r="K751" s="502"/>
    </row>
    <row r="752" spans="1:11" x14ac:dyDescent="0.3">
      <c r="A752" s="484"/>
      <c r="B752" s="484"/>
      <c r="C752" s="484"/>
      <c r="D752" s="342"/>
      <c r="H752" s="502"/>
      <c r="I752" s="484"/>
      <c r="J752" s="502"/>
      <c r="K752" s="502"/>
    </row>
    <row r="753" spans="1:11" x14ac:dyDescent="0.3">
      <c r="A753" s="1299" t="s">
        <v>1061</v>
      </c>
      <c r="B753" s="1299"/>
      <c r="C753" s="1299"/>
      <c r="D753" s="1299"/>
      <c r="E753" s="1299"/>
      <c r="F753" s="1299"/>
      <c r="G753" s="1299"/>
      <c r="H753" s="1031"/>
      <c r="I753" s="1159"/>
      <c r="J753" s="502"/>
      <c r="K753" s="502"/>
    </row>
    <row r="754" spans="1:11" x14ac:dyDescent="0.3">
      <c r="A754" s="484"/>
      <c r="B754" s="484"/>
      <c r="C754" s="484"/>
      <c r="D754" s="493"/>
      <c r="G754" s="502"/>
      <c r="H754" s="502"/>
      <c r="I754" s="484"/>
      <c r="J754" s="502"/>
      <c r="K754" s="502"/>
    </row>
    <row r="755" spans="1:11" ht="13.65" customHeight="1" x14ac:dyDescent="0.3">
      <c r="C755" s="484"/>
      <c r="D755" s="1316" t="s">
        <v>1071</v>
      </c>
      <c r="E755" s="1316"/>
      <c r="F755" s="1316"/>
      <c r="G755" s="502"/>
      <c r="H755" s="502"/>
      <c r="I755" s="484"/>
      <c r="J755" s="502"/>
      <c r="K755" s="502"/>
    </row>
    <row r="756" spans="1:11" x14ac:dyDescent="0.3">
      <c r="A756" s="484"/>
      <c r="B756" s="484"/>
      <c r="C756" s="484"/>
      <c r="D756" s="1302" t="s">
        <v>1072</v>
      </c>
      <c r="E756" s="1302"/>
      <c r="F756" s="1302"/>
      <c r="G756" s="502"/>
      <c r="H756" s="502"/>
      <c r="I756" s="484"/>
      <c r="J756" s="502"/>
      <c r="K756" s="502"/>
    </row>
    <row r="757" spans="1:11" x14ac:dyDescent="0.3">
      <c r="A757" s="484"/>
      <c r="B757" s="484"/>
      <c r="C757" s="484"/>
      <c r="G757" s="502"/>
      <c r="H757" s="502"/>
      <c r="I757" s="484"/>
      <c r="J757" s="502"/>
      <c r="K757" s="502"/>
    </row>
    <row r="758" spans="1:11" x14ac:dyDescent="0.3">
      <c r="A758" s="485"/>
      <c r="B758" s="486" t="s">
        <v>2771</v>
      </c>
      <c r="D758" s="1300" t="s">
        <v>1073</v>
      </c>
      <c r="E758" s="1300"/>
      <c r="F758" s="1300"/>
      <c r="G758" s="502"/>
      <c r="H758" s="502"/>
      <c r="I758" s="484"/>
      <c r="J758" s="502"/>
      <c r="K758" s="502"/>
    </row>
    <row r="759" spans="1:11" ht="10.5" customHeight="1" x14ac:dyDescent="0.3">
      <c r="D759" s="1300"/>
      <c r="E759" s="1300"/>
      <c r="F759" s="1300"/>
      <c r="G759" s="502"/>
      <c r="H759" s="502"/>
      <c r="I759" s="484"/>
      <c r="J759" s="502"/>
      <c r="K759" s="502"/>
    </row>
    <row r="760" spans="1:11" x14ac:dyDescent="0.3">
      <c r="D760" s="1300"/>
      <c r="E760" s="1300"/>
      <c r="F760" s="1300"/>
      <c r="G760" s="502"/>
      <c r="H760" s="502"/>
      <c r="I760" s="484"/>
      <c r="J760" s="502"/>
      <c r="K760" s="502"/>
    </row>
    <row r="761" spans="1:11" x14ac:dyDescent="0.3">
      <c r="D761" s="1300"/>
      <c r="E761" s="1300"/>
      <c r="F761" s="1300"/>
      <c r="G761" s="502"/>
      <c r="H761" s="502"/>
      <c r="I761" s="484"/>
      <c r="J761" s="502"/>
      <c r="K761" s="502"/>
    </row>
    <row r="762" spans="1:11" x14ac:dyDescent="0.3">
      <c r="D762" s="1300"/>
      <c r="E762" s="1300"/>
      <c r="F762" s="1300"/>
      <c r="G762" s="502"/>
      <c r="H762" s="502"/>
      <c r="I762" s="484"/>
      <c r="J762" s="502"/>
      <c r="K762" s="502"/>
    </row>
    <row r="763" spans="1:11" ht="15.65" customHeight="1" x14ac:dyDescent="0.3">
      <c r="D763" s="1300"/>
      <c r="E763" s="1300"/>
      <c r="F763" s="1300"/>
      <c r="G763" s="502"/>
      <c r="H763" s="502"/>
      <c r="I763" s="484"/>
      <c r="J763" s="502"/>
      <c r="K763" s="502"/>
    </row>
    <row r="764" spans="1:11" x14ac:dyDescent="0.3">
      <c r="D764" s="500"/>
      <c r="E764" s="447"/>
      <c r="F764" s="447"/>
      <c r="G764" s="502"/>
      <c r="H764" s="502"/>
      <c r="I764" s="484"/>
      <c r="J764" s="502"/>
      <c r="K764" s="502"/>
    </row>
    <row r="765" spans="1:11" s="506" customFormat="1" x14ac:dyDescent="0.3">
      <c r="A765" s="504"/>
      <c r="B765" s="486" t="s">
        <v>2771</v>
      </c>
      <c r="C765" s="505"/>
      <c r="D765" s="1300" t="s">
        <v>1242</v>
      </c>
      <c r="E765" s="1300"/>
      <c r="F765" s="1300"/>
      <c r="I765" s="1160"/>
    </row>
    <row r="766" spans="1:11" s="506" customFormat="1" x14ac:dyDescent="0.3">
      <c r="A766" s="505"/>
      <c r="B766" s="505"/>
      <c r="C766" s="505"/>
      <c r="D766" s="1300"/>
      <c r="E766" s="1300"/>
      <c r="F766" s="1300"/>
      <c r="I766" s="1160"/>
    </row>
    <row r="767" spans="1:11" s="506" customFormat="1" x14ac:dyDescent="0.3">
      <c r="A767" s="505"/>
      <c r="B767" s="505"/>
      <c r="C767" s="505"/>
      <c r="D767" s="1300"/>
      <c r="E767" s="1300"/>
      <c r="F767" s="1300"/>
      <c r="I767" s="1160"/>
    </row>
    <row r="768" spans="1:11" s="506" customFormat="1" x14ac:dyDescent="0.3">
      <c r="A768" s="505"/>
      <c r="B768" s="505"/>
      <c r="C768" s="505"/>
      <c r="D768" s="1300"/>
      <c r="E768" s="1300"/>
      <c r="F768" s="1300"/>
      <c r="I768" s="1160"/>
    </row>
    <row r="769" spans="1:11" s="506" customFormat="1" x14ac:dyDescent="0.3">
      <c r="A769" s="505"/>
      <c r="B769" s="505"/>
      <c r="C769" s="505"/>
      <c r="D769" s="500"/>
      <c r="I769" s="1160"/>
    </row>
    <row r="770" spans="1:11" s="506" customFormat="1" x14ac:dyDescent="0.3">
      <c r="A770" s="485"/>
      <c r="B770" s="486" t="s">
        <v>2771</v>
      </c>
      <c r="C770" s="505"/>
      <c r="D770" s="1306" t="s">
        <v>1243</v>
      </c>
      <c r="E770" s="1306"/>
      <c r="F770" s="1306"/>
      <c r="I770" s="1160"/>
    </row>
    <row r="771" spans="1:11" s="506" customFormat="1" x14ac:dyDescent="0.3">
      <c r="A771" s="505"/>
      <c r="B771" s="505"/>
      <c r="C771" s="505"/>
      <c r="D771" s="1306"/>
      <c r="E771" s="1306"/>
      <c r="F771" s="1306"/>
      <c r="I771" s="1160"/>
    </row>
    <row r="772" spans="1:11" s="506" customFormat="1" x14ac:dyDescent="0.3">
      <c r="A772" s="505"/>
      <c r="B772" s="505"/>
      <c r="C772" s="505"/>
      <c r="D772" s="1306"/>
      <c r="E772" s="1306"/>
      <c r="F772" s="1306"/>
      <c r="I772" s="1160"/>
    </row>
    <row r="773" spans="1:11" x14ac:dyDescent="0.3">
      <c r="D773" s="500"/>
      <c r="E773" s="447"/>
      <c r="F773" s="447"/>
      <c r="G773" s="502"/>
      <c r="H773" s="502"/>
      <c r="I773" s="484"/>
      <c r="J773" s="502"/>
      <c r="K773" s="502"/>
    </row>
    <row r="774" spans="1:11" x14ac:dyDescent="0.3">
      <c r="A774" s="485"/>
      <c r="B774" s="486" t="s">
        <v>2612</v>
      </c>
      <c r="D774" s="1300" t="s">
        <v>1199</v>
      </c>
      <c r="E774" s="1300"/>
      <c r="F774" s="1300"/>
      <c r="G774" s="502"/>
      <c r="H774" s="502"/>
      <c r="I774" s="484"/>
      <c r="J774" s="502"/>
      <c r="K774" s="502"/>
    </row>
    <row r="775" spans="1:11" x14ac:dyDescent="0.3">
      <c r="D775" s="1300"/>
      <c r="E775" s="1300"/>
      <c r="F775" s="1300"/>
      <c r="G775" s="502"/>
      <c r="H775" s="502"/>
      <c r="I775" s="484"/>
      <c r="J775" s="502"/>
      <c r="K775" s="502"/>
    </row>
    <row r="776" spans="1:11" x14ac:dyDescent="0.3">
      <c r="D776" s="446"/>
      <c r="E776" s="446"/>
      <c r="F776" s="446"/>
      <c r="G776" s="502"/>
      <c r="H776" s="502"/>
      <c r="I776" s="484"/>
      <c r="J776" s="502"/>
      <c r="K776" s="502"/>
    </row>
    <row r="777" spans="1:11" x14ac:dyDescent="0.3">
      <c r="B777" s="486" t="s">
        <v>2612</v>
      </c>
      <c r="D777" s="1300" t="s">
        <v>1216</v>
      </c>
      <c r="E777" s="1300"/>
      <c r="F777" s="1300"/>
      <c r="G777" s="502"/>
      <c r="H777" s="502"/>
      <c r="I777" s="484"/>
      <c r="J777" s="502"/>
      <c r="K777" s="502"/>
    </row>
    <row r="778" spans="1:11" x14ac:dyDescent="0.3">
      <c r="D778" s="1300"/>
      <c r="E778" s="1300"/>
      <c r="F778" s="1300"/>
      <c r="G778" s="502"/>
      <c r="H778" s="502"/>
      <c r="I778" s="484"/>
      <c r="J778" s="502"/>
      <c r="K778" s="502"/>
    </row>
    <row r="779" spans="1:11" x14ac:dyDescent="0.3">
      <c r="D779" s="1300"/>
      <c r="E779" s="1300"/>
      <c r="F779" s="1300"/>
      <c r="G779" s="502"/>
      <c r="H779" s="502"/>
      <c r="I779" s="484"/>
      <c r="J779" s="502"/>
      <c r="K779" s="502"/>
    </row>
    <row r="780" spans="1:11" x14ac:dyDescent="0.3">
      <c r="D780" s="446"/>
      <c r="E780" s="446"/>
      <c r="F780" s="446"/>
      <c r="G780" s="502"/>
      <c r="H780" s="502"/>
      <c r="I780" s="484"/>
      <c r="J780" s="502"/>
      <c r="K780" s="502"/>
    </row>
    <row r="781" spans="1:11" x14ac:dyDescent="0.3">
      <c r="A781" s="1315" t="s">
        <v>1802</v>
      </c>
      <c r="B781" s="1315"/>
      <c r="C781" s="1315"/>
      <c r="D781" s="1315"/>
      <c r="E781" s="1315"/>
      <c r="F781" s="1315"/>
      <c r="G781" s="1315"/>
      <c r="H781" s="1029"/>
      <c r="I781" s="1155"/>
    </row>
    <row r="782" spans="1:11" x14ac:dyDescent="0.3">
      <c r="A782" s="57"/>
      <c r="B782" s="57"/>
      <c r="C782" s="355"/>
      <c r="D782" s="3"/>
      <c r="E782" s="3"/>
      <c r="F782" s="3"/>
      <c r="G782" s="3"/>
      <c r="I782" s="491"/>
    </row>
    <row r="783" spans="1:11" x14ac:dyDescent="0.3">
      <c r="A783" s="57"/>
      <c r="B783" s="57"/>
      <c r="C783" s="355"/>
      <c r="D783" s="1314" t="s">
        <v>1856</v>
      </c>
      <c r="E783" s="1314"/>
      <c r="F783" s="1314"/>
      <c r="G783" s="3"/>
      <c r="I783" s="491"/>
    </row>
    <row r="784" spans="1:11" x14ac:dyDescent="0.3">
      <c r="A784" s="57"/>
      <c r="B784" s="57"/>
      <c r="C784" s="355"/>
      <c r="D784" s="1317" t="s">
        <v>1756</v>
      </c>
      <c r="E784" s="1317"/>
      <c r="F784" s="1317"/>
      <c r="G784" s="3"/>
      <c r="I784" s="491"/>
    </row>
    <row r="785" spans="1:9" x14ac:dyDescent="0.3">
      <c r="A785" s="57"/>
      <c r="B785" s="57"/>
      <c r="C785" s="355"/>
      <c r="D785" s="448"/>
      <c r="E785" s="448"/>
      <c r="F785" s="448"/>
      <c r="G785" s="3"/>
      <c r="I785" s="491"/>
    </row>
    <row r="786" spans="1:9" x14ac:dyDescent="0.3">
      <c r="A786" s="57"/>
      <c r="B786" s="486" t="s">
        <v>2771</v>
      </c>
      <c r="C786" s="355"/>
      <c r="D786" s="1293" t="s">
        <v>1757</v>
      </c>
      <c r="E786" s="1293"/>
      <c r="F786" s="1293"/>
      <c r="G786" s="3"/>
      <c r="I786" s="484"/>
    </row>
    <row r="787" spans="1:9" x14ac:dyDescent="0.3">
      <c r="A787" s="57"/>
      <c r="B787" s="57"/>
      <c r="C787" s="355"/>
      <c r="D787" s="1293"/>
      <c r="E787" s="1293"/>
      <c r="F787" s="1293"/>
      <c r="G787" s="3"/>
      <c r="I787" s="491"/>
    </row>
    <row r="788" spans="1:9" x14ac:dyDescent="0.3">
      <c r="A788" s="174"/>
      <c r="B788" s="174"/>
      <c r="C788" s="174"/>
      <c r="D788" s="1293"/>
      <c r="E788" s="1293"/>
      <c r="F788" s="1293"/>
      <c r="G788" s="118"/>
      <c r="I788" s="491"/>
    </row>
    <row r="789" spans="1:9" x14ac:dyDescent="0.3">
      <c r="A789" s="355"/>
      <c r="B789" s="355"/>
      <c r="C789" s="355"/>
      <c r="D789" s="173"/>
      <c r="E789" s="3"/>
      <c r="F789" s="3"/>
      <c r="G789" s="3"/>
      <c r="I789" s="491"/>
    </row>
    <row r="790" spans="1:9" x14ac:dyDescent="0.3">
      <c r="A790" s="172"/>
      <c r="B790" s="486" t="s">
        <v>2771</v>
      </c>
      <c r="C790" s="172"/>
      <c r="D790" s="1293" t="s">
        <v>1758</v>
      </c>
      <c r="E790" s="1293"/>
      <c r="F790" s="1293"/>
      <c r="G790" s="3"/>
      <c r="I790" s="484"/>
    </row>
    <row r="791" spans="1:9" x14ac:dyDescent="0.3">
      <c r="A791" s="172"/>
      <c r="B791" s="172"/>
      <c r="C791" s="172"/>
      <c r="D791" s="1293"/>
      <c r="E791" s="1293"/>
      <c r="F791" s="1293"/>
      <c r="G791" s="3"/>
      <c r="I791" s="491"/>
    </row>
    <row r="792" spans="1:9" x14ac:dyDescent="0.3">
      <c r="A792" s="172"/>
      <c r="B792" s="172"/>
      <c r="C792" s="172"/>
      <c r="D792" s="1293"/>
      <c r="E792" s="1293"/>
      <c r="F792" s="1293"/>
      <c r="G792" s="3"/>
      <c r="I792" s="491"/>
    </row>
    <row r="793" spans="1:9" x14ac:dyDescent="0.3">
      <c r="A793" s="174"/>
      <c r="B793" s="174"/>
      <c r="C793" s="174"/>
      <c r="D793" s="3"/>
      <c r="E793" s="989"/>
      <c r="F793" s="989"/>
      <c r="G793" s="989"/>
      <c r="I793" s="491"/>
    </row>
    <row r="794" spans="1:9" x14ac:dyDescent="0.3">
      <c r="A794" s="175"/>
      <c r="B794" s="486" t="s">
        <v>2612</v>
      </c>
      <c r="C794" s="990"/>
      <c r="D794" s="1293" t="s">
        <v>1759</v>
      </c>
      <c r="E794" s="1293"/>
      <c r="F794" s="1293"/>
      <c r="G794" s="989"/>
      <c r="I794" s="484"/>
    </row>
    <row r="795" spans="1:9" x14ac:dyDescent="0.3">
      <c r="A795" s="175"/>
      <c r="B795" s="175"/>
      <c r="C795" s="990"/>
      <c r="D795" s="1293"/>
      <c r="E795" s="1293"/>
      <c r="F795" s="1293"/>
      <c r="G795" s="989"/>
      <c r="I795" s="491"/>
    </row>
    <row r="796" spans="1:9" x14ac:dyDescent="0.3">
      <c r="A796" s="175"/>
      <c r="B796" s="175"/>
      <c r="C796" s="990"/>
      <c r="D796" s="1293"/>
      <c r="E796" s="1293"/>
      <c r="F796" s="1293"/>
      <c r="G796" s="989"/>
      <c r="I796" s="491"/>
    </row>
    <row r="797" spans="1:9" x14ac:dyDescent="0.3">
      <c r="A797" s="175"/>
      <c r="B797" s="175"/>
      <c r="C797" s="990"/>
      <c r="D797" s="118"/>
      <c r="E797" s="3"/>
      <c r="F797" s="3"/>
      <c r="G797" s="989"/>
      <c r="I797" s="491"/>
    </row>
    <row r="798" spans="1:9" x14ac:dyDescent="0.3">
      <c r="A798" s="175"/>
      <c r="B798" s="486" t="s">
        <v>2612</v>
      </c>
      <c r="C798" s="990"/>
      <c r="D798" s="1293" t="s">
        <v>1760</v>
      </c>
      <c r="E798" s="1293"/>
      <c r="F798" s="1293"/>
      <c r="G798" s="989"/>
      <c r="I798" s="484"/>
    </row>
    <row r="799" spans="1:9" x14ac:dyDescent="0.3">
      <c r="A799" s="175"/>
      <c r="B799" s="175"/>
      <c r="C799" s="990"/>
      <c r="D799" s="1293"/>
      <c r="E799" s="1293"/>
      <c r="F799" s="1293"/>
      <c r="G799" s="989"/>
      <c r="I799" s="491"/>
    </row>
    <row r="800" spans="1:9" x14ac:dyDescent="0.3">
      <c r="A800" s="175"/>
      <c r="B800" s="175"/>
      <c r="C800" s="990"/>
      <c r="D800" s="1293"/>
      <c r="E800" s="1293"/>
      <c r="F800" s="1293"/>
      <c r="G800" s="989"/>
      <c r="I800" s="491"/>
    </row>
    <row r="801" spans="1:9" x14ac:dyDescent="0.3">
      <c r="A801" s="175"/>
      <c r="B801" s="175"/>
      <c r="C801" s="990"/>
      <c r="D801" s="1293"/>
      <c r="E801" s="1293"/>
      <c r="F801" s="1293"/>
      <c r="G801" s="989"/>
      <c r="I801" s="491"/>
    </row>
    <row r="802" spans="1:9" x14ac:dyDescent="0.3">
      <c r="A802" s="175"/>
      <c r="B802" s="175"/>
      <c r="C802" s="990"/>
      <c r="D802" s="1293"/>
      <c r="E802" s="1293"/>
      <c r="F802" s="1293"/>
      <c r="G802" s="989"/>
      <c r="I802" s="491"/>
    </row>
    <row r="803" spans="1:9" x14ac:dyDescent="0.3">
      <c r="A803" s="175"/>
      <c r="B803" s="175"/>
      <c r="C803" s="990"/>
      <c r="D803" s="1293"/>
      <c r="E803" s="1293"/>
      <c r="F803" s="1293"/>
      <c r="G803" s="989"/>
      <c r="I803" s="491"/>
    </row>
    <row r="804" spans="1:9" x14ac:dyDescent="0.3">
      <c r="A804" s="175"/>
      <c r="B804" s="175"/>
      <c r="C804" s="990"/>
      <c r="D804" s="1293" t="s">
        <v>1803</v>
      </c>
      <c r="E804" s="1293"/>
      <c r="F804" s="1293"/>
      <c r="G804" s="989"/>
      <c r="I804" s="491"/>
    </row>
    <row r="805" spans="1:9" x14ac:dyDescent="0.3">
      <c r="A805" s="175"/>
      <c r="B805" s="175"/>
      <c r="C805" s="990"/>
      <c r="D805" s="1293"/>
      <c r="E805" s="1293"/>
      <c r="F805" s="1293"/>
      <c r="G805" s="989"/>
      <c r="I805" s="491"/>
    </row>
    <row r="806" spans="1:9" x14ac:dyDescent="0.3">
      <c r="A806" s="175"/>
      <c r="B806" s="175"/>
      <c r="C806" s="990"/>
      <c r="D806" s="1293"/>
      <c r="E806" s="1293"/>
      <c r="F806" s="1293"/>
      <c r="G806" s="989"/>
      <c r="I806" s="491"/>
    </row>
    <row r="807" spans="1:9" x14ac:dyDescent="0.3">
      <c r="A807" s="175"/>
      <c r="B807" s="355"/>
      <c r="C807" s="990"/>
      <c r="D807" s="991"/>
      <c r="E807" s="991"/>
      <c r="F807" s="991"/>
      <c r="G807" s="989"/>
      <c r="I807" s="491"/>
    </row>
    <row r="808" spans="1:9" x14ac:dyDescent="0.3">
      <c r="A808" s="175"/>
      <c r="B808" s="486" t="s">
        <v>2612</v>
      </c>
      <c r="C808" s="990"/>
      <c r="D808" s="1293" t="s">
        <v>1761</v>
      </c>
      <c r="E808" s="1293"/>
      <c r="F808" s="1293"/>
      <c r="G808" s="989"/>
      <c r="I808" s="484"/>
    </row>
    <row r="809" spans="1:9" x14ac:dyDescent="0.3">
      <c r="A809" s="175"/>
      <c r="B809" s="175"/>
      <c r="C809" s="990"/>
      <c r="D809" s="1293"/>
      <c r="E809" s="1293"/>
      <c r="F809" s="1293"/>
      <c r="G809" s="989"/>
      <c r="I809" s="491"/>
    </row>
    <row r="810" spans="1:9" x14ac:dyDescent="0.3">
      <c r="A810" s="175"/>
      <c r="B810" s="175"/>
      <c r="C810" s="990"/>
      <c r="D810" s="1293"/>
      <c r="E810" s="1293"/>
      <c r="F810" s="1293"/>
      <c r="G810" s="989"/>
      <c r="I810" s="491"/>
    </row>
    <row r="811" spans="1:9" x14ac:dyDescent="0.3">
      <c r="A811" s="175"/>
      <c r="B811" s="175"/>
      <c r="C811" s="990"/>
      <c r="D811" s="1293"/>
      <c r="E811" s="1293"/>
      <c r="F811" s="1293"/>
      <c r="G811" s="989"/>
      <c r="I811" s="491"/>
    </row>
    <row r="812" spans="1:9" x14ac:dyDescent="0.3">
      <c r="A812" s="175"/>
      <c r="B812" s="175"/>
      <c r="C812" s="990"/>
      <c r="D812" s="1293"/>
      <c r="E812" s="1293"/>
      <c r="F812" s="1293"/>
      <c r="G812" s="989"/>
      <c r="I812" s="491"/>
    </row>
    <row r="813" spans="1:9" x14ac:dyDescent="0.3">
      <c r="A813" s="175"/>
      <c r="B813" s="175"/>
      <c r="C813" s="990"/>
      <c r="D813" s="1293"/>
      <c r="E813" s="1293"/>
      <c r="F813" s="1293"/>
      <c r="G813" s="989"/>
      <c r="I813" s="491"/>
    </row>
    <row r="814" spans="1:9" x14ac:dyDescent="0.3">
      <c r="A814" s="175"/>
      <c r="B814" s="175"/>
      <c r="C814" s="990"/>
      <c r="D814" s="983"/>
      <c r="E814" s="983"/>
      <c r="F814" s="983"/>
      <c r="G814" s="989"/>
      <c r="I814" s="491"/>
    </row>
    <row r="815" spans="1:9" x14ac:dyDescent="0.3">
      <c r="A815" s="175"/>
      <c r="B815" s="486" t="s">
        <v>2612</v>
      </c>
      <c r="C815" s="990"/>
      <c r="D815" s="1293" t="s">
        <v>1762</v>
      </c>
      <c r="E815" s="1293"/>
      <c r="F815" s="1293"/>
      <c r="G815" s="989"/>
      <c r="I815" s="484"/>
    </row>
    <row r="816" spans="1:9" x14ac:dyDescent="0.3">
      <c r="A816" s="175"/>
      <c r="B816" s="175"/>
      <c r="C816" s="990"/>
      <c r="D816" s="1293"/>
      <c r="E816" s="1293"/>
      <c r="F816" s="1293"/>
      <c r="G816" s="989"/>
      <c r="I816" s="491"/>
    </row>
    <row r="817" spans="1:9" x14ac:dyDescent="0.3">
      <c r="A817" s="175"/>
      <c r="B817" s="175"/>
      <c r="C817" s="990"/>
      <c r="D817" s="1293"/>
      <c r="E817" s="1293"/>
      <c r="F817" s="1293"/>
      <c r="G817" s="989"/>
      <c r="I817" s="491"/>
    </row>
    <row r="818" spans="1:9" x14ac:dyDescent="0.3">
      <c r="A818" s="175"/>
      <c r="B818" s="175"/>
      <c r="C818" s="990"/>
      <c r="D818" s="1293"/>
      <c r="E818" s="1293"/>
      <c r="F818" s="1293"/>
      <c r="G818" s="989"/>
      <c r="I818" s="491"/>
    </row>
    <row r="819" spans="1:9" x14ac:dyDescent="0.3">
      <c r="A819" s="175"/>
      <c r="B819" s="175"/>
      <c r="C819" s="990"/>
      <c r="D819" s="1293"/>
      <c r="E819" s="1293"/>
      <c r="F819" s="1293"/>
      <c r="G819" s="989"/>
      <c r="I819" s="491"/>
    </row>
    <row r="820" spans="1:9" x14ac:dyDescent="0.3">
      <c r="A820" s="175"/>
      <c r="B820" s="175"/>
      <c r="C820" s="990"/>
      <c r="D820" s="1293"/>
      <c r="E820" s="1293"/>
      <c r="F820" s="1293"/>
      <c r="G820" s="989"/>
      <c r="I820" s="491"/>
    </row>
    <row r="821" spans="1:9" x14ac:dyDescent="0.3">
      <c r="A821" s="175"/>
      <c r="B821" s="175"/>
      <c r="C821" s="990"/>
      <c r="D821" s="983"/>
      <c r="E821" s="983"/>
      <c r="F821" s="983"/>
      <c r="G821" s="989"/>
      <c r="I821" s="491"/>
    </row>
    <row r="822" spans="1:9" x14ac:dyDescent="0.3">
      <c r="A822" s="175"/>
      <c r="B822" s="486" t="s">
        <v>2612</v>
      </c>
      <c r="C822" s="990"/>
      <c r="D822" s="1288" t="s">
        <v>1763</v>
      </c>
      <c r="E822" s="1288"/>
      <c r="F822" s="1288"/>
      <c r="G822" s="989"/>
      <c r="I822" s="484"/>
    </row>
    <row r="823" spans="1:9" x14ac:dyDescent="0.3">
      <c r="A823" s="175"/>
      <c r="B823" s="175"/>
      <c r="C823" s="990"/>
      <c r="D823" s="1288"/>
      <c r="E823" s="1288"/>
      <c r="F823" s="1288"/>
      <c r="G823" s="989"/>
      <c r="I823" s="491"/>
    </row>
    <row r="824" spans="1:9" x14ac:dyDescent="0.3">
      <c r="A824" s="13"/>
      <c r="B824" s="13"/>
      <c r="C824" s="990"/>
      <c r="D824" s="1288"/>
      <c r="E824" s="1288"/>
      <c r="F824" s="1288"/>
      <c r="G824" s="989"/>
      <c r="I824" s="491"/>
    </row>
    <row r="825" spans="1:9" x14ac:dyDescent="0.3">
      <c r="A825" s="175"/>
      <c r="B825" s="13"/>
      <c r="C825" s="990"/>
      <c r="D825" s="1288"/>
      <c r="E825" s="1288"/>
      <c r="F825" s="1288"/>
      <c r="G825" s="989"/>
      <c r="I825" s="491"/>
    </row>
    <row r="826" spans="1:9" ht="12.75" customHeight="1" x14ac:dyDescent="0.3">
      <c r="A826" s="175"/>
      <c r="B826" s="13"/>
      <c r="C826" s="990"/>
      <c r="D826" s="1288"/>
      <c r="E826" s="1288"/>
      <c r="F826" s="1288"/>
      <c r="G826" s="989"/>
      <c r="I826" s="491"/>
    </row>
    <row r="827" spans="1:9" ht="12.75" customHeight="1" x14ac:dyDescent="0.3">
      <c r="A827" s="175"/>
      <c r="B827" s="13"/>
      <c r="C827" s="990"/>
      <c r="D827" s="1288"/>
      <c r="E827" s="1288"/>
      <c r="F827" s="1288"/>
      <c r="G827" s="989"/>
      <c r="I827" s="491"/>
    </row>
    <row r="828" spans="1:9" ht="12.75" customHeight="1" x14ac:dyDescent="0.3">
      <c r="A828" s="13"/>
      <c r="B828" s="13"/>
      <c r="C828" s="990"/>
      <c r="D828" s="989"/>
      <c r="E828" s="3"/>
      <c r="F828" s="3"/>
      <c r="G828" s="989"/>
      <c r="I828" s="491"/>
    </row>
    <row r="829" spans="1:9" ht="12.75" customHeight="1" x14ac:dyDescent="0.3">
      <c r="A829" s="1284" t="s">
        <v>1764</v>
      </c>
      <c r="B829" s="1284"/>
      <c r="C829" s="1284"/>
      <c r="D829" s="1284"/>
      <c r="E829" s="1284"/>
      <c r="F829" s="1284"/>
      <c r="G829" s="1284"/>
      <c r="H829" s="1029"/>
      <c r="I829" s="1155"/>
    </row>
    <row r="830" spans="1:9" ht="12.75" customHeight="1" x14ac:dyDescent="0.3">
      <c r="A830" s="172"/>
      <c r="B830" s="172"/>
      <c r="C830" s="990"/>
      <c r="D830" s="989"/>
      <c r="E830" s="989"/>
      <c r="F830" s="989"/>
      <c r="G830" s="989"/>
      <c r="I830" s="491"/>
    </row>
    <row r="831" spans="1:9" ht="12.75" customHeight="1" x14ac:dyDescent="0.3">
      <c r="A831" s="175"/>
      <c r="B831" s="175"/>
      <c r="C831" s="355"/>
      <c r="D831" s="1304" t="s">
        <v>1804</v>
      </c>
      <c r="E831" s="1304"/>
      <c r="F831" s="1304"/>
      <c r="G831" s="3"/>
      <c r="I831" s="491"/>
    </row>
    <row r="832" spans="1:9" ht="14.25" customHeight="1" x14ac:dyDescent="0.3">
      <c r="A832" s="175"/>
      <c r="B832" s="175"/>
      <c r="C832" s="355"/>
      <c r="D832" s="1261" t="s">
        <v>1765</v>
      </c>
      <c r="E832" s="1261"/>
      <c r="F832" s="1261"/>
      <c r="G832" s="3"/>
      <c r="I832" s="491"/>
    </row>
    <row r="833" spans="1:9" ht="12.75" customHeight="1" x14ac:dyDescent="0.3">
      <c r="A833" s="175"/>
      <c r="B833" s="175"/>
      <c r="C833" s="355"/>
      <c r="D833" s="442"/>
      <c r="E833" s="442"/>
      <c r="F833" s="442"/>
      <c r="G833" s="3"/>
      <c r="I833" s="491"/>
    </row>
    <row r="834" spans="1:9" ht="12.75" customHeight="1" x14ac:dyDescent="0.3">
      <c r="A834" s="355"/>
      <c r="B834" s="486" t="s">
        <v>2771</v>
      </c>
      <c r="C834" s="990"/>
      <c r="D834" s="1261" t="s">
        <v>1766</v>
      </c>
      <c r="E834" s="1261"/>
      <c r="F834" s="1261"/>
      <c r="G834" s="3"/>
      <c r="I834" s="491" t="s">
        <v>1881</v>
      </c>
    </row>
    <row r="835" spans="1:9" ht="14.25" customHeight="1" x14ac:dyDescent="0.3">
      <c r="A835" s="13"/>
      <c r="B835" s="13"/>
      <c r="C835" s="990"/>
      <c r="E835" s="1037" t="s">
        <v>1897</v>
      </c>
      <c r="F835" s="1039"/>
      <c r="G835" s="3"/>
      <c r="I835" s="491"/>
    </row>
    <row r="836" spans="1:9" ht="12.75" customHeight="1" x14ac:dyDescent="0.3">
      <c r="A836" s="13"/>
      <c r="B836" s="13"/>
      <c r="C836" s="990"/>
      <c r="D836" s="992"/>
      <c r="E836" s="3"/>
      <c r="F836" s="3"/>
      <c r="G836" s="3"/>
      <c r="I836" s="491"/>
    </row>
    <row r="837" spans="1:9" ht="14.25" hidden="1" customHeight="1" x14ac:dyDescent="0.3">
      <c r="A837" s="13"/>
      <c r="B837" s="486" t="s">
        <v>307</v>
      </c>
      <c r="C837" s="990"/>
      <c r="D837" s="1305" t="s">
        <v>2078</v>
      </c>
      <c r="E837" s="1305"/>
      <c r="F837" s="1305"/>
      <c r="G837" s="3"/>
      <c r="I837" s="491"/>
    </row>
    <row r="838" spans="1:9" ht="12.75" hidden="1" customHeight="1" x14ac:dyDescent="0.3">
      <c r="A838" s="13"/>
      <c r="B838" s="13"/>
      <c r="C838" s="990"/>
      <c r="D838" s="1305"/>
      <c r="E838" s="1305"/>
      <c r="F838" s="1305"/>
      <c r="G838" s="3"/>
      <c r="I838" s="491"/>
    </row>
    <row r="839" spans="1:9" ht="12.75" hidden="1" customHeight="1" x14ac:dyDescent="0.3">
      <c r="A839" s="13"/>
      <c r="B839" s="13"/>
      <c r="C839" s="990"/>
      <c r="D839" s="1305"/>
      <c r="E839" s="1305"/>
      <c r="F839" s="1305"/>
      <c r="G839" s="3"/>
      <c r="I839" s="491"/>
    </row>
    <row r="840" spans="1:9" ht="12.75" hidden="1" customHeight="1" x14ac:dyDescent="0.3">
      <c r="A840" s="13"/>
      <c r="B840" s="13"/>
      <c r="C840" s="990"/>
      <c r="D840" s="1305"/>
      <c r="E840" s="1305"/>
      <c r="F840" s="1305"/>
      <c r="G840" s="3"/>
      <c r="I840" s="491"/>
    </row>
    <row r="841" spans="1:9" ht="12.75" hidden="1" customHeight="1" x14ac:dyDescent="0.3">
      <c r="A841" s="13"/>
      <c r="B841" s="13"/>
      <c r="C841" s="990"/>
      <c r="D841" s="1305"/>
      <c r="E841" s="1305"/>
      <c r="F841" s="1305"/>
      <c r="G841" s="3"/>
      <c r="I841" s="491"/>
    </row>
    <row r="842" spans="1:9" ht="12.75" hidden="1" customHeight="1" x14ac:dyDescent="0.3">
      <c r="A842" s="13"/>
      <c r="B842" s="13"/>
      <c r="C842" s="990"/>
      <c r="D842" s="1305"/>
      <c r="E842" s="1305"/>
      <c r="F842" s="1305"/>
      <c r="G842" s="3"/>
      <c r="I842" s="491"/>
    </row>
    <row r="843" spans="1:9" ht="12.75" hidden="1" customHeight="1" x14ac:dyDescent="0.3">
      <c r="A843" s="13"/>
      <c r="B843" s="13"/>
      <c r="C843" s="990"/>
      <c r="D843" s="1305"/>
      <c r="E843" s="1305"/>
      <c r="F843" s="1305"/>
      <c r="G843" s="3"/>
      <c r="I843" s="491"/>
    </row>
    <row r="844" spans="1:9" ht="12.75" hidden="1" customHeight="1" x14ac:dyDescent="0.3">
      <c r="A844" s="13"/>
      <c r="B844" s="13"/>
      <c r="C844" s="990"/>
      <c r="D844" s="1305"/>
      <c r="E844" s="1305"/>
      <c r="F844" s="1305"/>
      <c r="G844" s="3"/>
      <c r="I844" s="491"/>
    </row>
    <row r="845" spans="1:9" ht="12.75" hidden="1" customHeight="1" x14ac:dyDescent="0.3">
      <c r="A845" s="13"/>
      <c r="B845" s="13"/>
      <c r="C845" s="990"/>
      <c r="D845" s="1305"/>
      <c r="E845" s="1305"/>
      <c r="F845" s="1305"/>
      <c r="G845" s="3"/>
      <c r="I845" s="491"/>
    </row>
    <row r="846" spans="1:9" ht="12.75" hidden="1" customHeight="1" x14ac:dyDescent="0.3">
      <c r="A846" s="13"/>
      <c r="B846" s="13"/>
      <c r="C846" s="990"/>
      <c r="D846" s="1305"/>
      <c r="E846" s="1305"/>
      <c r="F846" s="1305"/>
      <c r="G846" s="3"/>
      <c r="I846" s="491"/>
    </row>
    <row r="847" spans="1:9" ht="12.75" hidden="1" customHeight="1" x14ac:dyDescent="0.3">
      <c r="A847" s="13"/>
      <c r="B847" s="13"/>
      <c r="C847" s="990"/>
      <c r="D847" s="992"/>
      <c r="E847" s="3"/>
      <c r="F847" s="3"/>
      <c r="G847" s="3"/>
      <c r="I847" s="491"/>
    </row>
    <row r="848" spans="1:9" ht="12.75" customHeight="1" x14ac:dyDescent="0.3">
      <c r="A848" s="175"/>
      <c r="B848" s="486" t="s">
        <v>2771</v>
      </c>
      <c r="C848" s="990"/>
      <c r="D848" s="1261" t="s">
        <v>1767</v>
      </c>
      <c r="E848" s="1261"/>
      <c r="F848" s="1261"/>
      <c r="G848" s="3"/>
      <c r="I848" s="491" t="s">
        <v>1884</v>
      </c>
    </row>
    <row r="849" spans="1:9" ht="12.75" customHeight="1" x14ac:dyDescent="0.3">
      <c r="A849" s="175"/>
      <c r="B849" s="175"/>
      <c r="C849" s="990"/>
      <c r="D849" s="1261"/>
      <c r="E849" s="1261"/>
      <c r="F849" s="1261"/>
      <c r="G849" s="3"/>
      <c r="I849" s="491"/>
    </row>
    <row r="850" spans="1:9" ht="12.75" customHeight="1" x14ac:dyDescent="0.3">
      <c r="A850" s="175"/>
      <c r="B850" s="175"/>
      <c r="C850" s="990"/>
      <c r="D850" s="1261"/>
      <c r="E850" s="1261"/>
      <c r="F850" s="1261"/>
      <c r="G850" s="3"/>
      <c r="I850" s="491"/>
    </row>
    <row r="851" spans="1:9" ht="12.75" customHeight="1" x14ac:dyDescent="0.3">
      <c r="A851" s="175"/>
      <c r="B851" s="175"/>
      <c r="C851" s="990"/>
      <c r="D851" s="118"/>
      <c r="E851" s="3"/>
      <c r="F851" s="3"/>
      <c r="G851" s="3"/>
      <c r="I851" s="491"/>
    </row>
    <row r="852" spans="1:9" ht="12.75" customHeight="1" x14ac:dyDescent="0.3">
      <c r="A852" s="993"/>
      <c r="B852" s="486" t="s">
        <v>2612</v>
      </c>
      <c r="C852" s="990"/>
      <c r="D852" s="1304" t="s">
        <v>1768</v>
      </c>
      <c r="E852" s="1304"/>
      <c r="F852" s="1304"/>
      <c r="G852" s="3"/>
      <c r="I852" s="491"/>
    </row>
    <row r="853" spans="1:9" ht="12.75" customHeight="1" x14ac:dyDescent="0.3">
      <c r="A853" s="355"/>
      <c r="B853" s="993"/>
      <c r="C853" s="990"/>
      <c r="D853" s="1304"/>
      <c r="E853" s="1304"/>
      <c r="F853" s="1304"/>
      <c r="G853" s="3"/>
      <c r="I853" s="491"/>
    </row>
    <row r="854" spans="1:9" ht="12.75" customHeight="1" x14ac:dyDescent="0.3">
      <c r="A854" s="175"/>
      <c r="B854" s="355"/>
      <c r="C854" s="990"/>
      <c r="D854" s="1261" t="s">
        <v>2071</v>
      </c>
      <c r="E854" s="1261"/>
      <c r="F854" s="1261"/>
      <c r="G854" s="3"/>
      <c r="I854" s="491"/>
    </row>
    <row r="855" spans="1:9" ht="12.75" customHeight="1" x14ac:dyDescent="0.3">
      <c r="A855" s="175"/>
      <c r="B855" s="175"/>
      <c r="C855" s="990"/>
      <c r="D855" s="1261"/>
      <c r="E855" s="1261"/>
      <c r="F855" s="1261"/>
      <c r="G855" s="3"/>
      <c r="I855" s="491"/>
    </row>
    <row r="856" spans="1:9" ht="12.75" customHeight="1" x14ac:dyDescent="0.3">
      <c r="A856" s="175"/>
      <c r="B856" s="175"/>
      <c r="C856" s="990"/>
      <c r="D856" s="1261"/>
      <c r="E856" s="1261"/>
      <c r="F856" s="1261"/>
      <c r="G856" s="3"/>
      <c r="I856" s="491"/>
    </row>
    <row r="857" spans="1:9" ht="12.75" customHeight="1" x14ac:dyDescent="0.3">
      <c r="A857" s="175"/>
      <c r="B857" s="175"/>
      <c r="C857" s="990"/>
      <c r="D857" s="1261"/>
      <c r="E857" s="1261"/>
      <c r="F857" s="1261"/>
      <c r="G857" s="3"/>
      <c r="I857" s="491"/>
    </row>
    <row r="858" spans="1:9" ht="12.75" customHeight="1" x14ac:dyDescent="0.3">
      <c r="A858" s="175"/>
      <c r="B858" s="175"/>
      <c r="C858" s="990"/>
      <c r="D858" s="1261"/>
      <c r="E858" s="1261"/>
      <c r="F858" s="1261"/>
      <c r="G858" s="3"/>
      <c r="I858" s="491"/>
    </row>
    <row r="859" spans="1:9" ht="12.75" customHeight="1" x14ac:dyDescent="0.3">
      <c r="A859" s="175"/>
      <c r="B859" s="175"/>
      <c r="C859" s="990"/>
      <c r="D859" s="1261"/>
      <c r="E859" s="1261"/>
      <c r="F859" s="1261"/>
      <c r="G859" s="3"/>
      <c r="I859" s="491"/>
    </row>
    <row r="860" spans="1:9" ht="12.75" customHeight="1" x14ac:dyDescent="0.3">
      <c r="A860" s="175"/>
      <c r="B860" s="175"/>
      <c r="C860" s="990"/>
      <c r="D860" s="118"/>
      <c r="E860" s="3"/>
      <c r="F860" s="3"/>
      <c r="G860" s="3"/>
      <c r="I860" s="491"/>
    </row>
    <row r="861" spans="1:9" ht="12.75" customHeight="1" x14ac:dyDescent="0.3">
      <c r="A861" s="175"/>
      <c r="B861" s="486" t="s">
        <v>2612</v>
      </c>
      <c r="C861" s="990"/>
      <c r="D861" s="1261" t="s">
        <v>1769</v>
      </c>
      <c r="E861" s="1261"/>
      <c r="F861" s="1261"/>
      <c r="G861" s="3"/>
      <c r="I861" s="491" t="s">
        <v>1882</v>
      </c>
    </row>
    <row r="862" spans="1:9" ht="12.75" customHeight="1" x14ac:dyDescent="0.3">
      <c r="A862" s="175"/>
      <c r="B862" s="175"/>
      <c r="C862" s="990"/>
      <c r="D862" s="1261" t="s">
        <v>1770</v>
      </c>
      <c r="E862" s="1261"/>
      <c r="F862" s="1261"/>
      <c r="G862" s="3"/>
      <c r="I862" s="491"/>
    </row>
    <row r="863" spans="1:9" ht="12.75" customHeight="1" x14ac:dyDescent="0.3">
      <c r="A863" s="175"/>
      <c r="B863" s="175"/>
      <c r="C863" s="990"/>
      <c r="E863" s="1037" t="s">
        <v>1899</v>
      </c>
      <c r="F863" s="1039"/>
      <c r="G863" s="3"/>
      <c r="I863" s="491"/>
    </row>
    <row r="864" spans="1:9" ht="12.75" customHeight="1" x14ac:dyDescent="0.3">
      <c r="A864" s="175"/>
      <c r="B864" s="175"/>
      <c r="C864" s="990"/>
      <c r="D864" s="118"/>
      <c r="E864" s="3"/>
      <c r="F864" s="3"/>
      <c r="G864" s="3"/>
      <c r="I864" s="491"/>
    </row>
    <row r="865" spans="1:9" ht="12.75" customHeight="1" x14ac:dyDescent="0.3">
      <c r="A865" s="175"/>
      <c r="B865" s="486" t="s">
        <v>2612</v>
      </c>
      <c r="C865" s="990"/>
      <c r="D865" s="1261" t="s">
        <v>1771</v>
      </c>
      <c r="E865" s="1261"/>
      <c r="F865" s="1261"/>
      <c r="G865" s="3"/>
      <c r="I865" s="491" t="s">
        <v>1885</v>
      </c>
    </row>
    <row r="866" spans="1:9" ht="12.75" customHeight="1" x14ac:dyDescent="0.3">
      <c r="A866" s="175"/>
      <c r="B866" s="175"/>
      <c r="C866" s="990"/>
      <c r="D866" s="1261"/>
      <c r="E866" s="1261"/>
      <c r="F866" s="1261"/>
      <c r="G866" s="3"/>
      <c r="I866" s="491"/>
    </row>
    <row r="867" spans="1:9" ht="12.75" customHeight="1" x14ac:dyDescent="0.3">
      <c r="A867" s="175"/>
      <c r="B867" s="175"/>
      <c r="C867" s="990"/>
      <c r="D867" s="1261"/>
      <c r="E867" s="1261"/>
      <c r="F867" s="1261"/>
      <c r="G867" s="3"/>
      <c r="I867" s="491"/>
    </row>
    <row r="868" spans="1:9" ht="12.75" customHeight="1" x14ac:dyDescent="0.3">
      <c r="A868" s="175"/>
      <c r="B868" s="175"/>
      <c r="C868" s="990"/>
      <c r="D868" s="1261"/>
      <c r="E868" s="1261"/>
      <c r="F868" s="1261"/>
      <c r="G868" s="3"/>
      <c r="I868" s="491"/>
    </row>
    <row r="869" spans="1:9" ht="12.75" customHeight="1" x14ac:dyDescent="0.3">
      <c r="A869" s="172"/>
      <c r="B869" s="172"/>
      <c r="C869" s="172"/>
      <c r="D869" s="118"/>
      <c r="E869" s="3"/>
      <c r="F869" s="3"/>
      <c r="G869" s="3"/>
      <c r="I869" s="491"/>
    </row>
    <row r="870" spans="1:9" ht="12.75" customHeight="1" x14ac:dyDescent="0.3">
      <c r="A870" s="984" t="s">
        <v>1772</v>
      </c>
      <c r="B870" s="984"/>
      <c r="C870" s="994"/>
      <c r="D870" s="994"/>
      <c r="E870" s="994"/>
      <c r="F870" s="994"/>
      <c r="G870" s="994"/>
      <c r="H870" s="1029"/>
      <c r="I870" s="1155"/>
    </row>
    <row r="871" spans="1:9" ht="12.75" customHeight="1" x14ac:dyDescent="0.3">
      <c r="A871" s="172"/>
      <c r="B871" s="172"/>
      <c r="C871" s="172"/>
      <c r="D871" s="995"/>
      <c r="E871" s="3"/>
      <c r="F871" s="3"/>
      <c r="G871" s="3"/>
      <c r="I871" s="491"/>
    </row>
    <row r="872" spans="1:9" ht="12.75" customHeight="1" x14ac:dyDescent="0.3">
      <c r="A872" s="355"/>
      <c r="B872" s="355"/>
      <c r="C872" s="174"/>
      <c r="D872" s="1294" t="s">
        <v>1805</v>
      </c>
      <c r="E872" s="1294"/>
      <c r="F872" s="1294"/>
      <c r="G872" s="989"/>
      <c r="I872" s="491"/>
    </row>
    <row r="873" spans="1:9" ht="12.75" customHeight="1" x14ac:dyDescent="0.3">
      <c r="A873" s="355"/>
      <c r="B873" s="355"/>
      <c r="C873" s="174"/>
      <c r="D873" s="1303" t="s">
        <v>1773</v>
      </c>
      <c r="E873" s="1303"/>
      <c r="F873" s="1303"/>
      <c r="G873" s="989"/>
      <c r="I873" s="491"/>
    </row>
    <row r="874" spans="1:9" ht="12.75" customHeight="1" x14ac:dyDescent="0.3">
      <c r="A874" s="355"/>
      <c r="B874" s="355"/>
      <c r="C874" s="174"/>
      <c r="D874" s="996"/>
      <c r="E874" s="996"/>
      <c r="F874" s="996"/>
      <c r="G874" s="989"/>
      <c r="I874" s="491"/>
    </row>
    <row r="875" spans="1:9" ht="12.75" customHeight="1" x14ac:dyDescent="0.3">
      <c r="A875" s="175"/>
      <c r="B875" s="486" t="s">
        <v>2771</v>
      </c>
      <c r="C875" s="355"/>
      <c r="D875" s="1287" t="s">
        <v>1774</v>
      </c>
      <c r="E875" s="1287"/>
      <c r="F875" s="1287"/>
      <c r="G875" s="989"/>
      <c r="I875" s="491" t="s">
        <v>1882</v>
      </c>
    </row>
    <row r="876" spans="1:9" ht="12.75" customHeight="1" x14ac:dyDescent="0.3">
      <c r="A876" s="355"/>
      <c r="B876" s="355"/>
      <c r="C876" s="355"/>
      <c r="D876" s="2" t="s">
        <v>1749</v>
      </c>
      <c r="E876" s="1037" t="s">
        <v>1899</v>
      </c>
      <c r="F876" s="1040"/>
      <c r="G876" s="989"/>
      <c r="I876" s="491"/>
    </row>
    <row r="877" spans="1:9" ht="12.75" customHeight="1" x14ac:dyDescent="0.3">
      <c r="A877" s="355"/>
      <c r="B877" s="355"/>
      <c r="C877" s="355"/>
      <c r="D877" s="118"/>
      <c r="E877" s="989"/>
      <c r="F877" s="989"/>
      <c r="G877" s="989"/>
      <c r="I877" s="491"/>
    </row>
    <row r="878" spans="1:9" ht="12.75" customHeight="1" x14ac:dyDescent="0.3">
      <c r="A878" s="175"/>
      <c r="B878" s="486" t="s">
        <v>2771</v>
      </c>
      <c r="C878" s="355"/>
      <c r="D878" s="1261" t="s">
        <v>1775</v>
      </c>
      <c r="E878" s="1310"/>
      <c r="F878" s="1310"/>
      <c r="G878" s="3"/>
      <c r="I878" s="491" t="s">
        <v>1885</v>
      </c>
    </row>
    <row r="879" spans="1:9" ht="12.75" customHeight="1" x14ac:dyDescent="0.3">
      <c r="A879" s="355"/>
      <c r="B879" s="355"/>
      <c r="C879" s="355"/>
      <c r="D879" s="1310"/>
      <c r="E879" s="1310"/>
      <c r="F879" s="1310"/>
      <c r="G879" s="3"/>
      <c r="I879" s="491"/>
    </row>
    <row r="880" spans="1:9" ht="12.75" customHeight="1" x14ac:dyDescent="0.3">
      <c r="A880" s="355"/>
      <c r="B880" s="355"/>
      <c r="C880" s="355"/>
      <c r="D880" s="118"/>
      <c r="E880" s="3"/>
      <c r="F880" s="3"/>
      <c r="G880" s="3"/>
      <c r="I880" s="491"/>
    </row>
    <row r="881" spans="1:9" ht="12.75" customHeight="1" x14ac:dyDescent="0.3">
      <c r="A881" s="355"/>
      <c r="B881" s="486" t="s">
        <v>2612</v>
      </c>
      <c r="C881" s="355"/>
      <c r="D881" s="1311" t="s">
        <v>1776</v>
      </c>
      <c r="E881" s="1311"/>
      <c r="F881" s="1311"/>
      <c r="G881" s="989"/>
      <c r="I881" s="491"/>
    </row>
    <row r="882" spans="1:9" ht="12.75" customHeight="1" x14ac:dyDescent="0.3">
      <c r="A882" s="355"/>
      <c r="B882" s="997"/>
      <c r="C882" s="355"/>
      <c r="D882" s="1311"/>
      <c r="E882" s="1311"/>
      <c r="F882" s="1311"/>
      <c r="G882" s="989"/>
      <c r="I882" s="491"/>
    </row>
    <row r="883" spans="1:9" ht="12.75" customHeight="1" x14ac:dyDescent="0.3">
      <c r="A883" s="175"/>
      <c r="B883"/>
      <c r="C883" s="355"/>
      <c r="D883" s="1261" t="s">
        <v>2071</v>
      </c>
      <c r="E883" s="1261"/>
      <c r="F883" s="1261"/>
      <c r="G883" s="989"/>
      <c r="I883" s="491"/>
    </row>
    <row r="884" spans="1:9" ht="12.75" customHeight="1" x14ac:dyDescent="0.3">
      <c r="A884" s="175"/>
      <c r="B884" s="175"/>
      <c r="C884" s="355"/>
      <c r="D884" s="1261"/>
      <c r="E884" s="1261"/>
      <c r="F884" s="1261"/>
      <c r="G884" s="989"/>
      <c r="I884" s="491"/>
    </row>
    <row r="885" spans="1:9" ht="12.75" customHeight="1" x14ac:dyDescent="0.3">
      <c r="A885" s="175"/>
      <c r="B885" s="175"/>
      <c r="C885" s="355"/>
      <c r="D885" s="1261"/>
      <c r="E885" s="1261"/>
      <c r="F885" s="1261"/>
      <c r="G885" s="989"/>
      <c r="I885" s="491"/>
    </row>
    <row r="886" spans="1:9" ht="12.75" customHeight="1" x14ac:dyDescent="0.3">
      <c r="A886" s="175"/>
      <c r="B886" s="175"/>
      <c r="C886" s="355"/>
      <c r="D886" s="1261"/>
      <c r="E886" s="1261"/>
      <c r="F886" s="1261"/>
      <c r="G886" s="989"/>
      <c r="I886" s="491"/>
    </row>
    <row r="887" spans="1:9" ht="12.75" customHeight="1" x14ac:dyDescent="0.3">
      <c r="A887" s="175"/>
      <c r="B887" s="175"/>
      <c r="C887" s="355"/>
      <c r="D887" s="1261"/>
      <c r="E887" s="1261"/>
      <c r="F887" s="1261"/>
      <c r="G887" s="989"/>
      <c r="I887" s="491"/>
    </row>
    <row r="888" spans="1:9" ht="12.75" customHeight="1" x14ac:dyDescent="0.3">
      <c r="A888" s="175"/>
      <c r="B888" s="175"/>
      <c r="C888" s="355"/>
      <c r="D888" s="1261"/>
      <c r="E888" s="1261"/>
      <c r="F888" s="1261"/>
      <c r="G888" s="989"/>
      <c r="I888" s="491"/>
    </row>
    <row r="889" spans="1:9" ht="12.75" customHeight="1" x14ac:dyDescent="0.3">
      <c r="A889" s="175"/>
      <c r="B889" s="175"/>
      <c r="C889" s="355"/>
      <c r="D889" s="118"/>
      <c r="E889" s="989"/>
      <c r="F889" s="989"/>
      <c r="G889" s="989"/>
      <c r="I889" s="491"/>
    </row>
    <row r="890" spans="1:9" ht="12.75" customHeight="1" x14ac:dyDescent="0.3">
      <c r="A890" s="175"/>
      <c r="B890" s="486" t="s">
        <v>2612</v>
      </c>
      <c r="C890" s="355"/>
      <c r="D890" s="1286" t="s">
        <v>1769</v>
      </c>
      <c r="E890" s="1286"/>
      <c r="F890" s="1286"/>
      <c r="G890" s="989"/>
      <c r="I890" s="491"/>
    </row>
    <row r="891" spans="1:9" ht="12.75" customHeight="1" x14ac:dyDescent="0.3">
      <c r="A891" s="175"/>
      <c r="B891" s="175"/>
      <c r="C891" s="355"/>
      <c r="D891" s="1286" t="s">
        <v>1770</v>
      </c>
      <c r="E891" s="1286"/>
      <c r="F891" s="1286"/>
      <c r="G891" s="989"/>
      <c r="I891" s="491"/>
    </row>
    <row r="892" spans="1:9" ht="12.75" customHeight="1" x14ac:dyDescent="0.3">
      <c r="A892" s="175"/>
      <c r="B892" s="175"/>
      <c r="C892" s="355"/>
      <c r="D892" s="2" t="s">
        <v>1271</v>
      </c>
      <c r="E892" s="1037" t="s">
        <v>1899</v>
      </c>
      <c r="F892" s="1041"/>
      <c r="G892" s="989"/>
      <c r="I892" s="491"/>
    </row>
    <row r="893" spans="1:9" ht="12.75" customHeight="1" x14ac:dyDescent="0.3">
      <c r="A893" s="175"/>
      <c r="B893" s="175"/>
      <c r="C893" s="355"/>
      <c r="D893" s="118"/>
      <c r="E893" s="989"/>
      <c r="F893" s="989"/>
      <c r="G893" s="989"/>
      <c r="I893" s="491"/>
    </row>
    <row r="894" spans="1:9" ht="12.75" customHeight="1" x14ac:dyDescent="0.3">
      <c r="A894" s="175"/>
      <c r="B894" s="486" t="s">
        <v>2612</v>
      </c>
      <c r="C894" s="355"/>
      <c r="D894" s="1261" t="s">
        <v>1771</v>
      </c>
      <c r="E894" s="1261"/>
      <c r="F894" s="1261"/>
      <c r="G894" s="989"/>
      <c r="I894" s="491"/>
    </row>
    <row r="895" spans="1:9" ht="12.75" customHeight="1" x14ac:dyDescent="0.3">
      <c r="A895" s="175"/>
      <c r="B895" s="175"/>
      <c r="C895" s="355"/>
      <c r="D895" s="1261"/>
      <c r="E895" s="1261"/>
      <c r="F895" s="1261"/>
      <c r="G895" s="989"/>
      <c r="I895" s="491"/>
    </row>
    <row r="896" spans="1:9" ht="12.75" customHeight="1" x14ac:dyDescent="0.3">
      <c r="A896" s="175"/>
      <c r="B896" s="175"/>
      <c r="C896" s="355"/>
      <c r="D896" s="1261"/>
      <c r="E896" s="1261"/>
      <c r="F896" s="1261"/>
      <c r="G896" s="989"/>
      <c r="I896" s="491"/>
    </row>
    <row r="897" spans="1:9" ht="12.75" customHeight="1" x14ac:dyDescent="0.3">
      <c r="A897" s="175"/>
      <c r="B897" s="175"/>
      <c r="C897" s="355"/>
      <c r="D897" s="1261"/>
      <c r="E897" s="1261"/>
      <c r="F897" s="1261"/>
      <c r="G897" s="989"/>
      <c r="I897" s="491"/>
    </row>
    <row r="898" spans="1:9" ht="12.75" customHeight="1" x14ac:dyDescent="0.3">
      <c r="A898" s="118"/>
      <c r="B898" s="118"/>
      <c r="C898" s="990"/>
      <c r="D898" s="989"/>
      <c r="E898" s="989"/>
      <c r="F898" s="989"/>
      <c r="G898" s="989"/>
      <c r="I898" s="491"/>
    </row>
    <row r="899" spans="1:9" ht="12.75" customHeight="1" x14ac:dyDescent="0.3">
      <c r="A899" s="1284" t="s">
        <v>1806</v>
      </c>
      <c r="B899" s="1284"/>
      <c r="C899" s="1284"/>
      <c r="D899" s="1284"/>
      <c r="E899" s="1284"/>
      <c r="F899" s="1284"/>
      <c r="G899" s="1284"/>
      <c r="H899" s="1029"/>
      <c r="I899" s="1155"/>
    </row>
    <row r="900" spans="1:9" ht="12.75" customHeight="1" x14ac:dyDescent="0.3">
      <c r="A900" s="57"/>
      <c r="B900" s="57"/>
      <c r="C900" s="57"/>
      <c r="D900" s="57"/>
      <c r="E900" s="57"/>
      <c r="F900" s="57"/>
      <c r="G900" s="57"/>
      <c r="I900" s="491"/>
    </row>
    <row r="901" spans="1:9" ht="12.75" customHeight="1" x14ac:dyDescent="0.3">
      <c r="A901" s="57"/>
      <c r="B901" s="57"/>
      <c r="C901" s="57"/>
      <c r="D901" s="1282" t="s">
        <v>1812</v>
      </c>
      <c r="E901" s="1282"/>
      <c r="F901" s="1282"/>
      <c r="G901" s="57"/>
      <c r="I901" s="491"/>
    </row>
    <row r="902" spans="1:9" ht="12.75" customHeight="1" x14ac:dyDescent="0.3">
      <c r="A902" s="57"/>
      <c r="B902" s="57"/>
      <c r="C902" s="57"/>
      <c r="D902" s="982"/>
      <c r="E902" s="982"/>
      <c r="F902" s="982"/>
      <c r="G902" s="57"/>
      <c r="I902" s="491"/>
    </row>
    <row r="903" spans="1:9" ht="12.75" customHeight="1" x14ac:dyDescent="0.3">
      <c r="A903" s="57"/>
      <c r="B903" s="486" t="s">
        <v>2771</v>
      </c>
      <c r="C903" s="57"/>
      <c r="D903" s="985" t="s">
        <v>1813</v>
      </c>
      <c r="E903" s="982"/>
      <c r="F903" s="982"/>
      <c r="G903" s="57"/>
      <c r="I903" s="491"/>
    </row>
    <row r="904" spans="1:9" ht="12.75" customHeight="1" x14ac:dyDescent="0.3">
      <c r="A904" s="57"/>
      <c r="B904" s="57"/>
      <c r="C904" s="57"/>
      <c r="D904" s="982"/>
      <c r="E904" s="982"/>
      <c r="F904" s="982"/>
      <c r="G904" s="57"/>
      <c r="I904" s="491"/>
    </row>
    <row r="905" spans="1:9" ht="12.75" customHeight="1" x14ac:dyDescent="0.3">
      <c r="A905" s="355"/>
      <c r="B905" s="355"/>
      <c r="C905" s="990"/>
      <c r="D905" s="1282" t="s">
        <v>1807</v>
      </c>
      <c r="E905" s="1282"/>
      <c r="F905" s="1282"/>
      <c r="G905" s="989"/>
      <c r="I905" s="491"/>
    </row>
    <row r="906" spans="1:9" ht="12.75" customHeight="1" x14ac:dyDescent="0.3">
      <c r="A906" s="172"/>
      <c r="B906" s="172"/>
      <c r="C906" s="172"/>
      <c r="D906" s="1287" t="s">
        <v>1777</v>
      </c>
      <c r="E906" s="1287"/>
      <c r="F906" s="1287"/>
      <c r="G906" s="989"/>
      <c r="I906" s="491"/>
    </row>
    <row r="907" spans="1:9" ht="12.75" customHeight="1" x14ac:dyDescent="0.3">
      <c r="A907" s="990"/>
      <c r="B907" s="990"/>
      <c r="C907" s="990"/>
      <c r="D907" s="2"/>
      <c r="E907" s="989"/>
      <c r="F907" s="989"/>
      <c r="G907" s="989"/>
      <c r="I907" s="491"/>
    </row>
    <row r="908" spans="1:9" ht="12.75" customHeight="1" x14ac:dyDescent="0.3">
      <c r="A908" s="175"/>
      <c r="B908" s="486" t="s">
        <v>2771</v>
      </c>
      <c r="C908" s="355"/>
      <c r="D908" s="1261" t="s">
        <v>1781</v>
      </c>
      <c r="E908" s="1261"/>
      <c r="F908" s="1261"/>
      <c r="G908" s="3"/>
      <c r="I908" s="491"/>
    </row>
    <row r="909" spans="1:9" ht="12.75" customHeight="1" x14ac:dyDescent="0.3">
      <c r="A909" s="355"/>
      <c r="B909" s="355"/>
      <c r="C909" s="355"/>
      <c r="D909" s="1261"/>
      <c r="E909" s="1261"/>
      <c r="F909" s="1261"/>
      <c r="G909" s="3"/>
      <c r="I909" s="491"/>
    </row>
    <row r="910" spans="1:9" ht="12.75" customHeight="1" x14ac:dyDescent="0.3">
      <c r="A910" s="172"/>
      <c r="B910" s="172"/>
      <c r="C910" s="172"/>
      <c r="D910" s="1261" t="s">
        <v>1780</v>
      </c>
      <c r="E910" s="1261"/>
      <c r="F910" s="1261"/>
      <c r="G910" s="989"/>
      <c r="I910" s="491"/>
    </row>
    <row r="911" spans="1:9" ht="12.75" customHeight="1" x14ac:dyDescent="0.3">
      <c r="A911" s="172"/>
      <c r="B911" s="172"/>
      <c r="C911" s="172"/>
      <c r="D911" s="1261"/>
      <c r="E911" s="1261"/>
      <c r="F911" s="1261"/>
      <c r="G911" s="989"/>
      <c r="I911" s="491"/>
    </row>
    <row r="912" spans="1:9" ht="12.75" customHeight="1" x14ac:dyDescent="0.3">
      <c r="A912" s="172"/>
      <c r="B912" s="172"/>
      <c r="C912" s="172"/>
      <c r="D912" s="3"/>
      <c r="E912" s="3"/>
      <c r="F912" s="989"/>
      <c r="G912" s="989"/>
      <c r="I912" s="491"/>
    </row>
    <row r="913" spans="1:9" ht="12.75" customHeight="1" x14ac:dyDescent="0.3">
      <c r="A913" s="175"/>
      <c r="B913" s="486" t="s">
        <v>2771</v>
      </c>
      <c r="C913" s="174"/>
      <c r="D913" s="1272" t="s">
        <v>1778</v>
      </c>
      <c r="E913" s="1272"/>
      <c r="F913" s="1272"/>
      <c r="G913" s="989"/>
      <c r="I913" s="491"/>
    </row>
    <row r="914" spans="1:9" ht="12.75" customHeight="1" x14ac:dyDescent="0.3">
      <c r="A914" s="175"/>
      <c r="B914" s="175"/>
      <c r="C914" s="174"/>
      <c r="D914" s="1272"/>
      <c r="E914" s="1272"/>
      <c r="F914" s="1272"/>
      <c r="G914" s="989"/>
      <c r="I914" s="491"/>
    </row>
    <row r="915" spans="1:9" ht="12.75" customHeight="1" x14ac:dyDescent="0.3">
      <c r="A915" s="175"/>
      <c r="B915" s="175"/>
      <c r="C915" s="174"/>
      <c r="D915" s="1272"/>
      <c r="E915" s="1272"/>
      <c r="F915" s="1272"/>
      <c r="G915" s="989"/>
      <c r="I915" s="491"/>
    </row>
    <row r="916" spans="1:9" ht="12.75" customHeight="1" x14ac:dyDescent="0.3">
      <c r="A916" s="175"/>
      <c r="B916" s="175"/>
      <c r="C916" s="174"/>
      <c r="D916" s="1272"/>
      <c r="E916" s="1272"/>
      <c r="F916" s="1272"/>
      <c r="G916" s="989"/>
      <c r="I916" s="491"/>
    </row>
    <row r="917" spans="1:9" ht="12.75" customHeight="1" x14ac:dyDescent="0.3">
      <c r="A917" s="175"/>
      <c r="B917" s="175"/>
      <c r="C917" s="174"/>
      <c r="D917" s="1272"/>
      <c r="E917" s="1272"/>
      <c r="F917" s="1272"/>
      <c r="G917" s="989"/>
      <c r="I917" s="491"/>
    </row>
    <row r="918" spans="1:9" ht="12.75" customHeight="1" x14ac:dyDescent="0.3">
      <c r="A918" s="174"/>
      <c r="B918" s="174"/>
      <c r="C918" s="174"/>
      <c r="D918" s="1272"/>
      <c r="E918" s="1272"/>
      <c r="F918" s="1272"/>
      <c r="G918" s="989"/>
      <c r="I918" s="491"/>
    </row>
    <row r="919" spans="1:9" ht="12.75" customHeight="1" x14ac:dyDescent="0.3">
      <c r="A919" s="174"/>
      <c r="B919" s="174"/>
      <c r="C919" s="174"/>
      <c r="D919" s="1272"/>
      <c r="E919" s="1272"/>
      <c r="F919" s="1272"/>
      <c r="G919" s="989"/>
      <c r="I919" s="491"/>
    </row>
    <row r="920" spans="1:9" ht="12.75" customHeight="1" x14ac:dyDescent="0.3">
      <c r="A920" s="174"/>
      <c r="B920" s="174"/>
      <c r="C920" s="174"/>
      <c r="D920" s="1272"/>
      <c r="E920" s="1272"/>
      <c r="F920" s="1272"/>
      <c r="G920" s="989"/>
      <c r="I920" s="491"/>
    </row>
    <row r="921" spans="1:9" ht="12.75" customHeight="1" x14ac:dyDescent="0.3">
      <c r="A921" s="174"/>
      <c r="B921" s="174"/>
      <c r="C921" s="174"/>
      <c r="D921" s="336"/>
      <c r="E921" s="336"/>
      <c r="F921" s="336"/>
      <c r="G921" s="989"/>
      <c r="I921" s="491"/>
    </row>
    <row r="922" spans="1:9" ht="12.75" customHeight="1" x14ac:dyDescent="0.3">
      <c r="A922" s="990"/>
      <c r="B922" s="486" t="s">
        <v>2612</v>
      </c>
      <c r="C922" s="990"/>
      <c r="D922" s="1261" t="s">
        <v>1782</v>
      </c>
      <c r="E922" s="1261"/>
      <c r="F922" s="1261"/>
      <c r="G922" s="989"/>
      <c r="I922" s="491"/>
    </row>
    <row r="923" spans="1:9" ht="12.75" customHeight="1" x14ac:dyDescent="0.3">
      <c r="A923" s="990"/>
      <c r="B923" s="990"/>
      <c r="C923" s="990"/>
      <c r="D923" s="1261"/>
      <c r="E923" s="1261"/>
      <c r="F923" s="1261"/>
      <c r="G923" s="989"/>
      <c r="I923" s="491"/>
    </row>
    <row r="924" spans="1:9" ht="12.75" customHeight="1" x14ac:dyDescent="0.3">
      <c r="A924" s="990"/>
      <c r="B924" s="990"/>
      <c r="C924" s="990"/>
      <c r="D924" s="989"/>
      <c r="E924" s="989"/>
      <c r="F924" s="989"/>
      <c r="G924" s="989"/>
      <c r="I924" s="491"/>
    </row>
    <row r="925" spans="1:9" ht="12.75" customHeight="1" x14ac:dyDescent="0.3">
      <c r="A925" s="990"/>
      <c r="B925" s="486" t="s">
        <v>2612</v>
      </c>
      <c r="C925" s="990"/>
      <c r="D925" s="1288" t="s">
        <v>1783</v>
      </c>
      <c r="E925" s="1288"/>
      <c r="F925" s="1288"/>
      <c r="G925" s="989"/>
      <c r="I925" s="491"/>
    </row>
    <row r="926" spans="1:9" ht="12.75" customHeight="1" x14ac:dyDescent="0.3">
      <c r="A926" s="990"/>
      <c r="B926" s="990"/>
      <c r="C926" s="990"/>
      <c r="D926" s="1288"/>
      <c r="E926" s="1288"/>
      <c r="F926" s="1288"/>
      <c r="G926" s="989"/>
      <c r="I926" s="491"/>
    </row>
    <row r="927" spans="1:9" ht="12.75" customHeight="1" x14ac:dyDescent="0.3">
      <c r="A927" s="990"/>
      <c r="B927" s="990"/>
      <c r="C927" s="990"/>
      <c r="D927" s="1288"/>
      <c r="E927" s="1288"/>
      <c r="F927" s="1288"/>
      <c r="G927" s="989"/>
      <c r="I927" s="491"/>
    </row>
    <row r="928" spans="1:9" ht="12.75" customHeight="1" x14ac:dyDescent="0.3">
      <c r="A928" s="990"/>
      <c r="B928" s="990"/>
      <c r="C928" s="990"/>
      <c r="D928" s="1288"/>
      <c r="E928" s="1288"/>
      <c r="F928" s="1288"/>
      <c r="G928" s="989"/>
      <c r="I928" s="491"/>
    </row>
    <row r="929" spans="1:9" ht="12.75" customHeight="1" x14ac:dyDescent="0.3">
      <c r="A929" s="990"/>
      <c r="B929" s="990"/>
      <c r="C929" s="990"/>
      <c r="D929" s="118"/>
      <c r="E929" s="989"/>
      <c r="F929" s="989"/>
      <c r="G929" s="989"/>
      <c r="I929" s="491"/>
    </row>
    <row r="930" spans="1:9" ht="12.75" customHeight="1" x14ac:dyDescent="0.3">
      <c r="A930" s="990"/>
      <c r="B930" s="486" t="s">
        <v>2612</v>
      </c>
      <c r="C930" s="990"/>
      <c r="D930" s="1287" t="s">
        <v>2072</v>
      </c>
      <c r="E930" s="1287"/>
      <c r="F930" s="1287"/>
      <c r="G930" s="989"/>
      <c r="I930" s="491"/>
    </row>
    <row r="931" spans="1:9" ht="12.75" customHeight="1" x14ac:dyDescent="0.3">
      <c r="A931" s="990"/>
      <c r="B931" s="990"/>
      <c r="C931" s="990"/>
      <c r="D931" s="118"/>
      <c r="E931" s="989"/>
      <c r="F931" s="989"/>
      <c r="G931" s="989"/>
      <c r="I931" s="491"/>
    </row>
    <row r="932" spans="1:9" ht="12.75" customHeight="1" x14ac:dyDescent="0.3">
      <c r="A932" s="990"/>
      <c r="B932" s="486" t="s">
        <v>2612</v>
      </c>
      <c r="C932" s="990"/>
      <c r="D932" s="1287" t="s">
        <v>2073</v>
      </c>
      <c r="E932" s="1287"/>
      <c r="F932" s="1287"/>
      <c r="G932" s="989"/>
      <c r="I932" s="491"/>
    </row>
    <row r="933" spans="1:9" ht="12.75" customHeight="1" x14ac:dyDescent="0.3">
      <c r="A933" s="174"/>
      <c r="B933" s="174"/>
      <c r="C933" s="174"/>
      <c r="D933" s="2"/>
      <c r="E933" s="3"/>
      <c r="F933" s="989"/>
      <c r="G933" s="989"/>
      <c r="I933" s="491"/>
    </row>
    <row r="934" spans="1:9" ht="12.75" customHeight="1" x14ac:dyDescent="0.3">
      <c r="A934" s="998"/>
      <c r="B934" s="486" t="s">
        <v>2612</v>
      </c>
      <c r="C934" s="999"/>
      <c r="D934" s="1272" t="s">
        <v>1779</v>
      </c>
      <c r="E934" s="1272"/>
      <c r="F934" s="1272"/>
      <c r="G934" s="1000"/>
      <c r="I934" s="491"/>
    </row>
    <row r="935" spans="1:9" ht="12.75" customHeight="1" x14ac:dyDescent="0.3">
      <c r="A935" s="998"/>
      <c r="B935" s="998"/>
      <c r="C935" s="999"/>
      <c r="D935" s="1272"/>
      <c r="E935" s="1272"/>
      <c r="F935" s="1272"/>
      <c r="G935" s="1000"/>
      <c r="I935" s="491"/>
    </row>
    <row r="936" spans="1:9" ht="12.75" customHeight="1" x14ac:dyDescent="0.3">
      <c r="A936" s="998"/>
      <c r="B936" s="998"/>
      <c r="C936" s="999"/>
      <c r="D936" s="1272"/>
      <c r="E936" s="1272"/>
      <c r="F936" s="1272"/>
      <c r="G936" s="1000"/>
      <c r="I936" s="491"/>
    </row>
    <row r="937" spans="1:9" ht="12.75" customHeight="1" x14ac:dyDescent="0.3">
      <c r="A937" s="998"/>
      <c r="B937" s="998"/>
      <c r="C937" s="999"/>
      <c r="D937" s="1272"/>
      <c r="E937" s="1272"/>
      <c r="F937" s="1272"/>
      <c r="G937" s="1000"/>
      <c r="I937" s="491"/>
    </row>
    <row r="938" spans="1:9" ht="12.75" customHeight="1" x14ac:dyDescent="0.3">
      <c r="A938" s="998"/>
      <c r="B938" s="998"/>
      <c r="C938" s="999"/>
      <c r="D938" s="1272"/>
      <c r="E938" s="1272"/>
      <c r="F938" s="1272"/>
      <c r="G938" s="1000"/>
      <c r="I938" s="491"/>
    </row>
    <row r="939" spans="1:9" ht="12.75" customHeight="1" x14ac:dyDescent="0.3">
      <c r="A939" s="998"/>
      <c r="B939" s="998"/>
      <c r="C939" s="999"/>
      <c r="D939" s="1272"/>
      <c r="E939" s="1272"/>
      <c r="F939" s="1272"/>
      <c r="G939" s="1000"/>
      <c r="I939" s="491"/>
    </row>
    <row r="940" spans="1:9" ht="12.75" customHeight="1" x14ac:dyDescent="0.3">
      <c r="A940" s="998"/>
      <c r="B940" s="998"/>
      <c r="C940" s="999"/>
      <c r="D940" s="1272"/>
      <c r="E940" s="1272"/>
      <c r="F940" s="1272"/>
      <c r="G940" s="1000"/>
      <c r="I940" s="491"/>
    </row>
    <row r="941" spans="1:9" ht="12.75" customHeight="1" x14ac:dyDescent="0.3">
      <c r="A941" s="998"/>
      <c r="B941" s="998"/>
      <c r="C941" s="999"/>
      <c r="D941" s="1272"/>
      <c r="E941" s="1272"/>
      <c r="F941" s="1272"/>
      <c r="G941" s="1000"/>
      <c r="I941" s="491"/>
    </row>
    <row r="942" spans="1:9" ht="12.75" customHeight="1" x14ac:dyDescent="0.3">
      <c r="A942" s="998"/>
      <c r="B942" s="998"/>
      <c r="C942" s="999"/>
      <c r="D942" s="1272"/>
      <c r="E942" s="1272"/>
      <c r="F942" s="1272"/>
      <c r="G942" s="1000"/>
      <c r="I942" s="491"/>
    </row>
    <row r="943" spans="1:9" ht="12.75" customHeight="1" x14ac:dyDescent="0.3">
      <c r="A943" s="174"/>
      <c r="B943" s="174"/>
      <c r="C943" s="174"/>
      <c r="D943" s="2"/>
      <c r="E943" s="3"/>
      <c r="F943" s="989"/>
      <c r="G943" s="989"/>
      <c r="I943" s="491"/>
    </row>
    <row r="944" spans="1:9" ht="12.75" customHeight="1" x14ac:dyDescent="0.3">
      <c r="A944" s="175"/>
      <c r="B944" s="486" t="s">
        <v>2771</v>
      </c>
      <c r="C944" s="174"/>
      <c r="D944" s="1296" t="s">
        <v>1888</v>
      </c>
      <c r="E944" s="1296"/>
      <c r="F944" s="1296"/>
      <c r="G944" s="989"/>
      <c r="I944" s="491"/>
    </row>
    <row r="945" spans="1:9" ht="12.75" customHeight="1" x14ac:dyDescent="0.3">
      <c r="A945" s="175"/>
      <c r="B945" s="175"/>
      <c r="C945" s="174"/>
      <c r="D945" s="1296"/>
      <c r="E945" s="1296"/>
      <c r="F945" s="1296"/>
      <c r="G945" s="989"/>
      <c r="I945" s="491"/>
    </row>
    <row r="946" spans="1:9" ht="12.75" customHeight="1" x14ac:dyDescent="0.3">
      <c r="A946" s="175"/>
      <c r="B946" s="175"/>
      <c r="C946" s="174"/>
      <c r="D946" s="1296"/>
      <c r="E946" s="1296"/>
      <c r="F946" s="1296"/>
      <c r="G946" s="989"/>
      <c r="I946" s="491"/>
    </row>
    <row r="947" spans="1:9" ht="12.75" customHeight="1" x14ac:dyDescent="0.3">
      <c r="A947" s="175"/>
      <c r="B947" s="175"/>
      <c r="C947" s="174"/>
      <c r="D947" s="1296"/>
      <c r="E947" s="1296"/>
      <c r="F947" s="1296"/>
      <c r="G947" s="989"/>
      <c r="I947" s="491"/>
    </row>
    <row r="948" spans="1:9" ht="12.75" customHeight="1" x14ac:dyDescent="0.3">
      <c r="A948" s="175"/>
      <c r="B948" s="175"/>
      <c r="C948" s="174"/>
      <c r="D948" s="1296"/>
      <c r="E948" s="1296"/>
      <c r="F948" s="1296"/>
      <c r="G948" s="989"/>
      <c r="I948" s="491"/>
    </row>
    <row r="949" spans="1:9" ht="12.75" customHeight="1" x14ac:dyDescent="0.3">
      <c r="A949" s="175"/>
      <c r="B949" s="175"/>
      <c r="C949" s="174"/>
      <c r="D949" s="1296"/>
      <c r="E949" s="1296"/>
      <c r="F949" s="1296"/>
      <c r="G949" s="989"/>
      <c r="I949" s="491"/>
    </row>
    <row r="950" spans="1:9" ht="12.75" customHeight="1" x14ac:dyDescent="0.3">
      <c r="A950" s="175"/>
      <c r="B950" s="175"/>
      <c r="C950" s="174"/>
      <c r="D950" s="1296"/>
      <c r="E950" s="1296"/>
      <c r="F950" s="1296"/>
      <c r="G950" s="989"/>
      <c r="I950" s="491"/>
    </row>
    <row r="951" spans="1:9" ht="12.75" customHeight="1" x14ac:dyDescent="0.3">
      <c r="A951" s="175"/>
      <c r="B951" s="175"/>
      <c r="C951" s="174"/>
      <c r="D951" s="1027"/>
      <c r="E951" s="1027"/>
      <c r="F951" s="1027"/>
      <c r="G951" s="989"/>
      <c r="I951" s="491"/>
    </row>
    <row r="952" spans="1:9" ht="12.75" customHeight="1" x14ac:dyDescent="0.3">
      <c r="A952" s="175"/>
      <c r="B952" s="486" t="s">
        <v>2771</v>
      </c>
      <c r="C952" s="174"/>
      <c r="D952" s="1271" t="s">
        <v>2140</v>
      </c>
      <c r="E952" s="1271"/>
      <c r="F952" s="1271"/>
      <c r="G952" s="989"/>
      <c r="I952" s="491"/>
    </row>
    <row r="953" spans="1:9" ht="12.75" customHeight="1" x14ac:dyDescent="0.3">
      <c r="A953" s="175"/>
      <c r="B953" s="175"/>
      <c r="C953" s="174"/>
      <c r="D953" s="1271"/>
      <c r="E953" s="1271"/>
      <c r="F953" s="1271"/>
      <c r="G953" s="989"/>
      <c r="I953" s="491"/>
    </row>
    <row r="954" spans="1:9" ht="12.75" customHeight="1" x14ac:dyDescent="0.3">
      <c r="A954" s="175"/>
      <c r="B954" s="175"/>
      <c r="C954" s="174"/>
      <c r="D954" s="1271"/>
      <c r="E954" s="1271"/>
      <c r="F954" s="1271"/>
      <c r="G954" s="989"/>
      <c r="I954" s="491"/>
    </row>
    <row r="955" spans="1:9" ht="12.75" customHeight="1" x14ac:dyDescent="0.3">
      <c r="A955" s="175"/>
      <c r="B955" s="175"/>
      <c r="C955" s="174"/>
      <c r="D955" s="1271"/>
      <c r="E955" s="1271"/>
      <c r="F955" s="1271"/>
      <c r="G955" s="989"/>
      <c r="I955" s="491"/>
    </row>
    <row r="956" spans="1:9" ht="12.75" customHeight="1" x14ac:dyDescent="0.3">
      <c r="A956" s="175"/>
      <c r="B956" s="175"/>
      <c r="C956" s="174"/>
      <c r="D956" s="1271"/>
      <c r="E956" s="1271"/>
      <c r="F956" s="1271"/>
      <c r="G956" s="989"/>
      <c r="I956" s="491"/>
    </row>
    <row r="957" spans="1:9" ht="12.75" customHeight="1" x14ac:dyDescent="0.3">
      <c r="A957" s="175"/>
      <c r="B957" s="175"/>
      <c r="C957" s="174"/>
      <c r="D957" s="1271"/>
      <c r="E957" s="1271"/>
      <c r="F957" s="1271"/>
      <c r="G957" s="989"/>
      <c r="I957" s="491"/>
    </row>
    <row r="958" spans="1:9" ht="12.75" customHeight="1" x14ac:dyDescent="0.3">
      <c r="A958" s="175"/>
      <c r="B958" s="175"/>
      <c r="C958" s="174"/>
      <c r="D958" s="1027"/>
      <c r="E958" s="1027"/>
      <c r="F958" s="1027"/>
      <c r="G958" s="989"/>
      <c r="I958" s="491"/>
    </row>
    <row r="959" spans="1:9" ht="12.75" customHeight="1" x14ac:dyDescent="0.3">
      <c r="A959" s="990"/>
      <c r="B959" s="486" t="s">
        <v>2612</v>
      </c>
      <c r="C959" s="990"/>
      <c r="D959" s="1288" t="s">
        <v>1784</v>
      </c>
      <c r="E959" s="1288"/>
      <c r="F959" s="1288"/>
      <c r="G959" s="989"/>
      <c r="I959" s="491"/>
    </row>
    <row r="960" spans="1:9" ht="12.75" customHeight="1" x14ac:dyDescent="0.3">
      <c r="A960" s="990"/>
      <c r="B960" s="990"/>
      <c r="C960" s="990"/>
      <c r="D960" s="1288"/>
      <c r="E960" s="1288"/>
      <c r="F960" s="1288"/>
      <c r="G960" s="989"/>
      <c r="I960" s="491"/>
    </row>
    <row r="961" spans="1:9" ht="12.75" customHeight="1" x14ac:dyDescent="0.3">
      <c r="A961" s="990"/>
      <c r="B961" s="990"/>
      <c r="C961" s="990"/>
      <c r="D961" s="1288"/>
      <c r="E961" s="1288"/>
      <c r="F961" s="1288"/>
      <c r="G961" s="989"/>
      <c r="I961" s="491"/>
    </row>
    <row r="962" spans="1:9" ht="12.75" customHeight="1" x14ac:dyDescent="0.3">
      <c r="A962" s="175"/>
      <c r="B962" s="175"/>
      <c r="C962" s="174"/>
      <c r="D962" s="1027"/>
      <c r="E962" s="1027"/>
      <c r="F962" s="1027"/>
      <c r="G962" s="989"/>
      <c r="I962" s="491"/>
    </row>
    <row r="963" spans="1:9" ht="12.75" customHeight="1" x14ac:dyDescent="0.3">
      <c r="A963" s="175"/>
      <c r="B963" s="175"/>
      <c r="C963" s="174"/>
      <c r="D963" s="845"/>
      <c r="E963" s="3"/>
      <c r="F963" s="989"/>
      <c r="G963" s="989"/>
      <c r="I963" s="491"/>
    </row>
    <row r="964" spans="1:9" ht="12.75" customHeight="1" x14ac:dyDescent="0.3">
      <c r="A964" s="175"/>
      <c r="B964" s="486" t="s">
        <v>2771</v>
      </c>
      <c r="C964" s="174"/>
      <c r="D964" s="1272" t="s">
        <v>1887</v>
      </c>
      <c r="E964" s="1272"/>
      <c r="F964" s="1272"/>
      <c r="G964" s="989"/>
      <c r="I964" s="491"/>
    </row>
    <row r="965" spans="1:9" ht="12.75" customHeight="1" x14ac:dyDescent="0.3">
      <c r="A965" s="175"/>
      <c r="B965" s="175"/>
      <c r="C965" s="174"/>
      <c r="D965" s="1272"/>
      <c r="E965" s="1272"/>
      <c r="F965" s="1272"/>
      <c r="G965" s="989"/>
      <c r="I965" s="491"/>
    </row>
    <row r="966" spans="1:9" ht="12.75" customHeight="1" x14ac:dyDescent="0.3">
      <c r="A966" s="175"/>
      <c r="B966" s="175"/>
      <c r="C966" s="174"/>
      <c r="D966" s="1272"/>
      <c r="E966" s="1272"/>
      <c r="F966" s="1272"/>
      <c r="G966" s="989"/>
      <c r="I966" s="491"/>
    </row>
    <row r="967" spans="1:9" ht="12.75" customHeight="1" x14ac:dyDescent="0.3">
      <c r="A967" s="175"/>
      <c r="B967" s="175"/>
      <c r="C967" s="174"/>
      <c r="D967" s="1272"/>
      <c r="E967" s="1272"/>
      <c r="F967" s="1272"/>
      <c r="G967" s="989"/>
      <c r="I967" s="491"/>
    </row>
    <row r="968" spans="1:9" ht="12.75" customHeight="1" x14ac:dyDescent="0.3">
      <c r="A968" s="990"/>
      <c r="B968" s="990"/>
      <c r="C968" s="990"/>
      <c r="D968" s="981"/>
      <c r="E968" s="981"/>
      <c r="F968" s="981"/>
      <c r="G968" s="981"/>
      <c r="I968" s="491"/>
    </row>
    <row r="969" spans="1:9" ht="12.75" customHeight="1" x14ac:dyDescent="0.3">
      <c r="A969" s="355"/>
      <c r="B969" s="355"/>
      <c r="C969" s="355"/>
      <c r="D969" s="1294" t="s">
        <v>1785</v>
      </c>
      <c r="E969" s="1294"/>
      <c r="F969" s="1294"/>
      <c r="G969" s="3"/>
      <c r="I969" s="491"/>
    </row>
    <row r="970" spans="1:9" ht="12.75" customHeight="1" x14ac:dyDescent="0.3">
      <c r="A970" s="175"/>
      <c r="B970" s="486" t="s">
        <v>2612</v>
      </c>
      <c r="C970" s="355"/>
      <c r="D970" s="1287" t="s">
        <v>1808</v>
      </c>
      <c r="E970" s="1287"/>
      <c r="F970" s="1287"/>
      <c r="G970" s="3"/>
      <c r="I970" s="491"/>
    </row>
    <row r="971" spans="1:9" ht="12.75" customHeight="1" x14ac:dyDescent="0.3">
      <c r="A971" s="355"/>
      <c r="B971" s="355"/>
      <c r="C971" s="355"/>
      <c r="D971" s="3"/>
      <c r="E971" s="3"/>
      <c r="F971" s="3"/>
      <c r="G971" s="3"/>
      <c r="I971" s="491"/>
    </row>
    <row r="972" spans="1:9" ht="12.75" customHeight="1" x14ac:dyDescent="0.3">
      <c r="A972" s="355"/>
      <c r="B972" s="355"/>
      <c r="C972" s="355"/>
      <c r="D972" s="1294" t="s">
        <v>1786</v>
      </c>
      <c r="E972" s="1294"/>
      <c r="F972" s="1294"/>
      <c r="G972"/>
      <c r="I972" s="491"/>
    </row>
    <row r="973" spans="1:9" ht="12.75" customHeight="1" x14ac:dyDescent="0.3">
      <c r="A973" s="175"/>
      <c r="B973" s="486" t="s">
        <v>2612</v>
      </c>
      <c r="C973" s="355"/>
      <c r="D973" s="1261" t="s">
        <v>2074</v>
      </c>
      <c r="E973" s="1261"/>
      <c r="F973" s="1261"/>
      <c r="G973"/>
      <c r="I973" s="491"/>
    </row>
    <row r="974" spans="1:9" ht="12.75" customHeight="1" x14ac:dyDescent="0.3">
      <c r="A974" s="175"/>
      <c r="B974" s="175"/>
      <c r="C974" s="355"/>
      <c r="D974" s="1261"/>
      <c r="E974" s="1261"/>
      <c r="F974" s="1261"/>
      <c r="G974"/>
      <c r="I974" s="491"/>
    </row>
    <row r="975" spans="1:9" ht="12.75" customHeight="1" x14ac:dyDescent="0.3">
      <c r="A975" s="175"/>
      <c r="B975" s="175"/>
      <c r="C975" s="355"/>
      <c r="D975" s="1261"/>
      <c r="E975" s="1261"/>
      <c r="F975" s="1261"/>
      <c r="G975"/>
      <c r="I975" s="491"/>
    </row>
    <row r="976" spans="1:9" ht="12.75" customHeight="1" x14ac:dyDescent="0.3">
      <c r="A976" s="175"/>
      <c r="B976" s="175"/>
      <c r="C976" s="355"/>
      <c r="D976" s="1261"/>
      <c r="E976" s="1261"/>
      <c r="F976" s="1261"/>
      <c r="G976"/>
      <c r="I976" s="491"/>
    </row>
    <row r="977" spans="1:9" ht="12.75" customHeight="1" x14ac:dyDescent="0.3">
      <c r="A977" s="175"/>
      <c r="B977" s="175"/>
      <c r="C977" s="355"/>
      <c r="D977" s="1261"/>
      <c r="E977" s="1261"/>
      <c r="F977" s="1261"/>
      <c r="G977"/>
      <c r="I977" s="491"/>
    </row>
    <row r="978" spans="1:9" ht="12.75" customHeight="1" x14ac:dyDescent="0.3">
      <c r="A978" s="175"/>
      <c r="B978" s="175"/>
      <c r="C978" s="355"/>
      <c r="D978" s="1261"/>
      <c r="E978" s="1261"/>
      <c r="F978" s="1261"/>
      <c r="G978"/>
      <c r="I978" s="491"/>
    </row>
    <row r="979" spans="1:9" ht="12.75" customHeight="1" x14ac:dyDescent="0.3">
      <c r="A979" s="175"/>
      <c r="B979" s="175"/>
      <c r="C979" s="355"/>
      <c r="D979" s="1261"/>
      <c r="E979" s="1261"/>
      <c r="F979" s="1261"/>
      <c r="G979"/>
      <c r="I979" s="491"/>
    </row>
    <row r="980" spans="1:9" ht="12.75" customHeight="1" x14ac:dyDescent="0.3">
      <c r="A980" s="175"/>
      <c r="B980" s="175"/>
      <c r="C980" s="355"/>
      <c r="D980" s="1261"/>
      <c r="E980" s="1261"/>
      <c r="F980" s="1261"/>
      <c r="G980"/>
      <c r="I980" s="491"/>
    </row>
    <row r="981" spans="1:9" ht="12.75" customHeight="1" x14ac:dyDescent="0.3">
      <c r="A981" s="175"/>
      <c r="B981" s="175"/>
      <c r="C981" s="355"/>
      <c r="D981" s="1261"/>
      <c r="E981" s="1261"/>
      <c r="F981" s="1261"/>
      <c r="G981"/>
      <c r="I981" s="491"/>
    </row>
    <row r="982" spans="1:9" ht="12.75" customHeight="1" x14ac:dyDescent="0.3">
      <c r="A982" s="175"/>
      <c r="B982" s="175"/>
      <c r="C982" s="355"/>
      <c r="D982" s="1261"/>
      <c r="E982" s="1261"/>
      <c r="F982" s="1261"/>
      <c r="G982"/>
      <c r="I982" s="491"/>
    </row>
    <row r="983" spans="1:9" ht="12.75" customHeight="1" x14ac:dyDescent="0.3">
      <c r="A983" s="175"/>
      <c r="B983" s="175"/>
      <c r="C983" s="355"/>
      <c r="D983" s="1261"/>
      <c r="E983" s="1261"/>
      <c r="F983" s="1261"/>
      <c r="G983"/>
      <c r="I983" s="491"/>
    </row>
    <row r="984" spans="1:9" ht="12.75" customHeight="1" x14ac:dyDescent="0.3">
      <c r="A984" s="175"/>
      <c r="B984" s="175"/>
      <c r="C984" s="355"/>
      <c r="D984" s="1261"/>
      <c r="E984" s="1261"/>
      <c r="F984" s="1261"/>
      <c r="G984"/>
      <c r="I984" s="491"/>
    </row>
    <row r="985" spans="1:9" ht="12.75" customHeight="1" x14ac:dyDescent="0.3">
      <c r="A985" s="175"/>
      <c r="B985" s="175"/>
      <c r="C985" s="355"/>
      <c r="D985" s="1261"/>
      <c r="E985" s="1261"/>
      <c r="F985" s="1261"/>
      <c r="G985"/>
      <c r="I985" s="491"/>
    </row>
    <row r="986" spans="1:9" ht="12.75" customHeight="1" x14ac:dyDescent="0.3">
      <c r="A986" s="175"/>
      <c r="B986" s="175"/>
      <c r="C986" s="355"/>
      <c r="D986" s="1261"/>
      <c r="E986" s="1261"/>
      <c r="F986" s="1261"/>
      <c r="G986"/>
      <c r="I986" s="491"/>
    </row>
    <row r="987" spans="1:9" ht="12.75" customHeight="1" x14ac:dyDescent="0.3">
      <c r="A987" s="175"/>
      <c r="B987" s="175"/>
      <c r="C987" s="355"/>
      <c r="D987" s="1261"/>
      <c r="E987" s="1261"/>
      <c r="F987" s="1261"/>
      <c r="G987" s="3"/>
      <c r="I987" s="491"/>
    </row>
    <row r="988" spans="1:9" ht="12.75" customHeight="1" x14ac:dyDescent="0.3">
      <c r="A988" s="355"/>
      <c r="B988" s="355"/>
      <c r="C988" s="355"/>
      <c r="D988" s="3"/>
      <c r="E988" s="3"/>
      <c r="F988" s="3"/>
      <c r="G988" s="3"/>
      <c r="I988" s="491"/>
    </row>
    <row r="989" spans="1:9" ht="12.75" customHeight="1" x14ac:dyDescent="0.3">
      <c r="A989" s="1284" t="s">
        <v>1787</v>
      </c>
      <c r="B989" s="1284"/>
      <c r="C989" s="1284"/>
      <c r="D989" s="1284"/>
      <c r="E989" s="1284"/>
      <c r="F989" s="1284"/>
      <c r="G989" s="1284"/>
      <c r="H989" s="1029"/>
      <c r="I989" s="1155"/>
    </row>
    <row r="990" spans="1:9" ht="12.75" customHeight="1" x14ac:dyDescent="0.3">
      <c r="A990" s="118"/>
      <c r="B990" s="118"/>
      <c r="C990" s="355"/>
      <c r="D990" s="3"/>
      <c r="E990" s="3"/>
      <c r="F990" s="3"/>
      <c r="G990" s="3"/>
      <c r="I990" s="491"/>
    </row>
    <row r="991" spans="1:9" ht="12.75" customHeight="1" x14ac:dyDescent="0.3">
      <c r="A991" s="355"/>
      <c r="B991" s="355"/>
      <c r="C991" s="990"/>
      <c r="D991" s="1294" t="s">
        <v>1809</v>
      </c>
      <c r="E991" s="1294"/>
      <c r="F991" s="1294"/>
      <c r="G991" s="3"/>
      <c r="I991" s="491"/>
    </row>
    <row r="992" spans="1:9" ht="12.75" customHeight="1" x14ac:dyDescent="0.3">
      <c r="A992" s="172"/>
      <c r="B992" s="172"/>
      <c r="C992" s="172"/>
      <c r="D992" s="1287" t="s">
        <v>1788</v>
      </c>
      <c r="E992" s="1287"/>
      <c r="F992" s="1287"/>
      <c r="G992" s="3"/>
      <c r="I992" s="491"/>
    </row>
    <row r="993" spans="1:9" ht="12.75" customHeight="1" x14ac:dyDescent="0.3">
      <c r="A993" s="172"/>
      <c r="B993" s="172"/>
      <c r="C993" s="172"/>
      <c r="D993" s="3"/>
      <c r="E993" s="3"/>
      <c r="F993" s="989"/>
      <c r="G993"/>
      <c r="I993" s="491"/>
    </row>
    <row r="994" spans="1:9" ht="12.75" customHeight="1" x14ac:dyDescent="0.3">
      <c r="A994" s="355"/>
      <c r="B994" s="486" t="s">
        <v>2771</v>
      </c>
      <c r="C994" s="355"/>
      <c r="D994" s="1295" t="s">
        <v>1917</v>
      </c>
      <c r="E994" s="1295"/>
      <c r="F994" s="1295"/>
      <c r="G994"/>
      <c r="I994" s="491"/>
    </row>
    <row r="995" spans="1:9" ht="12.75" customHeight="1" x14ac:dyDescent="0.3">
      <c r="A995" s="355"/>
      <c r="B995" s="355"/>
      <c r="C995" s="355"/>
      <c r="D995" s="1295"/>
      <c r="E995" s="1295"/>
      <c r="F995" s="1295"/>
      <c r="G995"/>
      <c r="I995" s="491"/>
    </row>
    <row r="996" spans="1:9" ht="12.75" customHeight="1" x14ac:dyDescent="0.3">
      <c r="A996" s="355"/>
      <c r="B996" s="355"/>
      <c r="C996" s="355"/>
      <c r="D996" s="1039"/>
      <c r="E996" s="1037" t="s">
        <v>1918</v>
      </c>
      <c r="F996" s="1039"/>
      <c r="G996"/>
      <c r="I996" s="491"/>
    </row>
    <row r="997" spans="1:9" ht="12.75" customHeight="1" x14ac:dyDescent="0.3">
      <c r="A997" s="355"/>
      <c r="B997" s="355"/>
      <c r="C997" s="355"/>
      <c r="D997" s="1266" t="s">
        <v>1916</v>
      </c>
      <c r="E997" s="1266"/>
      <c r="F997" s="1266"/>
      <c r="G997"/>
      <c r="I997" s="491"/>
    </row>
    <row r="998" spans="1:9" ht="12.75" customHeight="1" x14ac:dyDescent="0.3">
      <c r="A998" s="355"/>
      <c r="B998" s="355"/>
      <c r="C998" s="355"/>
      <c r="D998" s="1266"/>
      <c r="E998" s="1266"/>
      <c r="F998" s="1266"/>
      <c r="G998"/>
      <c r="I998" s="491"/>
    </row>
    <row r="999" spans="1:9" ht="12.75" customHeight="1" x14ac:dyDescent="0.3">
      <c r="A999" s="174"/>
      <c r="B999" s="174"/>
      <c r="C999" s="174"/>
      <c r="D999" s="1266"/>
      <c r="E999" s="1266"/>
      <c r="F999" s="1266"/>
      <c r="G999"/>
      <c r="I999" s="491"/>
    </row>
    <row r="1000" spans="1:9" ht="12.75" customHeight="1" x14ac:dyDescent="0.3">
      <c r="A1000" s="174"/>
      <c r="B1000" s="174"/>
      <c r="C1000" s="174"/>
      <c r="D1000" s="1266"/>
      <c r="E1000" s="1266"/>
      <c r="F1000" s="1266"/>
      <c r="G1000"/>
      <c r="I1000" s="491"/>
    </row>
    <row r="1001" spans="1:9" ht="12.75" customHeight="1" x14ac:dyDescent="0.3">
      <c r="A1001" s="174"/>
      <c r="B1001" s="174"/>
      <c r="C1001" s="174"/>
      <c r="D1001" s="336"/>
      <c r="E1001" s="336"/>
      <c r="F1001" s="336"/>
      <c r="G1001"/>
      <c r="I1001" s="491"/>
    </row>
    <row r="1002" spans="1:9" ht="12.75" customHeight="1" x14ac:dyDescent="0.3">
      <c r="A1002" s="174"/>
      <c r="B1002" s="486" t="s">
        <v>2612</v>
      </c>
      <c r="C1002" s="174"/>
      <c r="D1002" s="1261" t="s">
        <v>1789</v>
      </c>
      <c r="E1002" s="1261"/>
      <c r="F1002" s="1261"/>
      <c r="G1002"/>
      <c r="I1002" s="491"/>
    </row>
    <row r="1003" spans="1:9" ht="12.75" customHeight="1" x14ac:dyDescent="0.3">
      <c r="A1003" s="174"/>
      <c r="B1003" s="174"/>
      <c r="C1003" s="174"/>
      <c r="D1003" s="1261"/>
      <c r="E1003" s="1261"/>
      <c r="F1003" s="1261"/>
      <c r="G1003"/>
      <c r="I1003" s="491"/>
    </row>
    <row r="1004" spans="1:9" ht="12.75" customHeight="1" x14ac:dyDescent="0.3">
      <c r="A1004" s="174"/>
      <c r="B1004" s="174"/>
      <c r="C1004" s="174"/>
      <c r="D1004" s="1261"/>
      <c r="E1004" s="1261"/>
      <c r="F1004" s="1261"/>
      <c r="G1004"/>
      <c r="I1004" s="491"/>
    </row>
    <row r="1005" spans="1:9" ht="12.75" customHeight="1" x14ac:dyDescent="0.3">
      <c r="A1005" s="174"/>
      <c r="B1005" s="174"/>
      <c r="C1005" s="174"/>
      <c r="D1005" s="1261"/>
      <c r="E1005" s="1261"/>
      <c r="F1005" s="1261"/>
      <c r="G1005"/>
      <c r="I1005" s="491"/>
    </row>
    <row r="1006" spans="1:9" ht="12.75" customHeight="1" x14ac:dyDescent="0.3">
      <c r="A1006" s="174"/>
      <c r="B1006" s="174"/>
      <c r="C1006" s="174"/>
      <c r="D1006" s="442"/>
      <c r="E1006" s="442"/>
      <c r="F1006" s="442"/>
      <c r="G1006"/>
      <c r="I1006" s="491"/>
    </row>
    <row r="1007" spans="1:9" ht="12.75" customHeight="1" x14ac:dyDescent="0.3">
      <c r="A1007" s="174"/>
      <c r="B1007" s="486" t="s">
        <v>2612</v>
      </c>
      <c r="C1007" s="174"/>
      <c r="D1007" s="1261" t="s">
        <v>2234</v>
      </c>
      <c r="E1007" s="1261"/>
      <c r="F1007" s="1261"/>
      <c r="G1007"/>
      <c r="I1007" s="491"/>
    </row>
    <row r="1008" spans="1:9" ht="12.75" customHeight="1" x14ac:dyDescent="0.3">
      <c r="A1008" s="174"/>
      <c r="B1008" s="174"/>
      <c r="C1008" s="174"/>
      <c r="D1008" s="1261"/>
      <c r="E1008" s="1261"/>
      <c r="F1008" s="1261"/>
      <c r="G1008"/>
      <c r="I1008" s="491"/>
    </row>
    <row r="1009" spans="1:9" ht="12.75" customHeight="1" x14ac:dyDescent="0.3">
      <c r="A1009" s="174"/>
      <c r="B1009" s="174"/>
      <c r="C1009" s="174"/>
      <c r="D1009" s="442"/>
      <c r="E1009" s="442"/>
      <c r="F1009" s="442"/>
      <c r="G1009"/>
      <c r="I1009" s="491"/>
    </row>
    <row r="1010" spans="1:9" ht="12.75" customHeight="1" x14ac:dyDescent="0.3">
      <c r="A1010" s="175"/>
      <c r="B1010" s="486" t="s">
        <v>2771</v>
      </c>
      <c r="C1010" s="355"/>
      <c r="D1010" s="1287" t="s">
        <v>1790</v>
      </c>
      <c r="E1010" s="1287"/>
      <c r="F1010" s="1287"/>
      <c r="G1010"/>
      <c r="I1010" s="491"/>
    </row>
    <row r="1011" spans="1:9" ht="12.75" customHeight="1" x14ac:dyDescent="0.3">
      <c r="A1011" s="355"/>
      <c r="B1011" s="355"/>
      <c r="C1011" s="355"/>
      <c r="D1011" s="3"/>
      <c r="E1011" s="3"/>
      <c r="F1011" s="3"/>
      <c r="G1011"/>
      <c r="I1011" s="491"/>
    </row>
    <row r="1012" spans="1:9" ht="12.75" customHeight="1" x14ac:dyDescent="0.3">
      <c r="A1012" s="175"/>
      <c r="B1012" s="486" t="s">
        <v>2612</v>
      </c>
      <c r="C1012" s="355"/>
      <c r="D1012" s="1287" t="s">
        <v>1791</v>
      </c>
      <c r="E1012" s="1287"/>
      <c r="F1012" s="1287"/>
      <c r="G1012"/>
      <c r="I1012" s="491"/>
    </row>
    <row r="1013" spans="1:9" ht="12.75" customHeight="1" x14ac:dyDescent="0.3">
      <c r="A1013" s="355"/>
      <c r="B1013" s="355"/>
      <c r="C1013" s="355"/>
      <c r="D1013" s="118"/>
      <c r="E1013" s="3"/>
      <c r="F1013" s="3"/>
      <c r="G1013"/>
      <c r="I1013" s="491"/>
    </row>
    <row r="1014" spans="1:9" ht="12.75" customHeight="1" x14ac:dyDescent="0.3">
      <c r="A1014" s="175"/>
      <c r="B1014" s="486" t="s">
        <v>2771</v>
      </c>
      <c r="C1014" s="355"/>
      <c r="D1014" s="1287" t="s">
        <v>1792</v>
      </c>
      <c r="E1014" s="1287"/>
      <c r="F1014" s="1287"/>
      <c r="G1014"/>
      <c r="I1014" s="491"/>
    </row>
    <row r="1015" spans="1:9" ht="12.75" customHeight="1" x14ac:dyDescent="0.3">
      <c r="A1015" s="355"/>
      <c r="B1015" s="355"/>
      <c r="C1015" s="355"/>
      <c r="D1015" s="118"/>
      <c r="E1015" s="3"/>
      <c r="F1015" s="3"/>
      <c r="G1015"/>
      <c r="I1015" s="491"/>
    </row>
    <row r="1016" spans="1:9" ht="12.75" customHeight="1" x14ac:dyDescent="0.3">
      <c r="A1016" s="175"/>
      <c r="B1016" s="486" t="s">
        <v>2612</v>
      </c>
      <c r="C1016" s="355"/>
      <c r="D1016" s="1261" t="s">
        <v>1793</v>
      </c>
      <c r="E1016" s="1261"/>
      <c r="F1016" s="1261"/>
      <c r="G1016"/>
      <c r="I1016" s="491"/>
    </row>
    <row r="1017" spans="1:9" ht="12.75" customHeight="1" x14ac:dyDescent="0.3">
      <c r="A1017" s="175"/>
      <c r="B1017" s="175"/>
      <c r="C1017" s="355"/>
      <c r="D1017" s="1261"/>
      <c r="E1017" s="1261"/>
      <c r="F1017" s="1261"/>
      <c r="G1017"/>
      <c r="I1017" s="491"/>
    </row>
    <row r="1018" spans="1:9" ht="12.75" customHeight="1" x14ac:dyDescent="0.3">
      <c r="A1018" s="175"/>
      <c r="B1018" s="175"/>
      <c r="C1018" s="355"/>
      <c r="D1018" s="118"/>
      <c r="E1018" s="3"/>
      <c r="F1018" s="3"/>
      <c r="G1018" s="3"/>
      <c r="I1018" s="491"/>
    </row>
    <row r="1019" spans="1:9" ht="12.75" customHeight="1" x14ac:dyDescent="0.3">
      <c r="A1019" s="255"/>
      <c r="B1019" s="486" t="s">
        <v>2612</v>
      </c>
      <c r="C1019" s="1001"/>
      <c r="D1019" s="1293" t="s">
        <v>1794</v>
      </c>
      <c r="E1019" s="1293"/>
      <c r="F1019" s="1293"/>
      <c r="G1019" s="1002"/>
      <c r="I1019" s="491"/>
    </row>
    <row r="1020" spans="1:9" ht="12.75" customHeight="1" x14ac:dyDescent="0.3">
      <c r="A1020" s="1001"/>
      <c r="B1020" s="1001"/>
      <c r="C1020" s="1001"/>
      <c r="D1020" s="1293"/>
      <c r="E1020" s="1293"/>
      <c r="F1020" s="1293"/>
      <c r="G1020" s="1002"/>
      <c r="I1020" s="491"/>
    </row>
    <row r="1021" spans="1:9" ht="12.75" customHeight="1" x14ac:dyDescent="0.3">
      <c r="A1021" s="1001"/>
      <c r="B1021" s="1001"/>
      <c r="C1021" s="1001"/>
      <c r="D1021" s="985"/>
      <c r="E1021" s="1002"/>
      <c r="F1021" s="1002"/>
      <c r="G1021" s="1002"/>
      <c r="I1021" s="491"/>
    </row>
    <row r="1022" spans="1:9" ht="12.75" customHeight="1" x14ac:dyDescent="0.3">
      <c r="A1022" s="255"/>
      <c r="B1022" s="486" t="s">
        <v>2612</v>
      </c>
      <c r="C1022" s="1001"/>
      <c r="D1022" s="1283" t="s">
        <v>1795</v>
      </c>
      <c r="E1022" s="1283"/>
      <c r="F1022" s="1283"/>
      <c r="G1022" s="1002"/>
      <c r="I1022" s="491"/>
    </row>
    <row r="1023" spans="1:9" ht="12.75" customHeight="1" x14ac:dyDescent="0.3">
      <c r="A1023" s="1001"/>
      <c r="B1023" s="1001"/>
      <c r="C1023" s="1001"/>
      <c r="D1023" s="985"/>
      <c r="E1023" s="1002"/>
      <c r="F1023" s="1002"/>
      <c r="G1023" s="1002"/>
      <c r="I1023" s="491"/>
    </row>
    <row r="1024" spans="1:9" ht="12.75" customHeight="1" x14ac:dyDescent="0.3">
      <c r="A1024" s="175"/>
      <c r="B1024" s="486" t="s">
        <v>2612</v>
      </c>
      <c r="C1024" s="355"/>
      <c r="D1024" s="1287" t="s">
        <v>1796</v>
      </c>
      <c r="E1024" s="1287"/>
      <c r="F1024" s="1287"/>
      <c r="G1024" s="3"/>
      <c r="I1024" s="491"/>
    </row>
    <row r="1025" spans="1:9" ht="12.75" customHeight="1" x14ac:dyDescent="0.3">
      <c r="A1025" s="175"/>
      <c r="B1025" s="175"/>
      <c r="C1025" s="355"/>
      <c r="D1025" s="118"/>
      <c r="E1025" s="3"/>
      <c r="F1025" s="3"/>
      <c r="G1025" s="3"/>
      <c r="I1025" s="491"/>
    </row>
    <row r="1026" spans="1:9" ht="12.75" customHeight="1" x14ac:dyDescent="0.3">
      <c r="A1026" s="175"/>
      <c r="B1026" s="486" t="s">
        <v>2612</v>
      </c>
      <c r="C1026" s="355"/>
      <c r="D1026" s="1261" t="s">
        <v>1797</v>
      </c>
      <c r="E1026" s="1261"/>
      <c r="F1026" s="1261"/>
      <c r="G1026" s="3"/>
      <c r="I1026" s="491"/>
    </row>
    <row r="1027" spans="1:9" ht="12.75" customHeight="1" x14ac:dyDescent="0.3">
      <c r="A1027" s="175"/>
      <c r="B1027" s="175"/>
      <c r="C1027" s="355"/>
      <c r="D1027" s="1261"/>
      <c r="E1027" s="1261"/>
      <c r="F1027" s="1261"/>
      <c r="G1027" s="3"/>
      <c r="I1027" s="491"/>
    </row>
    <row r="1028" spans="1:9" ht="12.75" customHeight="1" x14ac:dyDescent="0.3">
      <c r="A1028" s="355"/>
      <c r="B1028" s="355"/>
      <c r="C1028" s="355"/>
      <c r="D1028" s="3"/>
      <c r="E1028" s="3"/>
      <c r="F1028" s="3"/>
      <c r="G1028" s="3"/>
      <c r="I1028" s="491"/>
    </row>
    <row r="1029" spans="1:9" ht="12.75" customHeight="1" x14ac:dyDescent="0.3">
      <c r="A1029" s="1284" t="s">
        <v>1798</v>
      </c>
      <c r="B1029" s="1284"/>
      <c r="C1029" s="1284"/>
      <c r="D1029" s="1284"/>
      <c r="E1029" s="1284"/>
      <c r="F1029" s="1284"/>
      <c r="G1029" s="1284"/>
      <c r="H1029" s="1029"/>
      <c r="I1029" s="1155"/>
    </row>
    <row r="1030" spans="1:9" ht="12.75" customHeight="1" x14ac:dyDescent="0.3">
      <c r="A1030" s="355"/>
      <c r="B1030" s="355"/>
      <c r="C1030" s="355"/>
      <c r="D1030" s="3"/>
      <c r="E1030" s="3"/>
      <c r="F1030" s="3"/>
      <c r="G1030" s="3"/>
      <c r="I1030" s="491"/>
    </row>
    <row r="1031" spans="1:9" ht="12.75" customHeight="1" x14ac:dyDescent="0.3">
      <c r="A1031" s="355"/>
      <c r="B1031" s="355"/>
      <c r="C1031" s="355"/>
      <c r="D1031" s="1282" t="s">
        <v>1799</v>
      </c>
      <c r="E1031" s="1282"/>
      <c r="F1031" s="1282"/>
      <c r="G1031" s="3"/>
      <c r="I1031" s="491"/>
    </row>
    <row r="1032" spans="1:9" ht="12.75" customHeight="1" x14ac:dyDescent="0.3">
      <c r="A1032" s="355"/>
      <c r="B1032" s="355"/>
      <c r="C1032" s="355"/>
      <c r="D1032" s="1283" t="s">
        <v>1800</v>
      </c>
      <c r="E1032" s="1283"/>
      <c r="F1032" s="1283"/>
      <c r="G1032" s="3"/>
      <c r="I1032" s="491"/>
    </row>
    <row r="1033" spans="1:9" ht="12.75" customHeight="1" x14ac:dyDescent="0.3">
      <c r="A1033" s="172"/>
      <c r="B1033" s="172"/>
      <c r="C1033" s="172"/>
      <c r="D1033" s="3"/>
      <c r="E1033" s="3"/>
      <c r="F1033" s="3"/>
      <c r="G1033" s="3"/>
      <c r="I1033" s="491"/>
    </row>
    <row r="1034" spans="1:9" ht="12.75" customHeight="1" x14ac:dyDescent="0.3">
      <c r="A1034" s="175"/>
      <c r="B1034" s="175"/>
      <c r="C1034" s="174"/>
      <c r="D1034" s="1282" t="s">
        <v>1814</v>
      </c>
      <c r="E1034" s="1282"/>
      <c r="F1034" s="1282"/>
      <c r="G1034" s="3"/>
      <c r="I1034" s="491"/>
    </row>
    <row r="1035" spans="1:9" ht="12.75" customHeight="1" x14ac:dyDescent="0.3">
      <c r="A1035" s="355"/>
      <c r="B1035" s="486" t="s">
        <v>2771</v>
      </c>
      <c r="C1035" s="355"/>
      <c r="D1035" s="1283" t="s">
        <v>1272</v>
      </c>
      <c r="E1035" s="1283"/>
      <c r="F1035" s="1283"/>
      <c r="G1035" s="3"/>
      <c r="I1035" s="491"/>
    </row>
    <row r="1036" spans="1:9" ht="12.75" customHeight="1" x14ac:dyDescent="0.3">
      <c r="A1036" s="355"/>
      <c r="B1036" s="175"/>
      <c r="C1036" s="355"/>
      <c r="D1036" s="1283" t="s">
        <v>1801</v>
      </c>
      <c r="E1036" s="1283"/>
      <c r="F1036" s="1283"/>
      <c r="G1036" s="3"/>
      <c r="I1036" s="491"/>
    </row>
    <row r="1037" spans="1:9" ht="12.75" customHeight="1" x14ac:dyDescent="0.3">
      <c r="A1037" s="355"/>
      <c r="B1037" s="355"/>
      <c r="C1037" s="355"/>
      <c r="D1037" s="1283"/>
      <c r="E1037" s="1283"/>
      <c r="F1037" s="1283"/>
      <c r="G1037" s="3"/>
      <c r="I1037" s="491"/>
    </row>
    <row r="1038" spans="1:9" ht="12.75" customHeight="1" x14ac:dyDescent="0.3">
      <c r="A1038" s="1284" t="s">
        <v>1810</v>
      </c>
      <c r="B1038" s="1284"/>
      <c r="C1038" s="1284"/>
      <c r="D1038" s="1284"/>
      <c r="E1038" s="1284"/>
      <c r="F1038" s="1284"/>
      <c r="G1038" s="1284"/>
      <c r="H1038" s="1029"/>
      <c r="I1038" s="1155"/>
    </row>
    <row r="1039" spans="1:9" ht="12.75" customHeight="1" x14ac:dyDescent="0.3">
      <c r="A1039" s="118"/>
      <c r="B1039" s="118"/>
      <c r="C1039" s="355"/>
      <c r="D1039" s="3"/>
      <c r="E1039" s="3"/>
      <c r="F1039" s="3"/>
      <c r="G1039" s="3"/>
      <c r="I1039" s="491"/>
    </row>
    <row r="1040" spans="1:9" ht="12.75" hidden="1" customHeight="1" x14ac:dyDescent="0.3">
      <c r="A1040" s="118"/>
      <c r="B1040" s="403"/>
      <c r="D1040" s="1281" t="s">
        <v>1273</v>
      </c>
      <c r="E1040" s="1281"/>
      <c r="F1040" s="1281"/>
      <c r="G1040" s="3"/>
      <c r="I1040" s="491"/>
    </row>
    <row r="1041" spans="1:9" ht="12.75" hidden="1" customHeight="1" x14ac:dyDescent="0.3">
      <c r="A1041" s="118"/>
      <c r="B1041" s="486" t="s">
        <v>307</v>
      </c>
      <c r="D1041" s="1280" t="s">
        <v>1272</v>
      </c>
      <c r="E1041" s="1280"/>
      <c r="F1041" s="1280"/>
      <c r="G1041" s="3"/>
      <c r="I1041" s="491"/>
    </row>
    <row r="1042" spans="1:9" ht="12.75" hidden="1" customHeight="1" x14ac:dyDescent="0.3">
      <c r="A1042" s="118"/>
      <c r="B1042" s="403"/>
      <c r="D1042" s="1280" t="s">
        <v>1811</v>
      </c>
      <c r="E1042" s="1280"/>
      <c r="F1042" s="1280"/>
      <c r="G1042" s="3"/>
      <c r="I1042" s="491"/>
    </row>
    <row r="1043" spans="1:9" ht="12.75" hidden="1" customHeight="1" x14ac:dyDescent="0.3">
      <c r="A1043" s="118"/>
      <c r="B1043" s="403"/>
      <c r="D1043" s="445"/>
      <c r="E1043" s="445"/>
      <c r="F1043" s="445"/>
      <c r="G1043" s="3"/>
      <c r="I1043" s="491"/>
    </row>
    <row r="1044" spans="1:9" ht="12.75" customHeight="1" x14ac:dyDescent="0.3">
      <c r="A1044" s="118"/>
      <c r="B1044" s="118"/>
      <c r="C1044" s="355"/>
      <c r="D1044" s="1285" t="s">
        <v>1067</v>
      </c>
      <c r="E1044" s="1285"/>
      <c r="F1044" s="1285"/>
      <c r="G1044" s="3"/>
      <c r="I1044" s="491"/>
    </row>
    <row r="1045" spans="1:9" ht="12.75" customHeight="1" x14ac:dyDescent="0.3">
      <c r="A1045" s="320"/>
      <c r="B1045" s="320"/>
      <c r="C1045" s="320"/>
      <c r="D1045" s="1286" t="s">
        <v>2252</v>
      </c>
      <c r="E1045" s="1286"/>
      <c r="F1045" s="1286"/>
      <c r="G1045" s="98"/>
      <c r="I1045" s="491"/>
    </row>
    <row r="1046" spans="1:9" ht="12.75" customHeight="1" x14ac:dyDescent="0.3">
      <c r="A1046" s="175"/>
      <c r="B1046" s="486" t="s">
        <v>2612</v>
      </c>
      <c r="C1046" s="355"/>
      <c r="D1046" s="1286" t="s">
        <v>986</v>
      </c>
      <c r="E1046" s="1286"/>
      <c r="F1046" s="1286"/>
      <c r="G1046" s="3"/>
      <c r="I1046" s="491"/>
    </row>
    <row r="1047" spans="1:9" ht="12.75" customHeight="1" x14ac:dyDescent="0.3">
      <c r="A1047" s="355"/>
      <c r="B1047" s="355"/>
      <c r="C1047" s="355"/>
      <c r="D1047" s="1037" t="s">
        <v>1919</v>
      </c>
      <c r="E1047" s="96"/>
      <c r="F1047" s="96"/>
      <c r="G1047" s="3"/>
      <c r="I1047" s="491"/>
    </row>
    <row r="1048" spans="1:9" x14ac:dyDescent="0.3">
      <c r="A1048" s="403"/>
      <c r="B1048" s="403"/>
      <c r="C1048" s="403"/>
      <c r="I1048" s="491"/>
    </row>
    <row r="1049" spans="1:9" x14ac:dyDescent="0.3">
      <c r="A1049" s="1284" t="s">
        <v>1831</v>
      </c>
      <c r="B1049" s="1284"/>
      <c r="C1049" s="1284"/>
      <c r="D1049" s="1284"/>
      <c r="E1049" s="1284"/>
      <c r="F1049" s="1284"/>
      <c r="G1049" s="1284"/>
      <c r="H1049" s="1029"/>
      <c r="I1049" s="1155"/>
    </row>
    <row r="1050" spans="1:9" x14ac:dyDescent="0.3">
      <c r="A1050" s="403"/>
      <c r="B1050" s="403"/>
      <c r="C1050" s="403"/>
      <c r="I1050" s="491"/>
    </row>
    <row r="1051" spans="1:9" x14ac:dyDescent="0.3">
      <c r="A1051" s="403"/>
      <c r="B1051" s="403"/>
      <c r="C1051" s="403"/>
      <c r="D1051" s="405" t="s">
        <v>1817</v>
      </c>
      <c r="I1051" s="491"/>
    </row>
    <row r="1052" spans="1:9" x14ac:dyDescent="0.3">
      <c r="A1052" s="403"/>
      <c r="B1052" s="403"/>
      <c r="C1052" s="403"/>
      <c r="D1052" s="403" t="s">
        <v>1816</v>
      </c>
      <c r="I1052" s="491"/>
    </row>
    <row r="1053" spans="1:9" x14ac:dyDescent="0.3">
      <c r="A1053" s="403"/>
      <c r="B1053" s="403"/>
      <c r="C1053" s="403"/>
      <c r="D1053" s="405"/>
      <c r="I1053" s="491"/>
    </row>
    <row r="1054" spans="1:9" x14ac:dyDescent="0.3">
      <c r="A1054" s="403"/>
      <c r="B1054" s="486" t="s">
        <v>2612</v>
      </c>
      <c r="C1054" s="403"/>
      <c r="D1054" s="1290" t="s">
        <v>1815</v>
      </c>
      <c r="E1054" s="1290"/>
      <c r="F1054" s="1290"/>
      <c r="I1054" s="491"/>
    </row>
    <row r="1055" spans="1:9" x14ac:dyDescent="0.3">
      <c r="A1055" s="403"/>
      <c r="B1055" s="403"/>
      <c r="C1055" s="403"/>
      <c r="D1055" s="1290"/>
      <c r="E1055" s="1290"/>
      <c r="F1055" s="1290"/>
      <c r="I1055" s="491"/>
    </row>
    <row r="1056" spans="1:9" x14ac:dyDescent="0.3">
      <c r="A1056" s="403"/>
      <c r="B1056" s="403"/>
      <c r="C1056" s="403"/>
      <c r="D1056" s="1290"/>
      <c r="E1056" s="1290"/>
      <c r="F1056" s="1290"/>
      <c r="I1056" s="491"/>
    </row>
    <row r="1057" spans="1:9" x14ac:dyDescent="0.3">
      <c r="A1057" s="403"/>
      <c r="B1057" s="403"/>
      <c r="C1057" s="403"/>
      <c r="D1057" s="1290"/>
      <c r="E1057" s="1290"/>
      <c r="F1057" s="1290"/>
      <c r="I1057" s="491"/>
    </row>
    <row r="1058" spans="1:9" x14ac:dyDescent="0.3">
      <c r="A1058" s="403"/>
      <c r="B1058" s="403"/>
      <c r="C1058" s="403"/>
      <c r="I1058" s="491"/>
    </row>
    <row r="1059" spans="1:9" x14ac:dyDescent="0.3">
      <c r="A1059" s="403"/>
      <c r="B1059" s="403"/>
      <c r="C1059" s="403"/>
      <c r="D1059" s="405" t="s">
        <v>1314</v>
      </c>
      <c r="I1059" s="491"/>
    </row>
    <row r="1060" spans="1:9" x14ac:dyDescent="0.3">
      <c r="A1060" s="403"/>
      <c r="B1060" s="403"/>
      <c r="C1060" s="403"/>
      <c r="D1060" s="403" t="s">
        <v>1818</v>
      </c>
      <c r="I1060" s="491"/>
    </row>
    <row r="1061" spans="1:9" x14ac:dyDescent="0.3">
      <c r="A1061" s="403"/>
      <c r="B1061" s="403"/>
      <c r="C1061" s="403"/>
      <c r="I1061" s="491"/>
    </row>
    <row r="1062" spans="1:9" x14ac:dyDescent="0.3">
      <c r="A1062" s="403"/>
      <c r="B1062" s="486" t="s">
        <v>2771</v>
      </c>
      <c r="C1062" s="403"/>
      <c r="D1062" s="403" t="s">
        <v>1813</v>
      </c>
      <c r="I1062" s="491"/>
    </row>
    <row r="1063" spans="1:9" x14ac:dyDescent="0.3">
      <c r="A1063" s="403"/>
      <c r="B1063" s="403"/>
      <c r="C1063" s="403"/>
      <c r="I1063" s="491"/>
    </row>
    <row r="1064" spans="1:9" x14ac:dyDescent="0.3">
      <c r="A1064" s="403"/>
      <c r="B1064" s="486" t="s">
        <v>2771</v>
      </c>
      <c r="C1064" s="403"/>
      <c r="D1064" s="1290" t="s">
        <v>1819</v>
      </c>
      <c r="E1064" s="1290"/>
      <c r="F1064" s="1290"/>
      <c r="I1064" s="491"/>
    </row>
    <row r="1065" spans="1:9" x14ac:dyDescent="0.3">
      <c r="A1065" s="403"/>
      <c r="B1065" s="403"/>
      <c r="C1065" s="403"/>
      <c r="D1065" s="1290"/>
      <c r="E1065" s="1290"/>
      <c r="F1065" s="1290"/>
      <c r="I1065" s="491"/>
    </row>
    <row r="1066" spans="1:9" x14ac:dyDescent="0.3">
      <c r="A1066" s="403"/>
      <c r="B1066" s="403"/>
      <c r="C1066" s="403"/>
      <c r="D1066" s="1290"/>
      <c r="E1066" s="1290"/>
      <c r="F1066" s="1290"/>
      <c r="I1066" s="491"/>
    </row>
    <row r="1067" spans="1:9" x14ac:dyDescent="0.3">
      <c r="A1067" s="403"/>
      <c r="B1067" s="403"/>
      <c r="C1067" s="403"/>
      <c r="D1067" s="1290"/>
      <c r="E1067" s="1290"/>
      <c r="F1067" s="1290"/>
      <c r="I1067" s="491"/>
    </row>
    <row r="1068" spans="1:9" x14ac:dyDescent="0.3">
      <c r="A1068" s="403"/>
      <c r="B1068" s="403"/>
      <c r="C1068" s="403"/>
      <c r="D1068" s="1290"/>
      <c r="E1068" s="1290"/>
      <c r="F1068" s="1290"/>
      <c r="I1068" s="491"/>
    </row>
    <row r="1069" spans="1:9" x14ac:dyDescent="0.3">
      <c r="A1069" s="403"/>
      <c r="B1069" s="403"/>
      <c r="C1069" s="403"/>
      <c r="I1069" s="491"/>
    </row>
    <row r="1070" spans="1:9" x14ac:dyDescent="0.3">
      <c r="A1070" s="1284" t="s">
        <v>1820</v>
      </c>
      <c r="B1070" s="1284"/>
      <c r="C1070" s="1284"/>
      <c r="D1070" s="1284"/>
      <c r="E1070" s="1284"/>
      <c r="F1070" s="1284"/>
      <c r="G1070" s="1284"/>
      <c r="H1070" s="1029"/>
      <c r="I1070" s="1155"/>
    </row>
    <row r="1071" spans="1:9" x14ac:dyDescent="0.3">
      <c r="A1071" s="403"/>
      <c r="B1071" s="403"/>
      <c r="C1071" s="403"/>
      <c r="I1071" s="491"/>
    </row>
    <row r="1072" spans="1:9" x14ac:dyDescent="0.3">
      <c r="A1072" s="403"/>
      <c r="B1072" s="403"/>
      <c r="C1072" s="403"/>
      <c r="I1072" s="491"/>
    </row>
    <row r="1073" spans="1:9" x14ac:dyDescent="0.3">
      <c r="A1073" s="403"/>
      <c r="B1073" s="486" t="s">
        <v>2771</v>
      </c>
      <c r="C1073" s="403"/>
      <c r="D1073" s="528" t="s">
        <v>1823</v>
      </c>
      <c r="I1073" s="491"/>
    </row>
    <row r="1074" spans="1:9" x14ac:dyDescent="0.3">
      <c r="A1074" s="403"/>
      <c r="B1074" s="403"/>
      <c r="C1074" s="403"/>
      <c r="D1074" s="528" t="s">
        <v>1825</v>
      </c>
      <c r="I1074" s="491"/>
    </row>
    <row r="1075" spans="1:9" x14ac:dyDescent="0.3">
      <c r="A1075" s="403"/>
      <c r="B1075" s="403"/>
      <c r="C1075" s="403"/>
      <c r="D1075" s="528"/>
      <c r="I1075" s="491"/>
    </row>
    <row r="1076" spans="1:9" x14ac:dyDescent="0.3">
      <c r="A1076" s="403"/>
      <c r="B1076" s="486" t="s">
        <v>2612</v>
      </c>
      <c r="C1076" s="403"/>
      <c r="D1076" s="528" t="s">
        <v>1826</v>
      </c>
      <c r="I1076" s="491"/>
    </row>
    <row r="1077" spans="1:9" x14ac:dyDescent="0.3">
      <c r="A1077" s="403"/>
      <c r="B1077" s="403"/>
      <c r="C1077" s="403"/>
      <c r="D1077" s="528" t="s">
        <v>1824</v>
      </c>
      <c r="I1077" s="491"/>
    </row>
    <row r="1078" spans="1:9" x14ac:dyDescent="0.3">
      <c r="A1078" s="403"/>
      <c r="B1078" s="403"/>
      <c r="C1078" s="403"/>
      <c r="D1078" s="528"/>
      <c r="I1078" s="491"/>
    </row>
    <row r="1079" spans="1:9" x14ac:dyDescent="0.3">
      <c r="A1079" s="403"/>
      <c r="B1079" s="486" t="s">
        <v>2612</v>
      </c>
      <c r="C1079" s="403"/>
      <c r="D1079" s="119" t="s">
        <v>1829</v>
      </c>
      <c r="I1079" s="491"/>
    </row>
    <row r="1080" spans="1:9" x14ac:dyDescent="0.3">
      <c r="A1080" s="403"/>
      <c r="B1080" s="403"/>
      <c r="C1080" s="403"/>
      <c r="D1080" s="1261" t="s">
        <v>1830</v>
      </c>
      <c r="E1080" s="1261"/>
      <c r="F1080" s="1261"/>
      <c r="I1080" s="491"/>
    </row>
    <row r="1081" spans="1:9" x14ac:dyDescent="0.3">
      <c r="A1081" s="403"/>
      <c r="B1081" s="403"/>
      <c r="C1081" s="403"/>
      <c r="D1081" s="1261"/>
      <c r="E1081" s="1261"/>
      <c r="F1081" s="1261"/>
      <c r="I1081" s="491"/>
    </row>
    <row r="1082" spans="1:9" x14ac:dyDescent="0.3">
      <c r="A1082" s="403"/>
      <c r="B1082" s="403"/>
      <c r="C1082" s="403"/>
      <c r="D1082" s="1261"/>
      <c r="E1082" s="1261"/>
      <c r="F1082" s="1261"/>
      <c r="I1082" s="491"/>
    </row>
    <row r="1083" spans="1:9" x14ac:dyDescent="0.3">
      <c r="A1083" s="403"/>
      <c r="B1083" s="403"/>
      <c r="C1083" s="403"/>
      <c r="D1083" s="1261"/>
      <c r="E1083" s="1261"/>
      <c r="F1083" s="1261"/>
      <c r="I1083" s="491"/>
    </row>
    <row r="1084" spans="1:9" x14ac:dyDescent="0.3">
      <c r="A1084" s="403"/>
      <c r="B1084" s="403"/>
      <c r="C1084" s="403"/>
      <c r="D1084" s="119" t="s">
        <v>1828</v>
      </c>
      <c r="I1084" s="491"/>
    </row>
    <row r="1085" spans="1:9" x14ac:dyDescent="0.3">
      <c r="A1085" s="403"/>
      <c r="B1085" s="403"/>
      <c r="C1085" s="403"/>
      <c r="D1085" s="119"/>
      <c r="I1085" s="491"/>
    </row>
    <row r="1086" spans="1:9" x14ac:dyDescent="0.3">
      <c r="A1086" s="403"/>
      <c r="B1086" s="403"/>
      <c r="C1086" s="403"/>
      <c r="D1086" s="528" t="s">
        <v>1821</v>
      </c>
      <c r="I1086" s="491"/>
    </row>
    <row r="1087" spans="1:9" x14ac:dyDescent="0.3">
      <c r="A1087" s="403"/>
      <c r="B1087" s="486" t="s">
        <v>2612</v>
      </c>
      <c r="C1087" s="403"/>
      <c r="D1087" s="1289" t="s">
        <v>1822</v>
      </c>
      <c r="E1087" s="1289"/>
      <c r="F1087" s="1289"/>
      <c r="I1087" s="491"/>
    </row>
    <row r="1088" spans="1:9" x14ac:dyDescent="0.3">
      <c r="A1088" s="403"/>
      <c r="B1088" s="403"/>
      <c r="C1088" s="403"/>
      <c r="D1088" s="1289"/>
      <c r="E1088" s="1289"/>
      <c r="F1088" s="1289"/>
      <c r="I1088" s="491"/>
    </row>
    <row r="1089" spans="1:9" x14ac:dyDescent="0.3">
      <c r="A1089" s="403"/>
      <c r="B1089" s="403"/>
      <c r="C1089" s="403"/>
      <c r="D1089" s="1289"/>
      <c r="E1089" s="1289"/>
      <c r="F1089" s="1289"/>
      <c r="I1089" s="491"/>
    </row>
    <row r="1090" spans="1:9" x14ac:dyDescent="0.3">
      <c r="A1090" s="403"/>
      <c r="B1090" s="403"/>
      <c r="C1090" s="403"/>
      <c r="D1090" s="1289"/>
      <c r="E1090" s="1289"/>
      <c r="F1090" s="1289"/>
      <c r="I1090" s="491"/>
    </row>
    <row r="1091" spans="1:9" x14ac:dyDescent="0.3">
      <c r="A1091" s="403"/>
      <c r="B1091" s="403"/>
      <c r="C1091" s="403"/>
      <c r="D1091" s="1289"/>
      <c r="E1091" s="1289"/>
      <c r="F1091" s="1289"/>
      <c r="I1091" s="491"/>
    </row>
    <row r="1092" spans="1:9" x14ac:dyDescent="0.3">
      <c r="A1092" s="403"/>
      <c r="B1092" s="403"/>
      <c r="C1092" s="403"/>
      <c r="D1092" s="528" t="s">
        <v>1827</v>
      </c>
      <c r="I1092" s="491"/>
    </row>
    <row r="1093" spans="1:9" x14ac:dyDescent="0.3">
      <c r="A1093" s="403"/>
      <c r="B1093" s="403"/>
      <c r="C1093" s="403"/>
      <c r="I1093" s="491"/>
    </row>
    <row r="1094" spans="1:9" x14ac:dyDescent="0.3">
      <c r="A1094" s="403"/>
      <c r="B1094" s="486" t="s">
        <v>2612</v>
      </c>
      <c r="C1094" s="403"/>
      <c r="D1094" s="1275" t="s">
        <v>2285</v>
      </c>
      <c r="E1094" s="1275"/>
      <c r="F1094" s="1275"/>
      <c r="I1094" s="491"/>
    </row>
    <row r="1095" spans="1:9" x14ac:dyDescent="0.3">
      <c r="A1095" s="403"/>
      <c r="B1095" s="403"/>
      <c r="C1095" s="403"/>
      <c r="D1095" s="1275"/>
      <c r="E1095" s="1275"/>
      <c r="F1095" s="1275"/>
      <c r="I1095" s="491"/>
    </row>
    <row r="1096" spans="1:9" x14ac:dyDescent="0.3">
      <c r="A1096" s="403"/>
      <c r="B1096" s="403"/>
      <c r="C1096" s="403"/>
      <c r="D1096" s="1275"/>
      <c r="E1096" s="1275"/>
      <c r="F1096" s="1275"/>
      <c r="I1096" s="491"/>
    </row>
    <row r="1097" spans="1:9" x14ac:dyDescent="0.3">
      <c r="A1097" s="403"/>
      <c r="B1097" s="403"/>
      <c r="C1097" s="403"/>
      <c r="I1097" s="491"/>
    </row>
    <row r="1098" spans="1:9" x14ac:dyDescent="0.3">
      <c r="A1098" s="1284" t="s">
        <v>1832</v>
      </c>
      <c r="B1098" s="1284"/>
      <c r="C1098" s="1284"/>
      <c r="D1098" s="1284"/>
      <c r="E1098" s="1284"/>
      <c r="F1098" s="1284"/>
      <c r="G1098" s="1284"/>
      <c r="H1098" s="1029"/>
      <c r="I1098" s="1155"/>
    </row>
    <row r="1099" spans="1:9" x14ac:dyDescent="0.3">
      <c r="A1099" s="403"/>
      <c r="B1099" s="403"/>
      <c r="C1099" s="403"/>
      <c r="I1099" s="491"/>
    </row>
    <row r="1100" spans="1:9" x14ac:dyDescent="0.3">
      <c r="A1100" s="403"/>
      <c r="B1100" s="403"/>
      <c r="C1100" s="403"/>
      <c r="I1100" s="491"/>
    </row>
    <row r="1101" spans="1:9" ht="12.75" customHeight="1" x14ac:dyDescent="0.3">
      <c r="A1101" s="403"/>
      <c r="B1101" s="486" t="s">
        <v>2612</v>
      </c>
      <c r="C1101" s="403"/>
      <c r="D1101" s="1291" t="s">
        <v>1931</v>
      </c>
      <c r="E1101" s="1291"/>
      <c r="F1101" s="1291"/>
      <c r="I1101" s="491"/>
    </row>
    <row r="1102" spans="1:9" x14ac:dyDescent="0.3">
      <c r="A1102" s="403"/>
      <c r="B1102" s="403"/>
      <c r="C1102" s="403"/>
      <c r="D1102" s="1291"/>
      <c r="E1102" s="1291"/>
      <c r="F1102" s="1291"/>
      <c r="I1102" s="491"/>
    </row>
    <row r="1103" spans="1:9" x14ac:dyDescent="0.3">
      <c r="A1103" s="403"/>
      <c r="B1103" s="403"/>
      <c r="C1103" s="403"/>
      <c r="D1103" s="1292" t="s">
        <v>2146</v>
      </c>
      <c r="E1103" s="1261"/>
      <c r="F1103" s="1261"/>
      <c r="I1103" s="491"/>
    </row>
    <row r="1104" spans="1:9" x14ac:dyDescent="0.3">
      <c r="A1104" s="403"/>
      <c r="B1104" s="403"/>
      <c r="C1104" s="403"/>
      <c r="D1104" s="528"/>
      <c r="I1104" s="491"/>
    </row>
    <row r="1105" spans="1:9" x14ac:dyDescent="0.3">
      <c r="A1105" s="403"/>
      <c r="B1105" s="486" t="s">
        <v>2612</v>
      </c>
      <c r="C1105" s="403"/>
      <c r="D1105" s="1289" t="s">
        <v>1833</v>
      </c>
      <c r="E1105" s="1289"/>
      <c r="F1105" s="1289"/>
      <c r="I1105" s="491"/>
    </row>
    <row r="1106" spans="1:9" x14ac:dyDescent="0.3">
      <c r="A1106" s="403"/>
      <c r="B1106" s="403"/>
      <c r="C1106" s="403"/>
      <c r="D1106" s="1289"/>
      <c r="E1106" s="1289"/>
      <c r="F1106" s="1289"/>
      <c r="I1106" s="491"/>
    </row>
    <row r="1107" spans="1:9" x14ac:dyDescent="0.3">
      <c r="A1107" s="403"/>
      <c r="B1107" s="403"/>
      <c r="C1107" s="403"/>
      <c r="D1107" s="528"/>
      <c r="I1107" s="491"/>
    </row>
    <row r="1108" spans="1:9" x14ac:dyDescent="0.3">
      <c r="A1108" s="403"/>
      <c r="B1108" s="486" t="s">
        <v>2612</v>
      </c>
      <c r="C1108" s="403"/>
      <c r="D1108" s="1289" t="s">
        <v>1889</v>
      </c>
      <c r="E1108" s="1289"/>
      <c r="F1108" s="1289"/>
      <c r="I1108" s="491"/>
    </row>
    <row r="1109" spans="1:9" x14ac:dyDescent="0.3">
      <c r="A1109" s="403"/>
      <c r="B1109" s="403"/>
      <c r="C1109" s="403"/>
      <c r="D1109" s="1289"/>
      <c r="E1109" s="1289"/>
      <c r="F1109" s="1289"/>
      <c r="I1109" s="491"/>
    </row>
    <row r="1110" spans="1:9" x14ac:dyDescent="0.3">
      <c r="A1110" s="403"/>
      <c r="B1110" s="403"/>
      <c r="C1110" s="403"/>
      <c r="D1110" s="1289"/>
      <c r="E1110" s="1289"/>
      <c r="F1110" s="1289"/>
      <c r="I1110" s="491"/>
    </row>
    <row r="1111" spans="1:9" x14ac:dyDescent="0.3">
      <c r="A1111" s="403"/>
      <c r="B1111" s="403"/>
      <c r="C1111" s="403"/>
      <c r="D1111" s="1289"/>
      <c r="E1111" s="1289"/>
      <c r="F1111" s="1289"/>
      <c r="I1111" s="491"/>
    </row>
    <row r="1112" spans="1:9" x14ac:dyDescent="0.3">
      <c r="A1112" s="403"/>
      <c r="B1112" s="403"/>
      <c r="C1112" s="403"/>
      <c r="D1112" s="1289"/>
      <c r="E1112" s="1289"/>
      <c r="F1112" s="1289"/>
      <c r="I1112" s="491"/>
    </row>
    <row r="1113" spans="1:9" x14ac:dyDescent="0.3">
      <c r="A1113" s="403"/>
      <c r="B1113" s="403"/>
      <c r="C1113" s="403"/>
      <c r="D1113" s="1289"/>
      <c r="E1113" s="1289"/>
      <c r="F1113" s="1289"/>
      <c r="I1113" s="491"/>
    </row>
    <row r="1114" spans="1:9" ht="12.5" x14ac:dyDescent="0.25">
      <c r="A1114" s="403"/>
      <c r="B1114" s="403"/>
      <c r="C1114" s="403"/>
      <c r="D1114" s="528"/>
      <c r="I1114" s="481"/>
    </row>
    <row r="1115" spans="1:9" x14ac:dyDescent="0.3">
      <c r="A1115" s="403"/>
      <c r="B1115" s="486" t="s">
        <v>2612</v>
      </c>
      <c r="C1115" s="403"/>
      <c r="D1115" s="1289" t="s">
        <v>1834</v>
      </c>
      <c r="E1115" s="1289"/>
      <c r="F1115" s="1289"/>
      <c r="I1115" s="491"/>
    </row>
    <row r="1116" spans="1:9" x14ac:dyDescent="0.3">
      <c r="A1116" s="403"/>
      <c r="B1116" s="403"/>
      <c r="C1116" s="403"/>
      <c r="D1116" s="1289"/>
      <c r="E1116" s="1289"/>
      <c r="F1116" s="1289"/>
      <c r="I1116" s="491"/>
    </row>
    <row r="1117" spans="1:9" x14ac:dyDescent="0.3">
      <c r="A1117" s="403"/>
      <c r="B1117" s="403"/>
      <c r="C1117" s="403"/>
      <c r="D1117" s="1289"/>
      <c r="E1117" s="1289"/>
      <c r="F1117" s="1289"/>
      <c r="I1117" s="491"/>
    </row>
    <row r="1118" spans="1:9" x14ac:dyDescent="0.3">
      <c r="A1118" s="403"/>
      <c r="B1118" s="403"/>
      <c r="C1118" s="403"/>
      <c r="D1118" s="528"/>
      <c r="I1118" s="491"/>
    </row>
    <row r="1119" spans="1:9" x14ac:dyDescent="0.3">
      <c r="A1119" s="403"/>
      <c r="B1119" s="486" t="s">
        <v>2771</v>
      </c>
      <c r="C1119" s="403"/>
      <c r="D1119" s="1266" t="s">
        <v>1890</v>
      </c>
      <c r="E1119" s="1266"/>
      <c r="F1119" s="1266"/>
      <c r="I1119" s="491"/>
    </row>
    <row r="1120" spans="1:9" x14ac:dyDescent="0.3">
      <c r="A1120" s="403"/>
      <c r="B1120" s="403"/>
      <c r="C1120" s="403"/>
      <c r="D1120" s="1266"/>
      <c r="E1120" s="1266"/>
      <c r="F1120" s="1266"/>
      <c r="I1120" s="491"/>
    </row>
    <row r="1121" spans="1:9" x14ac:dyDescent="0.3">
      <c r="A1121" s="403"/>
      <c r="B1121" s="403"/>
      <c r="C1121" s="403"/>
      <c r="D1121" s="1266"/>
      <c r="E1121" s="1266"/>
      <c r="F1121" s="1266"/>
      <c r="I1121" s="491"/>
    </row>
    <row r="1122" spans="1:9" x14ac:dyDescent="0.3">
      <c r="A1122" s="403"/>
      <c r="B1122" s="403"/>
      <c r="C1122" s="403"/>
      <c r="D1122" s="981"/>
      <c r="E1122" s="981"/>
      <c r="F1122" s="981"/>
      <c r="I1122" s="491"/>
    </row>
    <row r="1123" spans="1:9" ht="15.75" customHeight="1" x14ac:dyDescent="0.3">
      <c r="A1123" s="403"/>
      <c r="B1123" s="486" t="s">
        <v>2771</v>
      </c>
      <c r="C1123" s="403"/>
      <c r="D1123" s="1261" t="s">
        <v>1891</v>
      </c>
      <c r="E1123" s="1261"/>
      <c r="F1123" s="1261"/>
      <c r="I1123" s="491"/>
    </row>
    <row r="1124" spans="1:9" x14ac:dyDescent="0.3">
      <c r="A1124" s="403"/>
      <c r="B1124" s="403"/>
      <c r="C1124" s="403"/>
      <c r="D1124" s="1261"/>
      <c r="E1124" s="1261"/>
      <c r="F1124" s="1261"/>
      <c r="I1124" s="491"/>
    </row>
    <row r="1125" spans="1:9" x14ac:dyDescent="0.3">
      <c r="A1125" s="403"/>
      <c r="B1125" s="403"/>
      <c r="C1125" s="403"/>
      <c r="D1125" s="1261"/>
      <c r="E1125" s="1261"/>
      <c r="F1125" s="1261"/>
      <c r="I1125" s="491"/>
    </row>
    <row r="1126" spans="1:9" x14ac:dyDescent="0.3">
      <c r="A1126" s="403"/>
      <c r="B1126" s="403"/>
      <c r="C1126" s="403"/>
      <c r="D1126" s="1261"/>
      <c r="E1126" s="1261"/>
      <c r="F1126" s="1261"/>
      <c r="I1126" s="491"/>
    </row>
    <row r="1127" spans="1:9" x14ac:dyDescent="0.3">
      <c r="A1127" s="403"/>
      <c r="B1127" s="403"/>
      <c r="C1127" s="403"/>
      <c r="D1127" s="981"/>
      <c r="E1127" s="981"/>
      <c r="F1127" s="981"/>
      <c r="I1127" s="491"/>
    </row>
    <row r="1128" spans="1:9" ht="12.5" x14ac:dyDescent="0.25">
      <c r="A1128" s="403"/>
      <c r="B1128" s="403"/>
      <c r="C1128" s="403"/>
      <c r="I1128" s="1161"/>
    </row>
    <row r="1129" spans="1:9" x14ac:dyDescent="0.3">
      <c r="A1129" s="403"/>
      <c r="B1129" s="403"/>
      <c r="C1129" s="403"/>
      <c r="I1129" s="491"/>
    </row>
    <row r="1130" spans="1:9" x14ac:dyDescent="0.3">
      <c r="A1130" s="403"/>
      <c r="B1130" s="403"/>
      <c r="C1130" s="403"/>
      <c r="I1130" s="491"/>
    </row>
    <row r="1131" spans="1:9" x14ac:dyDescent="0.3">
      <c r="A1131" s="403"/>
      <c r="B1131" s="403"/>
      <c r="C1131" s="403"/>
    </row>
    <row r="1132" spans="1:9" x14ac:dyDescent="0.3">
      <c r="A1132" s="403"/>
      <c r="B1132" s="403"/>
      <c r="C1132" s="403"/>
    </row>
    <row r="1133" spans="1:9" x14ac:dyDescent="0.3">
      <c r="A1133" s="403"/>
      <c r="B1133" s="403"/>
      <c r="C1133" s="403"/>
    </row>
    <row r="1134" spans="1:9" x14ac:dyDescent="0.3">
      <c r="A1134" s="403"/>
      <c r="B1134" s="403"/>
      <c r="C1134" s="403"/>
    </row>
    <row r="1135" spans="1:9" x14ac:dyDescent="0.3">
      <c r="A1135" s="403"/>
      <c r="B1135" s="403"/>
      <c r="C1135" s="403"/>
    </row>
    <row r="1136" spans="1:9" x14ac:dyDescent="0.3">
      <c r="A1136" s="403"/>
      <c r="B1136" s="403"/>
      <c r="C1136" s="403"/>
    </row>
    <row r="1137" spans="1:3" x14ac:dyDescent="0.3">
      <c r="A1137" s="403"/>
      <c r="B1137" s="403"/>
      <c r="C1137" s="403"/>
    </row>
    <row r="1138" spans="1:3" x14ac:dyDescent="0.3">
      <c r="A1138" s="403"/>
      <c r="B1138" s="403"/>
      <c r="C1138" s="403"/>
    </row>
    <row r="1139" spans="1:3" x14ac:dyDescent="0.3">
      <c r="A1139" s="403"/>
      <c r="B1139" s="403"/>
      <c r="C1139" s="403"/>
    </row>
    <row r="1140" spans="1:3" x14ac:dyDescent="0.3">
      <c r="A1140" s="403"/>
      <c r="B1140" s="403"/>
      <c r="C1140" s="403"/>
    </row>
    <row r="1141" spans="1:3" x14ac:dyDescent="0.3">
      <c r="A1141" s="403"/>
      <c r="B1141" s="403"/>
      <c r="C1141" s="403"/>
    </row>
    <row r="1142" spans="1:3" x14ac:dyDescent="0.3">
      <c r="A1142" s="403"/>
      <c r="B1142" s="403"/>
      <c r="C1142" s="403"/>
    </row>
    <row r="1143" spans="1:3" x14ac:dyDescent="0.3">
      <c r="A1143" s="403"/>
      <c r="B1143" s="403"/>
      <c r="C1143" s="403"/>
    </row>
    <row r="1144" spans="1:3" x14ac:dyDescent="0.3">
      <c r="A1144" s="403"/>
      <c r="B1144" s="403"/>
      <c r="C1144" s="403"/>
    </row>
    <row r="1145" spans="1:3" x14ac:dyDescent="0.3">
      <c r="A1145" s="403"/>
      <c r="B1145" s="403"/>
      <c r="C1145" s="403"/>
    </row>
    <row r="1146" spans="1:3" x14ac:dyDescent="0.3"/>
    <row r="1147" spans="1:3" x14ac:dyDescent="0.3"/>
    <row r="1148" spans="1:3" x14ac:dyDescent="0.3"/>
    <row r="1149" spans="1:3" x14ac:dyDescent="0.3"/>
    <row r="1150" spans="1:3" x14ac:dyDescent="0.3"/>
    <row r="1151" spans="1:3" x14ac:dyDescent="0.3"/>
    <row r="1152" spans="1:3" x14ac:dyDescent="0.3"/>
    <row r="1153" spans="1:3" x14ac:dyDescent="0.3">
      <c r="A1153" s="403"/>
      <c r="B1153" s="403"/>
      <c r="C1153" s="403"/>
    </row>
    <row r="1154" spans="1:3" x14ac:dyDescent="0.3">
      <c r="A1154" s="403"/>
      <c r="B1154" s="403"/>
      <c r="C1154" s="403"/>
    </row>
    <row r="1155" spans="1:3" x14ac:dyDescent="0.3">
      <c r="A1155" s="403"/>
      <c r="B1155" s="403"/>
      <c r="C1155" s="403"/>
    </row>
    <row r="1156" spans="1:3" x14ac:dyDescent="0.3">
      <c r="A1156" s="403"/>
      <c r="B1156" s="403"/>
      <c r="C1156" s="403"/>
    </row>
    <row r="1157" spans="1:3" x14ac:dyDescent="0.3">
      <c r="A1157" s="403"/>
      <c r="B1157" s="403"/>
      <c r="C1157" s="403"/>
    </row>
    <row r="1158" spans="1:3" x14ac:dyDescent="0.3">
      <c r="A1158" s="403"/>
      <c r="B1158" s="403"/>
      <c r="C1158" s="403"/>
    </row>
    <row r="1159" spans="1:3" x14ac:dyDescent="0.3">
      <c r="A1159" s="403"/>
      <c r="B1159" s="403"/>
      <c r="C1159" s="403"/>
    </row>
    <row r="1160" spans="1:3" x14ac:dyDescent="0.3">
      <c r="A1160" s="403"/>
      <c r="B1160" s="403"/>
      <c r="C1160" s="403"/>
    </row>
    <row r="1161" spans="1:3" x14ac:dyDescent="0.3">
      <c r="A1161" s="403"/>
      <c r="B1161" s="403"/>
      <c r="C1161" s="403"/>
    </row>
    <row r="1162" spans="1:3" x14ac:dyDescent="0.3">
      <c r="A1162" s="403"/>
      <c r="B1162" s="403"/>
      <c r="C1162" s="403"/>
    </row>
    <row r="1163" spans="1:3" x14ac:dyDescent="0.3">
      <c r="A1163" s="403"/>
      <c r="B1163" s="403"/>
      <c r="C1163" s="403"/>
    </row>
    <row r="1164" spans="1:3" x14ac:dyDescent="0.3">
      <c r="A1164" s="403"/>
      <c r="B1164" s="403"/>
      <c r="C1164" s="403"/>
    </row>
    <row r="1165" spans="1:3" x14ac:dyDescent="0.3">
      <c r="A1165" s="403"/>
      <c r="B1165" s="403"/>
      <c r="C1165" s="403"/>
    </row>
    <row r="1166" spans="1:3" x14ac:dyDescent="0.3">
      <c r="A1166" s="403"/>
      <c r="B1166" s="403"/>
      <c r="C1166" s="403"/>
    </row>
    <row r="1167" spans="1:3" x14ac:dyDescent="0.3">
      <c r="A1167" s="403"/>
      <c r="B1167" s="403"/>
      <c r="C1167" s="403"/>
    </row>
    <row r="1168" spans="1:3" x14ac:dyDescent="0.3">
      <c r="A1168" s="403"/>
      <c r="B1168" s="403"/>
      <c r="C1168" s="403"/>
    </row>
    <row r="1169" spans="1:3" x14ac:dyDescent="0.3">
      <c r="A1169" s="403"/>
      <c r="B1169" s="403"/>
      <c r="C1169" s="403"/>
    </row>
    <row r="1170" spans="1:3" x14ac:dyDescent="0.3">
      <c r="A1170" s="403"/>
      <c r="B1170" s="403"/>
      <c r="C1170" s="403"/>
    </row>
    <row r="1171" spans="1:3" x14ac:dyDescent="0.3">
      <c r="A1171" s="403"/>
      <c r="B1171" s="403"/>
      <c r="C1171" s="403"/>
    </row>
    <row r="1172" spans="1:3" x14ac:dyDescent="0.3">
      <c r="A1172" s="403"/>
      <c r="B1172" s="403"/>
      <c r="C1172" s="403"/>
    </row>
    <row r="1173" spans="1:3" x14ac:dyDescent="0.3">
      <c r="A1173" s="403"/>
      <c r="B1173" s="403"/>
      <c r="C1173" s="403"/>
    </row>
    <row r="1174" spans="1:3" x14ac:dyDescent="0.3">
      <c r="A1174" s="403"/>
      <c r="B1174" s="403"/>
      <c r="C1174" s="403"/>
    </row>
    <row r="1175" spans="1:3" x14ac:dyDescent="0.3">
      <c r="A1175" s="403"/>
      <c r="B1175" s="403"/>
      <c r="C1175" s="403"/>
    </row>
    <row r="1176" spans="1:3" x14ac:dyDescent="0.3">
      <c r="A1176" s="403"/>
      <c r="B1176" s="403"/>
      <c r="C1176" s="403"/>
    </row>
    <row r="1177" spans="1:3" x14ac:dyDescent="0.3">
      <c r="A1177" s="403"/>
      <c r="B1177" s="403"/>
      <c r="C1177" s="403"/>
    </row>
    <row r="1178" spans="1:3" x14ac:dyDescent="0.3">
      <c r="A1178" s="403"/>
      <c r="B1178" s="403"/>
      <c r="C1178" s="403"/>
    </row>
    <row r="1179" spans="1:3" x14ac:dyDescent="0.3">
      <c r="A1179" s="403"/>
      <c r="B1179" s="403"/>
      <c r="C1179" s="403"/>
    </row>
    <row r="1180" spans="1:3" x14ac:dyDescent="0.3">
      <c r="A1180" s="403"/>
      <c r="B1180" s="403"/>
      <c r="C1180" s="403"/>
    </row>
    <row r="1181" spans="1:3" x14ac:dyDescent="0.3">
      <c r="A1181" s="403"/>
      <c r="B1181" s="403"/>
      <c r="C1181" s="403"/>
    </row>
    <row r="1182" spans="1:3" x14ac:dyDescent="0.3">
      <c r="A1182" s="403"/>
      <c r="B1182" s="403"/>
      <c r="C1182" s="403"/>
    </row>
    <row r="1183" spans="1:3" x14ac:dyDescent="0.3">
      <c r="A1183" s="403"/>
      <c r="B1183" s="403"/>
      <c r="C1183" s="403"/>
    </row>
    <row r="1184" spans="1:3" x14ac:dyDescent="0.3">
      <c r="A1184" s="403"/>
      <c r="B1184" s="403"/>
      <c r="C1184" s="403"/>
    </row>
    <row r="1185" spans="1:3" x14ac:dyDescent="0.3">
      <c r="A1185" s="403"/>
      <c r="B1185" s="403"/>
      <c r="C1185" s="403"/>
    </row>
    <row r="1186" spans="1:3" x14ac:dyDescent="0.3">
      <c r="A1186" s="403"/>
      <c r="B1186" s="403"/>
      <c r="C1186" s="403"/>
    </row>
    <row r="1187" spans="1:3" x14ac:dyDescent="0.3">
      <c r="A1187" s="403"/>
      <c r="B1187" s="403"/>
      <c r="C1187" s="403"/>
    </row>
    <row r="1188" spans="1:3" x14ac:dyDescent="0.3">
      <c r="A1188" s="403"/>
      <c r="B1188" s="403"/>
      <c r="C1188" s="403"/>
    </row>
    <row r="1189" spans="1:3" x14ac:dyDescent="0.3">
      <c r="A1189" s="403"/>
      <c r="B1189" s="403"/>
      <c r="C1189" s="403"/>
    </row>
    <row r="1190" spans="1:3" x14ac:dyDescent="0.3">
      <c r="A1190" s="403"/>
      <c r="B1190" s="403"/>
      <c r="C1190" s="403"/>
    </row>
    <row r="1191" spans="1:3" x14ac:dyDescent="0.3">
      <c r="A1191" s="403"/>
      <c r="B1191" s="403"/>
      <c r="C1191" s="403"/>
    </row>
    <row r="1192" spans="1:3" x14ac:dyDescent="0.3">
      <c r="A1192" s="403"/>
      <c r="B1192" s="403"/>
      <c r="C1192" s="403"/>
    </row>
    <row r="1193" spans="1:3" x14ac:dyDescent="0.3">
      <c r="A1193" s="403"/>
      <c r="B1193" s="403"/>
      <c r="C1193" s="403"/>
    </row>
    <row r="1194" spans="1:3" x14ac:dyDescent="0.3">
      <c r="A1194" s="403"/>
      <c r="B1194" s="403"/>
      <c r="C1194" s="403"/>
    </row>
    <row r="1195" spans="1:3" x14ac:dyDescent="0.3">
      <c r="A1195" s="403"/>
      <c r="B1195" s="403"/>
      <c r="C1195" s="403"/>
    </row>
    <row r="1196" spans="1:3" x14ac:dyDescent="0.3">
      <c r="A1196" s="403"/>
      <c r="B1196" s="403"/>
      <c r="C1196" s="403"/>
    </row>
    <row r="1197" spans="1:3" x14ac:dyDescent="0.3">
      <c r="A1197" s="403"/>
      <c r="B1197" s="403"/>
      <c r="C1197" s="403"/>
    </row>
    <row r="1198" spans="1:3" x14ac:dyDescent="0.3">
      <c r="A1198" s="403"/>
      <c r="B1198" s="403"/>
      <c r="C1198" s="403"/>
    </row>
    <row r="1199" spans="1:3" x14ac:dyDescent="0.3">
      <c r="A1199" s="403"/>
      <c r="B1199" s="403"/>
      <c r="C1199" s="403"/>
    </row>
    <row r="1200" spans="1:3" x14ac:dyDescent="0.3">
      <c r="A1200" s="403"/>
      <c r="B1200" s="403"/>
      <c r="C1200" s="403"/>
    </row>
    <row r="1201" spans="1:3" x14ac:dyDescent="0.3">
      <c r="A1201" s="403"/>
      <c r="B1201" s="403"/>
      <c r="C1201" s="403"/>
    </row>
    <row r="1202" spans="1:3" x14ac:dyDescent="0.3">
      <c r="A1202" s="403"/>
      <c r="B1202" s="403"/>
      <c r="C1202" s="403"/>
    </row>
    <row r="1203" spans="1:3" x14ac:dyDescent="0.3">
      <c r="A1203" s="403"/>
      <c r="B1203" s="403"/>
      <c r="C1203" s="403"/>
    </row>
    <row r="1204" spans="1:3" x14ac:dyDescent="0.3">
      <c r="A1204" s="403"/>
      <c r="B1204" s="403"/>
      <c r="C1204" s="403"/>
    </row>
    <row r="1205" spans="1:3" x14ac:dyDescent="0.3">
      <c r="A1205" s="403"/>
      <c r="B1205" s="403"/>
      <c r="C1205" s="403"/>
    </row>
    <row r="1206" spans="1:3" x14ac:dyDescent="0.3">
      <c r="A1206" s="403"/>
      <c r="B1206" s="403"/>
      <c r="C1206" s="403"/>
    </row>
    <row r="1207" spans="1:3" x14ac:dyDescent="0.3">
      <c r="A1207" s="403"/>
      <c r="B1207" s="403"/>
      <c r="C1207" s="403"/>
    </row>
    <row r="1208" spans="1:3" x14ac:dyDescent="0.3">
      <c r="A1208" s="403"/>
      <c r="B1208" s="403"/>
      <c r="C1208" s="403"/>
    </row>
    <row r="1209" spans="1:3" x14ac:dyDescent="0.3">
      <c r="A1209" s="403"/>
      <c r="B1209" s="403"/>
      <c r="C1209" s="403"/>
    </row>
    <row r="1210" spans="1:3" x14ac:dyDescent="0.3">
      <c r="A1210" s="403"/>
      <c r="B1210" s="403"/>
      <c r="C1210" s="403"/>
    </row>
    <row r="1211" spans="1:3" x14ac:dyDescent="0.3">
      <c r="A1211" s="403"/>
      <c r="B1211" s="403"/>
      <c r="C1211" s="403"/>
    </row>
    <row r="1212" spans="1:3" x14ac:dyDescent="0.3">
      <c r="A1212" s="403"/>
      <c r="B1212" s="403"/>
      <c r="C1212" s="403"/>
    </row>
    <row r="1213" spans="1:3" x14ac:dyDescent="0.3">
      <c r="A1213" s="403"/>
      <c r="B1213" s="403"/>
      <c r="C1213" s="403"/>
    </row>
    <row r="1214" spans="1:3" x14ac:dyDescent="0.3">
      <c r="A1214" s="403"/>
      <c r="B1214" s="403"/>
      <c r="C1214" s="403"/>
    </row>
    <row r="1215" spans="1:3" x14ac:dyDescent="0.3">
      <c r="A1215" s="403"/>
      <c r="B1215" s="403"/>
      <c r="C1215" s="403"/>
    </row>
    <row r="1216" spans="1:3" x14ac:dyDescent="0.3">
      <c r="A1216" s="403"/>
      <c r="B1216" s="403"/>
      <c r="C1216" s="403"/>
    </row>
    <row r="1217" spans="1:3" x14ac:dyDescent="0.3">
      <c r="A1217" s="403"/>
      <c r="B1217" s="403"/>
      <c r="C1217" s="403"/>
    </row>
    <row r="1218" spans="1:3" x14ac:dyDescent="0.3">
      <c r="A1218" s="403"/>
      <c r="B1218" s="403"/>
      <c r="C1218" s="403"/>
    </row>
    <row r="1219" spans="1:3" x14ac:dyDescent="0.3">
      <c r="A1219" s="403"/>
      <c r="B1219" s="403"/>
      <c r="C1219" s="403"/>
    </row>
    <row r="1220" spans="1:3" x14ac:dyDescent="0.3">
      <c r="A1220" s="403"/>
      <c r="B1220" s="403"/>
      <c r="C1220" s="403"/>
    </row>
    <row r="1221" spans="1:3" x14ac:dyDescent="0.3">
      <c r="A1221" s="403"/>
      <c r="B1221" s="403"/>
      <c r="C1221" s="403"/>
    </row>
    <row r="1222" spans="1:3" x14ac:dyDescent="0.3">
      <c r="A1222" s="403"/>
      <c r="B1222" s="403"/>
      <c r="C1222" s="403"/>
    </row>
    <row r="1223" spans="1:3" x14ac:dyDescent="0.3">
      <c r="A1223" s="403"/>
      <c r="B1223" s="403"/>
      <c r="C1223" s="403"/>
    </row>
    <row r="1224" spans="1:3" x14ac:dyDescent="0.3">
      <c r="A1224" s="403"/>
      <c r="B1224" s="403"/>
      <c r="C1224" s="403"/>
    </row>
    <row r="1225" spans="1:3" x14ac:dyDescent="0.3">
      <c r="A1225" s="403"/>
      <c r="B1225" s="403"/>
      <c r="C1225" s="403"/>
    </row>
    <row r="1226" spans="1:3" x14ac:dyDescent="0.3">
      <c r="A1226" s="403"/>
      <c r="B1226" s="403"/>
      <c r="C1226" s="403"/>
    </row>
    <row r="1227" spans="1:3" x14ac:dyDescent="0.3">
      <c r="A1227" s="403"/>
      <c r="B1227" s="403"/>
      <c r="C1227" s="403"/>
    </row>
    <row r="1228" spans="1:3" x14ac:dyDescent="0.3">
      <c r="A1228" s="403"/>
      <c r="B1228" s="403"/>
      <c r="C1228" s="403"/>
    </row>
    <row r="1229" spans="1:3" x14ac:dyDescent="0.3">
      <c r="A1229" s="403"/>
      <c r="B1229" s="403"/>
      <c r="C1229" s="403"/>
    </row>
    <row r="1230" spans="1:3" x14ac:dyDescent="0.3">
      <c r="A1230" s="403"/>
      <c r="B1230" s="403"/>
      <c r="C1230" s="403"/>
    </row>
    <row r="1231" spans="1:3" x14ac:dyDescent="0.3">
      <c r="A1231" s="403"/>
      <c r="B1231" s="403"/>
      <c r="C1231" s="403"/>
    </row>
    <row r="1232" spans="1:3" x14ac:dyDescent="0.3">
      <c r="A1232" s="403"/>
      <c r="B1232" s="403"/>
      <c r="C1232" s="403"/>
    </row>
    <row r="1233" spans="1:3" x14ac:dyDescent="0.3">
      <c r="A1233" s="403"/>
      <c r="B1233" s="403"/>
      <c r="C1233" s="403"/>
    </row>
    <row r="1234" spans="1:3" x14ac:dyDescent="0.3">
      <c r="A1234" s="403"/>
      <c r="B1234" s="403"/>
      <c r="C1234" s="403"/>
    </row>
    <row r="1235" spans="1:3" x14ac:dyDescent="0.3">
      <c r="A1235" s="403"/>
      <c r="B1235" s="403"/>
      <c r="C1235" s="403"/>
    </row>
    <row r="1236" spans="1:3" x14ac:dyDescent="0.3">
      <c r="A1236" s="403"/>
      <c r="B1236" s="403"/>
      <c r="C1236" s="403"/>
    </row>
    <row r="1237" spans="1:3" x14ac:dyDescent="0.3">
      <c r="A1237" s="403"/>
      <c r="B1237" s="403"/>
      <c r="C1237" s="403"/>
    </row>
    <row r="1238" spans="1:3" x14ac:dyDescent="0.3">
      <c r="A1238" s="403"/>
      <c r="B1238" s="403"/>
      <c r="C1238" s="403"/>
    </row>
    <row r="1239" spans="1:3" x14ac:dyDescent="0.3">
      <c r="A1239" s="403"/>
      <c r="B1239" s="403"/>
      <c r="C1239" s="403"/>
    </row>
    <row r="1240" spans="1:3" x14ac:dyDescent="0.3">
      <c r="A1240" s="403"/>
      <c r="B1240" s="403"/>
      <c r="C1240" s="403"/>
    </row>
    <row r="1241" spans="1:3" x14ac:dyDescent="0.3">
      <c r="A1241" s="403"/>
      <c r="B1241" s="403"/>
      <c r="C1241" s="403"/>
    </row>
    <row r="1242" spans="1:3" x14ac:dyDescent="0.3">
      <c r="A1242" s="403"/>
      <c r="B1242" s="403"/>
      <c r="C1242" s="403"/>
    </row>
    <row r="1243" spans="1:3" x14ac:dyDescent="0.3">
      <c r="A1243" s="403"/>
      <c r="B1243" s="403"/>
      <c r="C1243" s="403"/>
    </row>
    <row r="1244" spans="1:3" x14ac:dyDescent="0.3">
      <c r="A1244" s="403"/>
      <c r="B1244" s="403"/>
      <c r="C1244" s="403"/>
    </row>
    <row r="1245" spans="1:3" x14ac:dyDescent="0.3">
      <c r="A1245" s="403"/>
      <c r="B1245" s="403"/>
      <c r="C1245" s="403"/>
    </row>
    <row r="1246" spans="1:3" x14ac:dyDescent="0.3">
      <c r="A1246" s="403"/>
      <c r="B1246" s="403"/>
      <c r="C1246" s="403"/>
    </row>
    <row r="1247" spans="1:3" x14ac:dyDescent="0.3">
      <c r="A1247" s="403"/>
      <c r="B1247" s="403"/>
      <c r="C1247" s="403"/>
    </row>
    <row r="1248" spans="1:3" x14ac:dyDescent="0.3">
      <c r="A1248" s="403"/>
      <c r="B1248" s="403"/>
      <c r="C1248" s="403"/>
    </row>
    <row r="1249" spans="1:3" x14ac:dyDescent="0.3">
      <c r="A1249" s="403"/>
      <c r="B1249" s="403"/>
      <c r="C1249" s="403"/>
    </row>
    <row r="1250" spans="1:3" x14ac:dyDescent="0.3">
      <c r="A1250" s="403"/>
      <c r="B1250" s="403"/>
      <c r="C1250" s="403"/>
    </row>
    <row r="1251" spans="1:3" x14ac:dyDescent="0.3">
      <c r="A1251" s="403"/>
      <c r="B1251" s="403"/>
      <c r="C1251" s="403"/>
    </row>
    <row r="1252" spans="1:3" x14ac:dyDescent="0.3">
      <c r="A1252" s="403"/>
      <c r="B1252" s="403"/>
      <c r="C1252" s="403"/>
    </row>
    <row r="1253" spans="1:3" x14ac:dyDescent="0.3">
      <c r="A1253" s="403"/>
      <c r="B1253" s="403"/>
      <c r="C1253" s="403"/>
    </row>
    <row r="1254" spans="1:3" x14ac:dyDescent="0.3">
      <c r="A1254" s="403"/>
      <c r="B1254" s="403"/>
      <c r="C1254" s="403"/>
    </row>
    <row r="1255" spans="1:3" x14ac:dyDescent="0.3">
      <c r="A1255" s="403"/>
      <c r="B1255" s="403"/>
      <c r="C1255" s="403"/>
    </row>
    <row r="1256" spans="1:3" x14ac:dyDescent="0.3">
      <c r="A1256" s="403"/>
      <c r="B1256" s="403"/>
      <c r="C1256" s="403"/>
    </row>
    <row r="1257" spans="1:3" x14ac:dyDescent="0.3">
      <c r="A1257" s="403"/>
      <c r="B1257" s="403"/>
      <c r="C1257" s="403"/>
    </row>
    <row r="1258" spans="1:3" x14ac:dyDescent="0.3">
      <c r="A1258" s="403"/>
      <c r="B1258" s="403"/>
      <c r="C1258" s="403"/>
    </row>
    <row r="1259" spans="1:3" x14ac:dyDescent="0.3">
      <c r="A1259" s="403"/>
      <c r="B1259" s="403"/>
      <c r="C1259" s="403"/>
    </row>
    <row r="1260" spans="1:3" x14ac:dyDescent="0.3">
      <c r="A1260" s="403"/>
      <c r="B1260" s="403"/>
      <c r="C1260" s="403"/>
    </row>
    <row r="1261" spans="1:3" x14ac:dyDescent="0.3">
      <c r="A1261" s="403"/>
      <c r="B1261" s="403"/>
      <c r="C1261" s="403"/>
    </row>
    <row r="1262" spans="1:3" x14ac:dyDescent="0.3">
      <c r="A1262" s="403"/>
      <c r="B1262" s="403"/>
      <c r="C1262" s="403"/>
    </row>
    <row r="1263" spans="1:3" x14ac:dyDescent="0.3">
      <c r="A1263" s="403"/>
      <c r="B1263" s="403"/>
      <c r="C1263" s="403"/>
    </row>
    <row r="1264" spans="1:3" x14ac:dyDescent="0.3">
      <c r="A1264" s="403"/>
      <c r="B1264" s="403"/>
      <c r="C1264" s="403"/>
    </row>
    <row r="1265" spans="1:3" x14ac:dyDescent="0.3">
      <c r="A1265" s="403"/>
      <c r="B1265" s="403"/>
      <c r="C1265" s="403"/>
    </row>
    <row r="1266" spans="1:3" x14ac:dyDescent="0.3">
      <c r="A1266" s="403"/>
      <c r="B1266" s="403"/>
      <c r="C1266" s="403"/>
    </row>
    <row r="1267" spans="1:3" x14ac:dyDescent="0.3">
      <c r="A1267" s="403"/>
      <c r="B1267" s="403"/>
      <c r="C1267" s="403"/>
    </row>
    <row r="1268" spans="1:3" x14ac:dyDescent="0.3">
      <c r="A1268" s="403"/>
      <c r="B1268" s="403"/>
      <c r="C1268" s="403"/>
    </row>
    <row r="1269" spans="1:3" x14ac:dyDescent="0.3">
      <c r="A1269" s="403"/>
      <c r="B1269" s="403"/>
      <c r="C1269" s="403"/>
    </row>
    <row r="1270" spans="1:3" x14ac:dyDescent="0.3">
      <c r="A1270" s="403"/>
      <c r="B1270" s="403"/>
      <c r="C1270" s="403"/>
    </row>
    <row r="1271" spans="1:3" x14ac:dyDescent="0.3">
      <c r="A1271" s="403"/>
      <c r="B1271" s="403"/>
      <c r="C1271" s="403"/>
    </row>
    <row r="1272" spans="1:3" x14ac:dyDescent="0.3">
      <c r="A1272" s="403"/>
      <c r="B1272" s="403"/>
      <c r="C1272" s="403"/>
    </row>
    <row r="1273" spans="1:3" x14ac:dyDescent="0.3">
      <c r="A1273" s="403"/>
      <c r="B1273" s="403"/>
      <c r="C1273" s="403"/>
    </row>
    <row r="1274" spans="1:3" x14ac:dyDescent="0.3">
      <c r="A1274" s="403"/>
      <c r="B1274" s="403"/>
      <c r="C1274" s="403"/>
    </row>
    <row r="1275" spans="1:3" x14ac:dyDescent="0.3">
      <c r="A1275" s="403"/>
      <c r="B1275" s="403"/>
      <c r="C1275" s="403"/>
    </row>
    <row r="1276" spans="1:3" x14ac:dyDescent="0.3">
      <c r="A1276" s="403"/>
      <c r="B1276" s="403"/>
      <c r="C1276" s="403"/>
    </row>
    <row r="1277" spans="1:3" x14ac:dyDescent="0.3">
      <c r="A1277" s="403"/>
      <c r="B1277" s="403"/>
      <c r="C1277" s="403"/>
    </row>
    <row r="1278" spans="1:3" x14ac:dyDescent="0.3">
      <c r="A1278" s="403"/>
      <c r="B1278" s="403"/>
      <c r="C1278" s="403"/>
    </row>
    <row r="1279" spans="1:3" x14ac:dyDescent="0.3">
      <c r="A1279" s="403"/>
      <c r="B1279" s="403"/>
      <c r="C1279" s="403"/>
    </row>
    <row r="1280" spans="1:3" x14ac:dyDescent="0.3">
      <c r="A1280" s="403"/>
      <c r="B1280" s="403"/>
      <c r="C1280" s="403"/>
    </row>
    <row r="1281" spans="1:3" x14ac:dyDescent="0.3">
      <c r="A1281" s="403"/>
      <c r="B1281" s="403"/>
      <c r="C1281" s="403"/>
    </row>
    <row r="1282" spans="1:3" x14ac:dyDescent="0.3">
      <c r="A1282" s="403"/>
      <c r="B1282" s="403"/>
      <c r="C1282" s="403"/>
    </row>
    <row r="1283" spans="1:3" x14ac:dyDescent="0.3">
      <c r="A1283" s="403"/>
      <c r="B1283" s="403"/>
      <c r="C1283" s="403"/>
    </row>
    <row r="1284" spans="1:3" x14ac:dyDescent="0.3">
      <c r="A1284" s="403"/>
      <c r="B1284" s="403"/>
      <c r="C1284" s="403"/>
    </row>
    <row r="1285" spans="1:3" x14ac:dyDescent="0.3">
      <c r="A1285" s="403"/>
      <c r="B1285" s="403"/>
      <c r="C1285" s="403"/>
    </row>
    <row r="1286" spans="1:3" x14ac:dyDescent="0.3">
      <c r="A1286" s="403"/>
      <c r="B1286" s="403"/>
      <c r="C1286" s="403"/>
    </row>
    <row r="1287" spans="1:3" x14ac:dyDescent="0.3">
      <c r="A1287" s="403"/>
      <c r="B1287" s="403"/>
      <c r="C1287" s="403"/>
    </row>
    <row r="1288" spans="1:3" x14ac:dyDescent="0.3">
      <c r="A1288" s="403"/>
      <c r="B1288" s="403"/>
      <c r="C1288" s="403"/>
    </row>
    <row r="1289" spans="1:3" x14ac:dyDescent="0.3">
      <c r="A1289" s="403"/>
      <c r="B1289" s="403"/>
      <c r="C1289" s="403"/>
    </row>
    <row r="1290" spans="1:3" x14ac:dyDescent="0.3">
      <c r="A1290" s="403"/>
      <c r="B1290" s="403"/>
      <c r="C1290" s="403"/>
    </row>
    <row r="1291" spans="1:3" x14ac:dyDescent="0.3">
      <c r="A1291" s="403"/>
      <c r="B1291" s="403"/>
      <c r="C1291" s="403"/>
    </row>
    <row r="1292" spans="1:3" x14ac:dyDescent="0.3">
      <c r="A1292" s="403"/>
      <c r="B1292" s="403"/>
      <c r="C1292" s="403"/>
    </row>
    <row r="1293" spans="1:3" x14ac:dyDescent="0.3">
      <c r="A1293" s="403"/>
      <c r="B1293" s="403"/>
      <c r="C1293" s="403"/>
    </row>
    <row r="1294" spans="1:3" x14ac:dyDescent="0.3">
      <c r="A1294" s="403"/>
      <c r="B1294" s="403"/>
      <c r="C1294" s="403"/>
    </row>
    <row r="1295" spans="1:3" x14ac:dyDescent="0.3">
      <c r="A1295" s="403"/>
      <c r="B1295" s="403"/>
      <c r="C1295" s="403"/>
    </row>
    <row r="1296" spans="1:3" x14ac:dyDescent="0.3">
      <c r="A1296" s="403"/>
      <c r="B1296" s="403"/>
      <c r="C1296" s="403"/>
    </row>
    <row r="1297" spans="1:3" x14ac:dyDescent="0.3">
      <c r="A1297" s="403"/>
      <c r="B1297" s="403"/>
      <c r="C1297" s="403"/>
    </row>
    <row r="1298" spans="1:3" x14ac:dyDescent="0.3">
      <c r="A1298" s="403"/>
      <c r="B1298" s="403"/>
      <c r="C1298" s="403"/>
    </row>
    <row r="1299" spans="1:3" x14ac:dyDescent="0.3">
      <c r="A1299" s="403"/>
      <c r="B1299" s="403"/>
      <c r="C1299" s="403"/>
    </row>
    <row r="1300" spans="1:3" x14ac:dyDescent="0.3">
      <c r="A1300" s="403"/>
      <c r="B1300" s="403"/>
      <c r="C1300" s="403"/>
    </row>
    <row r="1301" spans="1:3" x14ac:dyDescent="0.3">
      <c r="A1301" s="403"/>
      <c r="B1301" s="403"/>
      <c r="C1301" s="403"/>
    </row>
    <row r="1302" spans="1:3" x14ac:dyDescent="0.3">
      <c r="A1302" s="403"/>
      <c r="B1302" s="403"/>
      <c r="C1302" s="403"/>
    </row>
    <row r="1303" spans="1:3" x14ac:dyDescent="0.3">
      <c r="A1303" s="403"/>
      <c r="B1303" s="403"/>
      <c r="C1303" s="403"/>
    </row>
    <row r="1304" spans="1:3" x14ac:dyDescent="0.3">
      <c r="A1304" s="403"/>
      <c r="B1304" s="403"/>
      <c r="C1304" s="403"/>
    </row>
    <row r="1305" spans="1:3" x14ac:dyDescent="0.3">
      <c r="A1305" s="403"/>
      <c r="B1305" s="403"/>
      <c r="C1305" s="403"/>
    </row>
    <row r="1306" spans="1:3" x14ac:dyDescent="0.3">
      <c r="A1306" s="403"/>
      <c r="B1306" s="403"/>
      <c r="C1306" s="403"/>
    </row>
    <row r="1307" spans="1:3" x14ac:dyDescent="0.3">
      <c r="A1307" s="403"/>
      <c r="B1307" s="403"/>
      <c r="C1307" s="403"/>
    </row>
    <row r="1308" spans="1:3" x14ac:dyDescent="0.3">
      <c r="A1308" s="403"/>
      <c r="B1308" s="403"/>
      <c r="C1308" s="403"/>
    </row>
    <row r="1309" spans="1:3" x14ac:dyDescent="0.3">
      <c r="A1309" s="403"/>
      <c r="B1309" s="403"/>
      <c r="C1309" s="403"/>
    </row>
    <row r="1310" spans="1:3" x14ac:dyDescent="0.3">
      <c r="A1310" s="403"/>
      <c r="B1310" s="403"/>
      <c r="C1310" s="403"/>
    </row>
    <row r="1311" spans="1:3" x14ac:dyDescent="0.3">
      <c r="A1311" s="403"/>
      <c r="B1311" s="403"/>
      <c r="C1311" s="403"/>
    </row>
    <row r="1312" spans="1:3" x14ac:dyDescent="0.3">
      <c r="A1312" s="403"/>
      <c r="B1312" s="403"/>
      <c r="C1312" s="403"/>
    </row>
    <row r="1313" spans="1:3" x14ac:dyDescent="0.3">
      <c r="A1313" s="403"/>
      <c r="B1313" s="403"/>
      <c r="C1313" s="403"/>
    </row>
    <row r="1314" spans="1:3" x14ac:dyDescent="0.3">
      <c r="A1314" s="403"/>
      <c r="B1314" s="403"/>
      <c r="C1314" s="403"/>
    </row>
    <row r="1315" spans="1:3" x14ac:dyDescent="0.3">
      <c r="A1315" s="403"/>
      <c r="B1315" s="403"/>
      <c r="C1315" s="403"/>
    </row>
    <row r="1316" spans="1:3" x14ac:dyDescent="0.3">
      <c r="A1316" s="403"/>
      <c r="B1316" s="403"/>
      <c r="C1316" s="403"/>
    </row>
    <row r="1317" spans="1:3" x14ac:dyDescent="0.3">
      <c r="A1317" s="403"/>
      <c r="B1317" s="403"/>
      <c r="C1317" s="403"/>
    </row>
    <row r="1318" spans="1:3" x14ac:dyDescent="0.3">
      <c r="A1318" s="403"/>
      <c r="B1318" s="403"/>
      <c r="C1318" s="403"/>
    </row>
    <row r="1319" spans="1:3" x14ac:dyDescent="0.3">
      <c r="A1319" s="403"/>
      <c r="B1319" s="403"/>
      <c r="C1319" s="403"/>
    </row>
    <row r="1320" spans="1:3" x14ac:dyDescent="0.3">
      <c r="A1320" s="403"/>
      <c r="B1320" s="403"/>
      <c r="C1320" s="403"/>
    </row>
    <row r="1321" spans="1:3" x14ac:dyDescent="0.3">
      <c r="A1321" s="403"/>
      <c r="B1321" s="403"/>
      <c r="C1321" s="403"/>
    </row>
    <row r="1322" spans="1:3" x14ac:dyDescent="0.3">
      <c r="A1322" s="403"/>
      <c r="B1322" s="403"/>
      <c r="C1322" s="403"/>
    </row>
    <row r="1323" spans="1:3" x14ac:dyDescent="0.3">
      <c r="A1323" s="403"/>
      <c r="B1323" s="403"/>
      <c r="C1323" s="403"/>
    </row>
    <row r="1324" spans="1:3" x14ac:dyDescent="0.3">
      <c r="A1324" s="403"/>
      <c r="B1324" s="403"/>
      <c r="C1324" s="403"/>
    </row>
    <row r="1325" spans="1:3" x14ac:dyDescent="0.3">
      <c r="A1325" s="403"/>
      <c r="B1325" s="403"/>
      <c r="C1325" s="403"/>
    </row>
    <row r="1326" spans="1:3" x14ac:dyDescent="0.3">
      <c r="A1326" s="403"/>
      <c r="B1326" s="403"/>
      <c r="C1326" s="403"/>
    </row>
    <row r="1327" spans="1:3" x14ac:dyDescent="0.3">
      <c r="A1327" s="403"/>
      <c r="B1327" s="403"/>
      <c r="C1327" s="403"/>
    </row>
    <row r="1328" spans="1:3" x14ac:dyDescent="0.3">
      <c r="A1328" s="403"/>
      <c r="B1328" s="403"/>
      <c r="C1328" s="403"/>
    </row>
    <row r="1329" spans="1:3" x14ac:dyDescent="0.3">
      <c r="A1329" s="403"/>
      <c r="B1329" s="403"/>
      <c r="C1329" s="403"/>
    </row>
    <row r="1330" spans="1:3" x14ac:dyDescent="0.3">
      <c r="A1330" s="403"/>
      <c r="B1330" s="403"/>
      <c r="C1330" s="403"/>
    </row>
    <row r="1331" spans="1:3" x14ac:dyDescent="0.3">
      <c r="A1331" s="403"/>
      <c r="B1331" s="403"/>
      <c r="C1331" s="403"/>
    </row>
    <row r="1332" spans="1:3" x14ac:dyDescent="0.3">
      <c r="A1332" s="403"/>
      <c r="B1332" s="403"/>
      <c r="C1332" s="403"/>
    </row>
    <row r="1333" spans="1:3" x14ac:dyDescent="0.3">
      <c r="A1333" s="403"/>
      <c r="B1333" s="403"/>
      <c r="C1333" s="403"/>
    </row>
    <row r="1334" spans="1:3" x14ac:dyDescent="0.3">
      <c r="A1334" s="403"/>
      <c r="B1334" s="403"/>
      <c r="C1334" s="403"/>
    </row>
    <row r="1335" spans="1:3" x14ac:dyDescent="0.3">
      <c r="A1335" s="403"/>
      <c r="B1335" s="403"/>
      <c r="C1335" s="403"/>
    </row>
    <row r="1336" spans="1:3" x14ac:dyDescent="0.3">
      <c r="A1336" s="403"/>
      <c r="B1336" s="403"/>
      <c r="C1336" s="403"/>
    </row>
    <row r="1337" spans="1:3" x14ac:dyDescent="0.3">
      <c r="A1337" s="403"/>
      <c r="B1337" s="403"/>
      <c r="C1337" s="403"/>
    </row>
    <row r="1338" spans="1:3" x14ac:dyDescent="0.3">
      <c r="A1338" s="403"/>
      <c r="B1338" s="403"/>
      <c r="C1338" s="403"/>
    </row>
    <row r="1339" spans="1:3" x14ac:dyDescent="0.3">
      <c r="A1339" s="403"/>
      <c r="B1339" s="403"/>
      <c r="C1339" s="403"/>
    </row>
    <row r="1340" spans="1:3" x14ac:dyDescent="0.3">
      <c r="A1340" s="403"/>
      <c r="B1340" s="403"/>
      <c r="C1340" s="403"/>
    </row>
    <row r="1341" spans="1:3" x14ac:dyDescent="0.3">
      <c r="A1341" s="403"/>
      <c r="B1341" s="403"/>
      <c r="C1341" s="403"/>
    </row>
    <row r="1342" spans="1:3" x14ac:dyDescent="0.3">
      <c r="A1342" s="403"/>
      <c r="B1342" s="403"/>
      <c r="C1342" s="403"/>
    </row>
    <row r="1343" spans="1:3" x14ac:dyDescent="0.3">
      <c r="A1343" s="403"/>
      <c r="B1343" s="403"/>
      <c r="C1343" s="403"/>
    </row>
    <row r="1344" spans="1:3" x14ac:dyDescent="0.3">
      <c r="A1344" s="403"/>
      <c r="B1344" s="403"/>
      <c r="C1344" s="403"/>
    </row>
    <row r="1345" spans="1:3" x14ac:dyDescent="0.3">
      <c r="A1345" s="403"/>
      <c r="B1345" s="403"/>
      <c r="C1345" s="403"/>
    </row>
    <row r="1346" spans="1:3" x14ac:dyDescent="0.3">
      <c r="A1346" s="403"/>
      <c r="B1346" s="403"/>
      <c r="C1346" s="403"/>
    </row>
    <row r="1347" spans="1:3" x14ac:dyDescent="0.3">
      <c r="A1347" s="403"/>
      <c r="B1347" s="403"/>
      <c r="C1347" s="403"/>
    </row>
    <row r="1348" spans="1:3" x14ac:dyDescent="0.3">
      <c r="A1348" s="403"/>
      <c r="B1348" s="403"/>
      <c r="C1348" s="403"/>
    </row>
    <row r="1349" spans="1:3" x14ac:dyDescent="0.3">
      <c r="A1349" s="403"/>
      <c r="B1349" s="403"/>
      <c r="C1349" s="403"/>
    </row>
    <row r="1350" spans="1:3" x14ac:dyDescent="0.3">
      <c r="A1350" s="403"/>
      <c r="B1350" s="403"/>
      <c r="C1350" s="403"/>
    </row>
    <row r="1351" spans="1:3" x14ac:dyDescent="0.3">
      <c r="A1351" s="403"/>
      <c r="B1351" s="403"/>
      <c r="C1351" s="403"/>
    </row>
    <row r="1352" spans="1:3" x14ac:dyDescent="0.3">
      <c r="A1352" s="403"/>
      <c r="B1352" s="403"/>
      <c r="C1352" s="403"/>
    </row>
    <row r="1353" spans="1:3" x14ac:dyDescent="0.3">
      <c r="A1353" s="403"/>
      <c r="B1353" s="403"/>
      <c r="C1353" s="403"/>
    </row>
    <row r="1354" spans="1:3" x14ac:dyDescent="0.3">
      <c r="A1354" s="403"/>
      <c r="B1354" s="403"/>
      <c r="C1354" s="403"/>
    </row>
    <row r="1355" spans="1:3" x14ac:dyDescent="0.3">
      <c r="A1355" s="403"/>
      <c r="B1355" s="403"/>
      <c r="C1355" s="403"/>
    </row>
    <row r="1356" spans="1:3" x14ac:dyDescent="0.3">
      <c r="A1356" s="403"/>
      <c r="B1356" s="403"/>
      <c r="C1356" s="403"/>
    </row>
    <row r="1357" spans="1:3" x14ac:dyDescent="0.3">
      <c r="A1357" s="403"/>
      <c r="B1357" s="403"/>
      <c r="C1357" s="403"/>
    </row>
    <row r="1358" spans="1:3" x14ac:dyDescent="0.3">
      <c r="A1358" s="403"/>
      <c r="B1358" s="403"/>
      <c r="C1358" s="403"/>
    </row>
    <row r="1359" spans="1:3" x14ac:dyDescent="0.3">
      <c r="A1359" s="403"/>
      <c r="B1359" s="403"/>
      <c r="C1359" s="403"/>
    </row>
    <row r="1360" spans="1:3" x14ac:dyDescent="0.3">
      <c r="A1360" s="403"/>
      <c r="B1360" s="403"/>
      <c r="C1360" s="403"/>
    </row>
    <row r="1361" spans="1:3" x14ac:dyDescent="0.3">
      <c r="A1361" s="403"/>
      <c r="B1361" s="403"/>
      <c r="C1361" s="403"/>
    </row>
    <row r="1362" spans="1:3" x14ac:dyDescent="0.3">
      <c r="A1362" s="403"/>
      <c r="B1362" s="403"/>
      <c r="C1362" s="403"/>
    </row>
    <row r="1363" spans="1:3" x14ac:dyDescent="0.3">
      <c r="A1363" s="403"/>
      <c r="B1363" s="403"/>
      <c r="C1363" s="403"/>
    </row>
    <row r="1364" spans="1:3" x14ac:dyDescent="0.3">
      <c r="A1364" s="403"/>
      <c r="B1364" s="403"/>
      <c r="C1364" s="403"/>
    </row>
    <row r="1365" spans="1:3" x14ac:dyDescent="0.3">
      <c r="A1365" s="403"/>
      <c r="B1365" s="403"/>
      <c r="C1365" s="403"/>
    </row>
    <row r="1366" spans="1:3" x14ac:dyDescent="0.3">
      <c r="A1366" s="403"/>
      <c r="B1366" s="403"/>
      <c r="C1366" s="403"/>
    </row>
    <row r="1367" spans="1:3" x14ac:dyDescent="0.3">
      <c r="A1367" s="403"/>
      <c r="B1367" s="403"/>
      <c r="C1367" s="403"/>
    </row>
    <row r="1368" spans="1:3" x14ac:dyDescent="0.3">
      <c r="A1368" s="403"/>
      <c r="B1368" s="403"/>
      <c r="C1368" s="403"/>
    </row>
    <row r="1369" spans="1:3" x14ac:dyDescent="0.3">
      <c r="A1369" s="403"/>
      <c r="B1369" s="403"/>
      <c r="C1369" s="403"/>
    </row>
    <row r="1370" spans="1:3" x14ac:dyDescent="0.3">
      <c r="A1370" s="403"/>
      <c r="B1370" s="403"/>
      <c r="C1370" s="403"/>
    </row>
    <row r="1371" spans="1:3" x14ac:dyDescent="0.3">
      <c r="A1371" s="403"/>
      <c r="B1371" s="403"/>
      <c r="C1371" s="403"/>
    </row>
    <row r="1372" spans="1:3" x14ac:dyDescent="0.3">
      <c r="A1372" s="403"/>
      <c r="B1372" s="403"/>
      <c r="C1372" s="403"/>
    </row>
    <row r="1373" spans="1:3" x14ac:dyDescent="0.3">
      <c r="A1373" s="403"/>
      <c r="B1373" s="403"/>
      <c r="C1373" s="403"/>
    </row>
    <row r="1374" spans="1:3" x14ac:dyDescent="0.3">
      <c r="A1374" s="403"/>
      <c r="B1374" s="403"/>
      <c r="C1374" s="403"/>
    </row>
    <row r="1375" spans="1:3" x14ac:dyDescent="0.3">
      <c r="A1375" s="403"/>
      <c r="B1375" s="403"/>
      <c r="C1375" s="403"/>
    </row>
    <row r="1376" spans="1:3" x14ac:dyDescent="0.3">
      <c r="A1376" s="403"/>
      <c r="B1376" s="403"/>
      <c r="C1376" s="403"/>
    </row>
    <row r="1377" spans="1:3" x14ac:dyDescent="0.3">
      <c r="A1377" s="403"/>
      <c r="B1377" s="403"/>
      <c r="C1377" s="403"/>
    </row>
    <row r="1378" spans="1:3" x14ac:dyDescent="0.3">
      <c r="A1378" s="403"/>
      <c r="B1378" s="403"/>
      <c r="C1378" s="403"/>
    </row>
    <row r="1379" spans="1:3" x14ac:dyDescent="0.3">
      <c r="A1379" s="403"/>
      <c r="B1379" s="403"/>
      <c r="C1379" s="403"/>
    </row>
    <row r="1380" spans="1:3" x14ac:dyDescent="0.3">
      <c r="A1380" s="403"/>
      <c r="B1380" s="403"/>
      <c r="C1380" s="403"/>
    </row>
    <row r="1381" spans="1:3" x14ac:dyDescent="0.3">
      <c r="A1381" s="403"/>
      <c r="B1381" s="403"/>
      <c r="C1381" s="403"/>
    </row>
    <row r="1382" spans="1:3" x14ac:dyDescent="0.3">
      <c r="A1382" s="403"/>
      <c r="B1382" s="403"/>
      <c r="C1382" s="403"/>
    </row>
    <row r="1383" spans="1:3" x14ac:dyDescent="0.3">
      <c r="A1383" s="403"/>
      <c r="B1383" s="403"/>
      <c r="C1383" s="403"/>
    </row>
    <row r="1384" spans="1:3" x14ac:dyDescent="0.3">
      <c r="A1384" s="403"/>
      <c r="B1384" s="403"/>
      <c r="C1384" s="403"/>
    </row>
    <row r="1385" spans="1:3" x14ac:dyDescent="0.3">
      <c r="A1385" s="403"/>
      <c r="B1385" s="403"/>
      <c r="C1385" s="403"/>
    </row>
    <row r="1386" spans="1:3" x14ac:dyDescent="0.3">
      <c r="A1386" s="403"/>
      <c r="B1386" s="403"/>
      <c r="C1386" s="403"/>
    </row>
    <row r="1387" spans="1:3" x14ac:dyDescent="0.3">
      <c r="A1387" s="403"/>
      <c r="B1387" s="403"/>
      <c r="C1387" s="403"/>
    </row>
    <row r="1388" spans="1:3" x14ac:dyDescent="0.3">
      <c r="A1388" s="403"/>
      <c r="B1388" s="403"/>
      <c r="C1388" s="403"/>
    </row>
    <row r="1389" spans="1:3" x14ac:dyDescent="0.3">
      <c r="A1389" s="403"/>
      <c r="B1389" s="403"/>
      <c r="C1389" s="403"/>
    </row>
    <row r="1390" spans="1:3" x14ac:dyDescent="0.3">
      <c r="A1390" s="403"/>
      <c r="B1390" s="403"/>
      <c r="C1390" s="403"/>
    </row>
    <row r="1391" spans="1:3" x14ac:dyDescent="0.3">
      <c r="A1391" s="403"/>
      <c r="B1391" s="403"/>
      <c r="C1391" s="403"/>
    </row>
    <row r="1392" spans="1:3" x14ac:dyDescent="0.3">
      <c r="A1392" s="403"/>
      <c r="B1392" s="403"/>
      <c r="C1392" s="403"/>
    </row>
    <row r="1393" spans="1:3" x14ac:dyDescent="0.3"/>
    <row r="1394" spans="1:3" x14ac:dyDescent="0.3"/>
    <row r="1395" spans="1:3" x14ac:dyDescent="0.3">
      <c r="A1395" s="403"/>
      <c r="B1395" s="403"/>
      <c r="C1395" s="403"/>
    </row>
    <row r="1396" spans="1:3" x14ac:dyDescent="0.3">
      <c r="A1396" s="403"/>
      <c r="B1396" s="403"/>
      <c r="C1396" s="403"/>
    </row>
    <row r="1397" spans="1:3" x14ac:dyDescent="0.3">
      <c r="A1397" s="403"/>
      <c r="B1397" s="403"/>
      <c r="C1397" s="403"/>
    </row>
    <row r="1398" spans="1:3" x14ac:dyDescent="0.3">
      <c r="A1398" s="403"/>
      <c r="B1398" s="403"/>
      <c r="C1398" s="403"/>
    </row>
    <row r="1399" spans="1:3" x14ac:dyDescent="0.3">
      <c r="A1399" s="403"/>
      <c r="B1399" s="403"/>
      <c r="C1399" s="403"/>
    </row>
    <row r="1400" spans="1:3" x14ac:dyDescent="0.3">
      <c r="A1400" s="403"/>
      <c r="B1400" s="403"/>
      <c r="C1400" s="403"/>
    </row>
    <row r="1401" spans="1:3" x14ac:dyDescent="0.3">
      <c r="A1401" s="403"/>
      <c r="B1401" s="403"/>
      <c r="C1401" s="403"/>
    </row>
    <row r="1402" spans="1:3" x14ac:dyDescent="0.3">
      <c r="A1402" s="403"/>
      <c r="B1402" s="403"/>
      <c r="C1402" s="403"/>
    </row>
    <row r="1403" spans="1:3" x14ac:dyDescent="0.3">
      <c r="A1403" s="403"/>
      <c r="B1403" s="403"/>
      <c r="C1403" s="403"/>
    </row>
    <row r="1404" spans="1:3" x14ac:dyDescent="0.3">
      <c r="A1404" s="403"/>
      <c r="B1404" s="403"/>
      <c r="C1404" s="403"/>
    </row>
    <row r="1405" spans="1:3" x14ac:dyDescent="0.3">
      <c r="A1405" s="403"/>
      <c r="B1405" s="403"/>
      <c r="C1405" s="403"/>
    </row>
    <row r="1406" spans="1:3" x14ac:dyDescent="0.3">
      <c r="A1406" s="403"/>
      <c r="B1406" s="403"/>
      <c r="C1406" s="403"/>
    </row>
    <row r="1407" spans="1:3" x14ac:dyDescent="0.3">
      <c r="A1407" s="403"/>
      <c r="B1407" s="403"/>
      <c r="C1407" s="403"/>
    </row>
    <row r="1408" spans="1:3" x14ac:dyDescent="0.3">
      <c r="A1408" s="403"/>
      <c r="B1408" s="403"/>
      <c r="C1408" s="403"/>
    </row>
    <row r="1409" spans="1:3" x14ac:dyDescent="0.3">
      <c r="A1409" s="403"/>
      <c r="B1409" s="403"/>
      <c r="C1409" s="403"/>
    </row>
    <row r="1410" spans="1:3" x14ac:dyDescent="0.3">
      <c r="A1410" s="403"/>
      <c r="B1410" s="403"/>
      <c r="C1410" s="403"/>
    </row>
    <row r="1411" spans="1:3" x14ac:dyDescent="0.3">
      <c r="A1411" s="403"/>
      <c r="B1411" s="403"/>
      <c r="C1411" s="403"/>
    </row>
    <row r="1412" spans="1:3" x14ac:dyDescent="0.3">
      <c r="A1412" s="403"/>
      <c r="B1412" s="403"/>
      <c r="C1412" s="403"/>
    </row>
    <row r="1413" spans="1:3" x14ac:dyDescent="0.3">
      <c r="A1413" s="403"/>
      <c r="B1413" s="403"/>
      <c r="C1413" s="403"/>
    </row>
    <row r="1414" spans="1:3" x14ac:dyDescent="0.3">
      <c r="A1414" s="403"/>
      <c r="B1414" s="403"/>
      <c r="C1414" s="403"/>
    </row>
    <row r="1415" spans="1:3" x14ac:dyDescent="0.3">
      <c r="A1415" s="403"/>
      <c r="B1415" s="403"/>
      <c r="C1415" s="403"/>
    </row>
    <row r="1416" spans="1:3" x14ac:dyDescent="0.3">
      <c r="A1416" s="403"/>
      <c r="B1416" s="403"/>
      <c r="C1416" s="403"/>
    </row>
    <row r="1417" spans="1:3" x14ac:dyDescent="0.3">
      <c r="A1417" s="403"/>
      <c r="B1417" s="403"/>
      <c r="C1417" s="403"/>
    </row>
    <row r="1418" spans="1:3" x14ac:dyDescent="0.3">
      <c r="A1418" s="403"/>
      <c r="B1418" s="403"/>
      <c r="C1418" s="403"/>
    </row>
    <row r="1419" spans="1:3" x14ac:dyDescent="0.3">
      <c r="A1419" s="403"/>
      <c r="B1419" s="403"/>
      <c r="C1419" s="403"/>
    </row>
    <row r="1420" spans="1:3" x14ac:dyDescent="0.3">
      <c r="A1420" s="403"/>
      <c r="B1420" s="403"/>
      <c r="C1420" s="403"/>
    </row>
    <row r="1421" spans="1:3" x14ac:dyDescent="0.3">
      <c r="A1421" s="403"/>
      <c r="B1421" s="403"/>
      <c r="C1421" s="403"/>
    </row>
    <row r="1422" spans="1:3" x14ac:dyDescent="0.3">
      <c r="A1422" s="403"/>
      <c r="B1422" s="403"/>
      <c r="C1422" s="403"/>
    </row>
    <row r="1423" spans="1:3" x14ac:dyDescent="0.3">
      <c r="A1423" s="403"/>
      <c r="B1423" s="403"/>
      <c r="C1423" s="403"/>
    </row>
    <row r="1424" spans="1:3" x14ac:dyDescent="0.3">
      <c r="A1424" s="403"/>
      <c r="B1424" s="403"/>
      <c r="C1424" s="403"/>
    </row>
    <row r="1425" spans="1:3" x14ac:dyDescent="0.3">
      <c r="A1425" s="403"/>
      <c r="B1425" s="403"/>
      <c r="C1425" s="403"/>
    </row>
    <row r="1426" spans="1:3" x14ac:dyDescent="0.3">
      <c r="A1426" s="403"/>
      <c r="B1426" s="403"/>
      <c r="C1426" s="403"/>
    </row>
    <row r="1427" spans="1:3" x14ac:dyDescent="0.3">
      <c r="A1427" s="403"/>
      <c r="B1427" s="403"/>
      <c r="C1427" s="403"/>
    </row>
    <row r="1428" spans="1:3" x14ac:dyDescent="0.3">
      <c r="A1428" s="403"/>
      <c r="B1428" s="403"/>
      <c r="C1428" s="403"/>
    </row>
    <row r="1429" spans="1:3" x14ac:dyDescent="0.3">
      <c r="A1429" s="403"/>
      <c r="B1429" s="403"/>
      <c r="C1429" s="403"/>
    </row>
    <row r="1430" spans="1:3" x14ac:dyDescent="0.3">
      <c r="A1430" s="403"/>
      <c r="B1430" s="403"/>
      <c r="C1430" s="403"/>
    </row>
    <row r="1431" spans="1:3" x14ac:dyDescent="0.3">
      <c r="A1431" s="403"/>
      <c r="B1431" s="403"/>
      <c r="C1431" s="403"/>
    </row>
    <row r="1432" spans="1:3" x14ac:dyDescent="0.3">
      <c r="A1432" s="403"/>
      <c r="B1432" s="403"/>
      <c r="C1432" s="403"/>
    </row>
    <row r="1433" spans="1:3" x14ac:dyDescent="0.3">
      <c r="A1433" s="403"/>
      <c r="B1433" s="403"/>
      <c r="C1433" s="403"/>
    </row>
    <row r="1434" spans="1:3" x14ac:dyDescent="0.3">
      <c r="A1434" s="403"/>
      <c r="B1434" s="403"/>
      <c r="C1434" s="403"/>
    </row>
    <row r="1435" spans="1:3" x14ac:dyDescent="0.3">
      <c r="A1435" s="403"/>
      <c r="B1435" s="403"/>
      <c r="C1435" s="403"/>
    </row>
    <row r="1436" spans="1:3" x14ac:dyDescent="0.3">
      <c r="A1436" s="403"/>
      <c r="B1436" s="403"/>
      <c r="C1436" s="403"/>
    </row>
    <row r="1437" spans="1:3" x14ac:dyDescent="0.3">
      <c r="A1437" s="403"/>
      <c r="B1437" s="403"/>
      <c r="C1437" s="403"/>
    </row>
    <row r="1438" spans="1:3" x14ac:dyDescent="0.3">
      <c r="A1438" s="403"/>
      <c r="B1438" s="403"/>
      <c r="C1438" s="403"/>
    </row>
    <row r="1439" spans="1:3" x14ac:dyDescent="0.3">
      <c r="A1439" s="403"/>
      <c r="B1439" s="403"/>
      <c r="C1439" s="403"/>
    </row>
    <row r="1440" spans="1:3" x14ac:dyDescent="0.3">
      <c r="A1440" s="403"/>
      <c r="B1440" s="403"/>
      <c r="C1440" s="403"/>
    </row>
    <row r="1441" spans="1:3" x14ac:dyDescent="0.3">
      <c r="A1441" s="403"/>
      <c r="B1441" s="403"/>
      <c r="C1441" s="403"/>
    </row>
    <row r="1442" spans="1:3" x14ac:dyDescent="0.3">
      <c r="A1442" s="403"/>
      <c r="B1442" s="403"/>
      <c r="C1442" s="403"/>
    </row>
    <row r="1443" spans="1:3" x14ac:dyDescent="0.3">
      <c r="A1443" s="403"/>
      <c r="B1443" s="403"/>
      <c r="C1443" s="403"/>
    </row>
    <row r="1444" spans="1:3" x14ac:dyDescent="0.3">
      <c r="A1444" s="403"/>
      <c r="B1444" s="403"/>
      <c r="C1444" s="403"/>
    </row>
    <row r="1445" spans="1:3" x14ac:dyDescent="0.3">
      <c r="A1445" s="403"/>
      <c r="B1445" s="403"/>
      <c r="C1445" s="403"/>
    </row>
    <row r="1446" spans="1:3" x14ac:dyDescent="0.3">
      <c r="A1446" s="403"/>
      <c r="B1446" s="403"/>
      <c r="C1446" s="403"/>
    </row>
    <row r="1447" spans="1:3" x14ac:dyDescent="0.3">
      <c r="A1447" s="403"/>
      <c r="B1447" s="403"/>
      <c r="C1447" s="403"/>
    </row>
    <row r="1448" spans="1:3" x14ac:dyDescent="0.3">
      <c r="A1448" s="403"/>
      <c r="B1448" s="403"/>
      <c r="C1448" s="403"/>
    </row>
    <row r="1449" spans="1:3" x14ac:dyDescent="0.3">
      <c r="A1449" s="403"/>
      <c r="B1449" s="403"/>
      <c r="C1449" s="403"/>
    </row>
    <row r="1450" spans="1:3" x14ac:dyDescent="0.3">
      <c r="A1450" s="403"/>
      <c r="B1450" s="403"/>
      <c r="C1450" s="403"/>
    </row>
    <row r="1451" spans="1:3" x14ac:dyDescent="0.3">
      <c r="A1451" s="403"/>
      <c r="B1451" s="403"/>
      <c r="C1451" s="403"/>
    </row>
    <row r="1452" spans="1:3" x14ac:dyDescent="0.3">
      <c r="A1452" s="403"/>
      <c r="B1452" s="403"/>
      <c r="C1452" s="403"/>
    </row>
    <row r="1453" spans="1:3" x14ac:dyDescent="0.3">
      <c r="A1453" s="403"/>
      <c r="B1453" s="403"/>
      <c r="C1453" s="403"/>
    </row>
    <row r="1454" spans="1:3" x14ac:dyDescent="0.3">
      <c r="A1454" s="403"/>
      <c r="B1454" s="403"/>
      <c r="C1454" s="403"/>
    </row>
    <row r="1455" spans="1:3" x14ac:dyDescent="0.3">
      <c r="A1455" s="403"/>
      <c r="B1455" s="403"/>
      <c r="C1455" s="403"/>
    </row>
    <row r="1456" spans="1:3" x14ac:dyDescent="0.3">
      <c r="A1456" s="403"/>
      <c r="B1456" s="403"/>
      <c r="C1456" s="403"/>
    </row>
    <row r="1457" spans="1:3" x14ac:dyDescent="0.3">
      <c r="A1457" s="403"/>
      <c r="B1457" s="403"/>
      <c r="C1457" s="403"/>
    </row>
    <row r="1458" spans="1:3" x14ac:dyDescent="0.3">
      <c r="A1458" s="403"/>
      <c r="B1458" s="403"/>
      <c r="C1458" s="403"/>
    </row>
    <row r="1459" spans="1:3" x14ac:dyDescent="0.3">
      <c r="A1459" s="403"/>
      <c r="B1459" s="403"/>
      <c r="C1459" s="403"/>
    </row>
    <row r="1460" spans="1:3" x14ac:dyDescent="0.3">
      <c r="A1460" s="403"/>
      <c r="B1460" s="403"/>
      <c r="C1460" s="403"/>
    </row>
    <row r="1461" spans="1:3" x14ac:dyDescent="0.3">
      <c r="A1461" s="403"/>
      <c r="B1461" s="403"/>
      <c r="C1461" s="403"/>
    </row>
    <row r="1462" spans="1:3" x14ac:dyDescent="0.3">
      <c r="A1462" s="403"/>
      <c r="B1462" s="403"/>
      <c r="C1462" s="403"/>
    </row>
    <row r="1463" spans="1:3" x14ac:dyDescent="0.3">
      <c r="A1463" s="403"/>
      <c r="B1463" s="403"/>
      <c r="C1463" s="403"/>
    </row>
    <row r="1464" spans="1:3" x14ac:dyDescent="0.3">
      <c r="A1464" s="403"/>
      <c r="B1464" s="403"/>
      <c r="C1464" s="403"/>
    </row>
    <row r="1465" spans="1:3" x14ac:dyDescent="0.3">
      <c r="A1465" s="403"/>
      <c r="B1465" s="403"/>
      <c r="C1465" s="403"/>
    </row>
    <row r="1466" spans="1:3" x14ac:dyDescent="0.3">
      <c r="A1466" s="403"/>
      <c r="B1466" s="403"/>
      <c r="C1466" s="403"/>
    </row>
    <row r="1467" spans="1:3" x14ac:dyDescent="0.3">
      <c r="A1467" s="403"/>
      <c r="B1467" s="403"/>
      <c r="C1467" s="403"/>
    </row>
    <row r="1468" spans="1:3" x14ac:dyDescent="0.3">
      <c r="A1468" s="403"/>
      <c r="B1468" s="403"/>
      <c r="C1468" s="403"/>
    </row>
    <row r="1469" spans="1:3" x14ac:dyDescent="0.3">
      <c r="A1469" s="403"/>
      <c r="B1469" s="403"/>
      <c r="C1469" s="403"/>
    </row>
    <row r="1470" spans="1:3" x14ac:dyDescent="0.3">
      <c r="A1470" s="403"/>
      <c r="B1470" s="403"/>
      <c r="C1470" s="403"/>
    </row>
    <row r="1471" spans="1:3" x14ac:dyDescent="0.3">
      <c r="A1471" s="403"/>
      <c r="B1471" s="403"/>
      <c r="C1471" s="403"/>
    </row>
    <row r="1472" spans="1:3" x14ac:dyDescent="0.3">
      <c r="A1472" s="403"/>
      <c r="B1472" s="403"/>
      <c r="C1472" s="403"/>
    </row>
    <row r="1473" spans="1:3" x14ac:dyDescent="0.3">
      <c r="A1473" s="403"/>
      <c r="B1473" s="403"/>
      <c r="C1473" s="403"/>
    </row>
    <row r="1474" spans="1:3" x14ac:dyDescent="0.3">
      <c r="A1474" s="403"/>
      <c r="B1474" s="403"/>
      <c r="C1474" s="403"/>
    </row>
    <row r="1475" spans="1:3" x14ac:dyDescent="0.3">
      <c r="A1475" s="403"/>
      <c r="B1475" s="403"/>
      <c r="C1475" s="403"/>
    </row>
    <row r="1476" spans="1:3" x14ac:dyDescent="0.3">
      <c r="A1476" s="403"/>
      <c r="B1476" s="403"/>
      <c r="C1476" s="403"/>
    </row>
    <row r="1477" spans="1:3" x14ac:dyDescent="0.3">
      <c r="A1477" s="403"/>
      <c r="B1477" s="403"/>
      <c r="C1477" s="403"/>
    </row>
    <row r="1478" spans="1:3" x14ac:dyDescent="0.3">
      <c r="A1478" s="403"/>
      <c r="B1478" s="403"/>
      <c r="C1478" s="403"/>
    </row>
    <row r="1479" spans="1:3" x14ac:dyDescent="0.3">
      <c r="A1479" s="403"/>
      <c r="B1479" s="403"/>
      <c r="C1479" s="403"/>
    </row>
    <row r="1480" spans="1:3" x14ac:dyDescent="0.3">
      <c r="A1480" s="403"/>
      <c r="B1480" s="403"/>
      <c r="C1480" s="403"/>
    </row>
    <row r="1481" spans="1:3" x14ac:dyDescent="0.3">
      <c r="A1481" s="403"/>
      <c r="B1481" s="403"/>
      <c r="C1481" s="403"/>
    </row>
    <row r="1482" spans="1:3" x14ac:dyDescent="0.3">
      <c r="A1482" s="403"/>
      <c r="B1482" s="403"/>
      <c r="C1482" s="403"/>
    </row>
    <row r="1483" spans="1:3" x14ac:dyDescent="0.3">
      <c r="A1483" s="403"/>
      <c r="B1483" s="403"/>
      <c r="C1483" s="403"/>
    </row>
    <row r="1484" spans="1:3" x14ac:dyDescent="0.3">
      <c r="A1484" s="403"/>
      <c r="B1484" s="403"/>
      <c r="C1484" s="403"/>
    </row>
    <row r="1485" spans="1:3" x14ac:dyDescent="0.3">
      <c r="A1485" s="403"/>
      <c r="B1485" s="403"/>
      <c r="C1485" s="403"/>
    </row>
    <row r="1486" spans="1:3" x14ac:dyDescent="0.3">
      <c r="A1486" s="403"/>
      <c r="B1486" s="403"/>
      <c r="C1486" s="403"/>
    </row>
    <row r="1487" spans="1:3" x14ac:dyDescent="0.3">
      <c r="A1487" s="403"/>
      <c r="B1487" s="403"/>
      <c r="C1487" s="403"/>
    </row>
    <row r="1488" spans="1:3" x14ac:dyDescent="0.3">
      <c r="A1488" s="403"/>
      <c r="B1488" s="403"/>
      <c r="C1488" s="403"/>
    </row>
    <row r="1489" spans="1:3" x14ac:dyDescent="0.3">
      <c r="A1489" s="403"/>
      <c r="B1489" s="403"/>
      <c r="C1489" s="403"/>
    </row>
    <row r="1490" spans="1:3" x14ac:dyDescent="0.3">
      <c r="A1490" s="403"/>
      <c r="B1490" s="403"/>
      <c r="C1490" s="403"/>
    </row>
    <row r="1491" spans="1:3" x14ac:dyDescent="0.3">
      <c r="A1491" s="403"/>
      <c r="B1491" s="403"/>
      <c r="C1491" s="403"/>
    </row>
    <row r="1492" spans="1:3" x14ac:dyDescent="0.3">
      <c r="A1492" s="403"/>
      <c r="B1492" s="403"/>
      <c r="C1492" s="403"/>
    </row>
    <row r="1493" spans="1:3" x14ac:dyDescent="0.3">
      <c r="A1493" s="403"/>
      <c r="B1493" s="403"/>
      <c r="C1493" s="403"/>
    </row>
    <row r="1494" spans="1:3" x14ac:dyDescent="0.3">
      <c r="A1494" s="403"/>
      <c r="B1494" s="403"/>
      <c r="C1494" s="403"/>
    </row>
    <row r="1495" spans="1:3" x14ac:dyDescent="0.3">
      <c r="A1495" s="403"/>
      <c r="B1495" s="403"/>
      <c r="C1495" s="403"/>
    </row>
    <row r="1496" spans="1:3" x14ac:dyDescent="0.3">
      <c r="A1496" s="403"/>
      <c r="B1496" s="403"/>
      <c r="C1496" s="403"/>
    </row>
    <row r="1497" spans="1:3" x14ac:dyDescent="0.3">
      <c r="A1497" s="403"/>
      <c r="B1497" s="403"/>
      <c r="C1497" s="403"/>
    </row>
    <row r="1498" spans="1:3" x14ac:dyDescent="0.3">
      <c r="A1498" s="403"/>
      <c r="B1498" s="403"/>
      <c r="C1498" s="403"/>
    </row>
    <row r="1499" spans="1:3" x14ac:dyDescent="0.3">
      <c r="A1499" s="403"/>
      <c r="B1499" s="403"/>
      <c r="C1499" s="403"/>
    </row>
    <row r="1500" spans="1:3" x14ac:dyDescent="0.3">
      <c r="A1500" s="403"/>
      <c r="B1500" s="403"/>
      <c r="C1500" s="403"/>
    </row>
    <row r="1501" spans="1:3" x14ac:dyDescent="0.3">
      <c r="A1501" s="403"/>
      <c r="B1501" s="403"/>
      <c r="C1501" s="403"/>
    </row>
    <row r="1502" spans="1:3" x14ac:dyDescent="0.3">
      <c r="A1502" s="403"/>
      <c r="B1502" s="403"/>
      <c r="C1502" s="403"/>
    </row>
    <row r="1503" spans="1:3" x14ac:dyDescent="0.3">
      <c r="A1503" s="403"/>
      <c r="B1503" s="403"/>
      <c r="C1503" s="403"/>
    </row>
    <row r="1504" spans="1:3" x14ac:dyDescent="0.3">
      <c r="A1504" s="403"/>
      <c r="B1504" s="403"/>
      <c r="C1504" s="403"/>
    </row>
    <row r="1505" spans="1:3" x14ac:dyDescent="0.3">
      <c r="A1505" s="403"/>
      <c r="B1505" s="403"/>
      <c r="C1505" s="403"/>
    </row>
    <row r="1506" spans="1:3" x14ac:dyDescent="0.3">
      <c r="A1506" s="403"/>
      <c r="B1506" s="403"/>
      <c r="C1506" s="403"/>
    </row>
    <row r="1507" spans="1:3" x14ac:dyDescent="0.3">
      <c r="A1507" s="403"/>
      <c r="B1507" s="403"/>
      <c r="C1507" s="403"/>
    </row>
    <row r="1508" spans="1:3" x14ac:dyDescent="0.3">
      <c r="A1508" s="403"/>
      <c r="B1508" s="403"/>
      <c r="C1508" s="403"/>
    </row>
    <row r="1509" spans="1:3" x14ac:dyDescent="0.3">
      <c r="A1509" s="403"/>
      <c r="B1509" s="403"/>
      <c r="C1509" s="403"/>
    </row>
    <row r="1510" spans="1:3" x14ac:dyDescent="0.3">
      <c r="A1510" s="403"/>
      <c r="B1510" s="403"/>
      <c r="C1510" s="403"/>
    </row>
    <row r="1511" spans="1:3" x14ac:dyDescent="0.3">
      <c r="A1511" s="403"/>
      <c r="B1511" s="403"/>
      <c r="C1511" s="403"/>
    </row>
    <row r="1512" spans="1:3" x14ac:dyDescent="0.3">
      <c r="A1512" s="403"/>
      <c r="B1512" s="403"/>
      <c r="C1512" s="403"/>
    </row>
    <row r="1513" spans="1:3" x14ac:dyDescent="0.3">
      <c r="A1513" s="403"/>
      <c r="B1513" s="403"/>
      <c r="C1513" s="403"/>
    </row>
    <row r="1514" spans="1:3" x14ac:dyDescent="0.3">
      <c r="A1514" s="403"/>
      <c r="B1514" s="403"/>
      <c r="C1514" s="403"/>
    </row>
    <row r="1515" spans="1:3" x14ac:dyDescent="0.3">
      <c r="A1515" s="403"/>
      <c r="B1515" s="403"/>
      <c r="C1515" s="403"/>
    </row>
    <row r="1516" spans="1:3" x14ac:dyDescent="0.3">
      <c r="A1516" s="403"/>
      <c r="B1516" s="403"/>
      <c r="C1516" s="403"/>
    </row>
    <row r="1517" spans="1:3" x14ac:dyDescent="0.3">
      <c r="A1517" s="403"/>
      <c r="B1517" s="403"/>
      <c r="C1517" s="403"/>
    </row>
    <row r="1518" spans="1:3" x14ac:dyDescent="0.3">
      <c r="A1518" s="403"/>
      <c r="B1518" s="403"/>
      <c r="C1518" s="403"/>
    </row>
    <row r="1519" spans="1:3" x14ac:dyDescent="0.3">
      <c r="A1519" s="403"/>
      <c r="B1519" s="403"/>
      <c r="C1519" s="403"/>
    </row>
    <row r="1520" spans="1:3" x14ac:dyDescent="0.3">
      <c r="A1520" s="403"/>
      <c r="B1520" s="403"/>
      <c r="C1520" s="403"/>
    </row>
    <row r="1521" spans="1:3" x14ac:dyDescent="0.3">
      <c r="A1521" s="403"/>
      <c r="B1521" s="403"/>
      <c r="C1521" s="403"/>
    </row>
    <row r="1522" spans="1:3" x14ac:dyDescent="0.3">
      <c r="A1522" s="403"/>
      <c r="B1522" s="403"/>
      <c r="C1522" s="403"/>
    </row>
    <row r="1523" spans="1:3" x14ac:dyDescent="0.3">
      <c r="A1523" s="403"/>
      <c r="B1523" s="403"/>
      <c r="C1523" s="403"/>
    </row>
    <row r="1524" spans="1:3" x14ac:dyDescent="0.3">
      <c r="A1524" s="403"/>
      <c r="B1524" s="403"/>
      <c r="C1524" s="403"/>
    </row>
    <row r="1525" spans="1:3" x14ac:dyDescent="0.3">
      <c r="A1525" s="403"/>
      <c r="B1525" s="403"/>
      <c r="C1525" s="403"/>
    </row>
    <row r="1526" spans="1:3" x14ac:dyDescent="0.3">
      <c r="A1526" s="403"/>
      <c r="B1526" s="403"/>
      <c r="C1526" s="403"/>
    </row>
    <row r="1527" spans="1:3" x14ac:dyDescent="0.3">
      <c r="A1527" s="403"/>
      <c r="B1527" s="403"/>
      <c r="C1527" s="403"/>
    </row>
    <row r="1528" spans="1:3" x14ac:dyDescent="0.3">
      <c r="A1528" s="403"/>
      <c r="B1528" s="403"/>
      <c r="C1528" s="403"/>
    </row>
    <row r="1529" spans="1:3" x14ac:dyDescent="0.3">
      <c r="A1529" s="403"/>
      <c r="B1529" s="403"/>
      <c r="C1529" s="403"/>
    </row>
    <row r="1530" spans="1:3" x14ac:dyDescent="0.3">
      <c r="A1530" s="403"/>
      <c r="B1530" s="403"/>
      <c r="C1530" s="403"/>
    </row>
    <row r="1531" spans="1:3" x14ac:dyDescent="0.3">
      <c r="A1531" s="403"/>
      <c r="B1531" s="403"/>
      <c r="C1531" s="403"/>
    </row>
    <row r="1532" spans="1:3" x14ac:dyDescent="0.3">
      <c r="A1532" s="403"/>
      <c r="B1532" s="403"/>
      <c r="C1532" s="403"/>
    </row>
    <row r="1533" spans="1:3" x14ac:dyDescent="0.3">
      <c r="A1533" s="403"/>
      <c r="B1533" s="403"/>
      <c r="C1533" s="403"/>
    </row>
    <row r="1534" spans="1:3" x14ac:dyDescent="0.3">
      <c r="A1534" s="403"/>
      <c r="B1534" s="403"/>
      <c r="C1534" s="403"/>
    </row>
    <row r="1535" spans="1:3" x14ac:dyDescent="0.3">
      <c r="A1535" s="403"/>
      <c r="B1535" s="403"/>
      <c r="C1535" s="403"/>
    </row>
    <row r="1536" spans="1:3" x14ac:dyDescent="0.3">
      <c r="A1536" s="403"/>
      <c r="B1536" s="403"/>
      <c r="C1536" s="403"/>
    </row>
    <row r="1537" spans="1:9" x14ac:dyDescent="0.3">
      <c r="A1537" s="403"/>
      <c r="B1537" s="403"/>
      <c r="C1537" s="403"/>
    </row>
    <row r="1538" spans="1:9" x14ac:dyDescent="0.3"/>
    <row r="1539" spans="1:9" x14ac:dyDescent="0.3"/>
    <row r="1540" spans="1:9" x14ac:dyDescent="0.3"/>
    <row r="1541" spans="1:9" x14ac:dyDescent="0.3">
      <c r="G1541" s="1308"/>
      <c r="H1541" s="1308"/>
      <c r="I1541" s="1308"/>
    </row>
    <row r="1542" spans="1:9" x14ac:dyDescent="0.3"/>
    <row r="1543" spans="1:9" x14ac:dyDescent="0.3"/>
    <row r="1544" spans="1:9" x14ac:dyDescent="0.3"/>
    <row r="1545" spans="1:9" x14ac:dyDescent="0.3"/>
    <row r="1546" spans="1:9" x14ac:dyDescent="0.3"/>
    <row r="1547" spans="1:9" x14ac:dyDescent="0.3"/>
    <row r="1548" spans="1:9" x14ac:dyDescent="0.3"/>
    <row r="1549" spans="1:9" x14ac:dyDescent="0.3"/>
    <row r="1550" spans="1:9" x14ac:dyDescent="0.3"/>
    <row r="1551" spans="1:9" x14ac:dyDescent="0.3"/>
    <row r="1552" spans="1:9"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M1" zoomScale="49" zoomScaleNormal="49" workbookViewId="0">
      <selection activeCell="AU1" sqref="AU1:XFD1048576"/>
    </sheetView>
  </sheetViews>
  <sheetFormatPr defaultColWidth="0" defaultRowHeight="0" customHeight="1" zeroHeight="1" x14ac:dyDescent="0.25"/>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18" width="3.6328125" hidden="1"/>
    <col min="186" max="16384" width="3.6328125" hidden="1"/>
  </cols>
  <sheetData>
    <row r="1" spans="1:58" ht="12.9" customHeight="1" x14ac:dyDescent="0.25">
      <c r="J1" s="100"/>
      <c r="AS1" s="1032">
        <v>4</v>
      </c>
      <c r="BD1" s="3" t="s">
        <v>2501</v>
      </c>
      <c r="BE1" s="3"/>
      <c r="BF1" s="3"/>
    </row>
    <row r="2" spans="1:58" ht="12.9" customHeight="1" x14ac:dyDescent="0.25">
      <c r="BD2" s="3" t="s">
        <v>2502</v>
      </c>
      <c r="BE2" s="3" t="s">
        <v>2503</v>
      </c>
      <c r="BF2" s="3" t="s">
        <v>2504</v>
      </c>
    </row>
    <row r="3" spans="1:58" ht="12.9" customHeight="1" x14ac:dyDescent="0.25">
      <c r="BD3" s="3" t="s">
        <v>2599</v>
      </c>
      <c r="BE3" t="str">
        <f>AC220</f>
        <v>Balance of Los Angeles County</v>
      </c>
    </row>
    <row r="4" spans="1:58" ht="12.9" customHeight="1" x14ac:dyDescent="0.25">
      <c r="BD4" s="3" t="s">
        <v>2511</v>
      </c>
      <c r="BE4" s="1250"/>
    </row>
    <row r="5" spans="1:58" ht="12.9" customHeight="1" x14ac:dyDescent="0.25">
      <c r="BD5" s="3" t="s">
        <v>2512</v>
      </c>
      <c r="BE5">
        <f>SUMIF($AC$718:$AC$752,"&lt;=20%",$G$718:G$752)</f>
        <v>0</v>
      </c>
      <c r="BF5" s="3" t="s">
        <v>2517</v>
      </c>
    </row>
    <row r="6" spans="1:58" ht="12.9" customHeight="1" x14ac:dyDescent="0.25">
      <c r="BD6" s="3" t="s">
        <v>2513</v>
      </c>
      <c r="BE6" s="1253">
        <f>SUMIF($AC$718:$AC$752,"&lt;=25%",$G$718:G$752)-SUM($BE$5:BE5)</f>
        <v>0</v>
      </c>
    </row>
    <row r="7" spans="1:58" ht="12.9" customHeight="1" x14ac:dyDescent="0.25">
      <c r="BD7" s="1251" t="s">
        <v>2505</v>
      </c>
      <c r="BE7" s="1253">
        <f>SUMIF($AC$718:$AC$752,"&lt;=30%",$G$718:G$752)-SUM($BE$5:BE6)</f>
        <v>50</v>
      </c>
    </row>
    <row r="8" spans="1:58" ht="26.25" customHeight="1" x14ac:dyDescent="0.35">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2.9" customHeight="1" x14ac:dyDescent="0.3">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2.9" customHeight="1" x14ac:dyDescent="0.3">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2.9" customHeight="1" x14ac:dyDescent="0.3">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0</v>
      </c>
    </row>
    <row r="12" spans="1:58" ht="12.9" customHeight="1" x14ac:dyDescent="0.25">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2.9" customHeight="1" x14ac:dyDescent="0.25">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25</v>
      </c>
    </row>
    <row r="14" spans="1:58" ht="12.9" customHeight="1" x14ac:dyDescent="0.25">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0</v>
      </c>
    </row>
    <row r="15" spans="1:58" ht="12.9" customHeight="1" x14ac:dyDescent="0.25">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25</v>
      </c>
    </row>
    <row r="16" spans="1:58" ht="12.9" customHeight="1" x14ac:dyDescent="0.3">
      <c r="A16" s="57" t="s">
        <v>2081</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VA Building 408</v>
      </c>
    </row>
    <row r="17" spans="1:58" ht="12.9" customHeight="1" x14ac:dyDescent="0.25">
      <c r="BD17" s="1251" t="s">
        <v>2523</v>
      </c>
      <c r="BE17" s="1253">
        <f>Application!AA934</f>
        <v>0</v>
      </c>
    </row>
    <row r="18" spans="1:58" ht="12.9" customHeight="1" x14ac:dyDescent="0.3">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2.9" customHeight="1" x14ac:dyDescent="0.25">
      <c r="BD19" s="1251" t="s">
        <v>2525</v>
      </c>
      <c r="BE19" s="1253">
        <f>Application!M26</f>
        <v>3771815</v>
      </c>
    </row>
    <row r="20" spans="1:58" ht="12.9" customHeight="1" x14ac:dyDescent="0.35">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2.9" customHeight="1" x14ac:dyDescent="0.25">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40700000</v>
      </c>
    </row>
    <row r="22" spans="1:58" ht="12.9" customHeight="1" x14ac:dyDescent="0.35">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77057767</v>
      </c>
      <c r="BF22" s="3" t="s">
        <v>2600</v>
      </c>
    </row>
    <row r="23" spans="1:58" ht="12.9" customHeight="1" x14ac:dyDescent="0.25">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1</v>
      </c>
    </row>
    <row r="24" spans="1:58" ht="12.9" customHeight="1" x14ac:dyDescent="0.25">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86776</v>
      </c>
    </row>
    <row r="25" spans="1:58" ht="12.9" customHeight="1" x14ac:dyDescent="0.25">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2.9" customHeight="1" x14ac:dyDescent="0.25">
      <c r="A26" s="4"/>
      <c r="C26" s="4"/>
      <c r="D26" s="4"/>
      <c r="E26" s="4"/>
      <c r="F26" s="4"/>
      <c r="G26" s="4"/>
      <c r="H26" s="4"/>
      <c r="I26" s="4"/>
      <c r="J26" s="4"/>
      <c r="K26" s="4"/>
      <c r="L26" s="4"/>
      <c r="M26" s="1418">
        <f>'Basis &amp; Credits'!AB56</f>
        <v>3771815</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2.9" customHeight="1" x14ac:dyDescent="0.25">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1</v>
      </c>
    </row>
    <row r="28" spans="1:58" ht="12.9" customHeight="1" x14ac:dyDescent="0.25">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 customHeight="1" x14ac:dyDescent="0.25">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2.9" customHeight="1" x14ac:dyDescent="0.25">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1</v>
      </c>
    </row>
    <row r="31" spans="1:58" ht="12.9" customHeight="1" x14ac:dyDescent="0.25">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Special Needs</v>
      </c>
    </row>
    <row r="32" spans="1:58" ht="12.9" customHeight="1" x14ac:dyDescent="0.25">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100</v>
      </c>
    </row>
    <row r="33" spans="1:57" ht="12.9" customHeight="1" x14ac:dyDescent="0.25">
      <c r="A33" s="520" t="s">
        <v>1279</v>
      </c>
      <c r="C33" s="520"/>
      <c r="D33" s="520"/>
      <c r="E33" s="520"/>
      <c r="F33" s="520"/>
      <c r="G33" s="520"/>
      <c r="H33" s="520"/>
      <c r="I33" s="520"/>
      <c r="J33" s="520"/>
      <c r="K33" s="520"/>
      <c r="L33" s="520"/>
      <c r="M33" s="520"/>
      <c r="N33" s="520"/>
      <c r="O33" s="1331" t="s">
        <v>670</v>
      </c>
      <c r="P33" s="1331"/>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Balance of Los Angeles County</v>
      </c>
    </row>
    <row r="34" spans="1:57" ht="12.9" customHeight="1" x14ac:dyDescent="0.25">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11301 Wilshire Blvd</v>
      </c>
    </row>
    <row r="35" spans="1:57" ht="12.9" customHeight="1" x14ac:dyDescent="0.25">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2.9" customHeight="1" x14ac:dyDescent="0.25">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Los Angeles</v>
      </c>
    </row>
    <row r="37" spans="1:57" ht="12.9" customHeight="1" x14ac:dyDescent="0.25">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Los Angeles</v>
      </c>
    </row>
    <row r="38" spans="1:57" ht="12.9" customHeight="1" x14ac:dyDescent="0.25">
      <c r="A38" s="3"/>
      <c r="AZ38" s="20"/>
      <c r="BD38" s="1252" t="s">
        <v>2539</v>
      </c>
      <c r="BE38" s="1253">
        <f>Application!I190</f>
        <v>90073</v>
      </c>
    </row>
    <row r="39" spans="1:57" ht="12.9" customHeight="1" x14ac:dyDescent="0.25">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101</v>
      </c>
    </row>
    <row r="40" spans="1:57" ht="12.9" customHeight="1" x14ac:dyDescent="0.25">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100</v>
      </c>
    </row>
    <row r="41" spans="1:57" ht="12.9" customHeight="1" x14ac:dyDescent="0.25">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 customHeight="1" x14ac:dyDescent="0.25">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0.5</v>
      </c>
    </row>
    <row r="43" spans="1:57" ht="12.9" customHeight="1" x14ac:dyDescent="0.25">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0.5</v>
      </c>
    </row>
    <row r="44" spans="1:57" ht="12.9" customHeight="1" x14ac:dyDescent="0.25">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762948.18811881193</v>
      </c>
    </row>
    <row r="45" spans="1:57" ht="12.9" customHeight="1" x14ac:dyDescent="0.25">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2.9" customHeight="1" x14ac:dyDescent="0.25">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1</v>
      </c>
    </row>
    <row r="47" spans="1:57" ht="12.9" customHeight="1" x14ac:dyDescent="0.25">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2.9" customHeight="1" x14ac:dyDescent="0.25">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Housing Corporation of America</v>
      </c>
    </row>
    <row r="49" spans="1:57" ht="12.9" customHeight="1" x14ac:dyDescent="0.25">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Carol Cromar</v>
      </c>
    </row>
    <row r="50" spans="1:57" ht="12.9" customHeight="1" x14ac:dyDescent="0.25">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f>Application!AA249</f>
        <v>0</v>
      </c>
    </row>
    <row r="51" spans="1:57" ht="12.9" customHeight="1" x14ac:dyDescent="0.25">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VA Building 408 LLC</v>
      </c>
    </row>
    <row r="52" spans="1:57" ht="12.9" customHeight="1" x14ac:dyDescent="0.25">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Jordan Pynes</v>
      </c>
    </row>
    <row r="53" spans="1:57" ht="12.9" customHeight="1" x14ac:dyDescent="0.25">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TSA Housing Inc.</v>
      </c>
    </row>
    <row r="54" spans="1:57" ht="12.9" customHeight="1" x14ac:dyDescent="0.25">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2.9" customHeight="1" x14ac:dyDescent="0.25">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2.9" customHeight="1" x14ac:dyDescent="0.25">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2.9" customHeight="1" x14ac:dyDescent="0.25">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TSA Housing, Inc.</v>
      </c>
    </row>
    <row r="58" spans="1:57" ht="12.9" customHeight="1" x14ac:dyDescent="0.25">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11811 San Vicente Blvd.</v>
      </c>
    </row>
    <row r="59" spans="1:57" ht="12.9" customHeight="1" x14ac:dyDescent="0.25">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Los Angeles, CA  90049</v>
      </c>
    </row>
    <row r="60" spans="1:57" ht="12.9" customHeight="1" x14ac:dyDescent="0.25">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Jordan Pynes</v>
      </c>
    </row>
    <row r="61" spans="1:57" ht="12.9" customHeight="1" x14ac:dyDescent="0.25">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TSAapplications@tsahousing.com</v>
      </c>
    </row>
    <row r="62" spans="1:57" ht="12.9" customHeight="1" x14ac:dyDescent="0.25">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0.87991174010390227</v>
      </c>
    </row>
    <row r="63" spans="1:57" ht="12.9" customHeight="1" x14ac:dyDescent="0.25">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 customHeight="1" x14ac:dyDescent="0.2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 customHeight="1" x14ac:dyDescent="0.25">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2.9" customHeight="1" x14ac:dyDescent="0.25">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2.9" customHeight="1" x14ac:dyDescent="0.25">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2.9" customHeight="1" x14ac:dyDescent="0.25">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 customHeight="1" x14ac:dyDescent="0.25">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CalHFA</v>
      </c>
    </row>
    <row r="70" spans="1:57" ht="12.9" customHeight="1" x14ac:dyDescent="0.25">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120</v>
      </c>
    </row>
    <row r="71" spans="1:57" ht="12.9" customHeight="1" x14ac:dyDescent="0.25">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 customHeight="1" x14ac:dyDescent="0.25">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2.9" customHeight="1" x14ac:dyDescent="0.25">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2.9" customHeight="1" x14ac:dyDescent="0.25">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 customHeight="1" x14ac:dyDescent="0.25">
      <c r="A75" s="1786" t="s">
        <v>2162</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51" t="s">
        <v>2572</v>
      </c>
      <c r="BE75" s="1253">
        <f>'Points System'!AF808</f>
        <v>10</v>
      </c>
    </row>
    <row r="76" spans="1:57" ht="12.9" customHeight="1" x14ac:dyDescent="0.25">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52" t="s">
        <v>2573</v>
      </c>
      <c r="BE76" s="1253">
        <f>'Points System'!AF811</f>
        <v>10</v>
      </c>
    </row>
    <row r="77" spans="1:57" ht="12.9" customHeight="1" x14ac:dyDescent="0.25">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51" t="s">
        <v>2574</v>
      </c>
      <c r="BE77" s="1253">
        <f>'Points System'!AF812</f>
        <v>8</v>
      </c>
    </row>
    <row r="78" spans="1:57" ht="12.9" customHeight="1" x14ac:dyDescent="0.2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 customHeight="1" x14ac:dyDescent="0.25">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10</v>
      </c>
    </row>
    <row r="80" spans="1:57" ht="12.9" customHeight="1" x14ac:dyDescent="0.25">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2.9" customHeight="1" x14ac:dyDescent="0.25">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2.9" customHeight="1" x14ac:dyDescent="0.25">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 customHeight="1" x14ac:dyDescent="0.25">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1.2076196512374171</v>
      </c>
    </row>
    <row r="84" spans="1:57" ht="12.9" customHeight="1" x14ac:dyDescent="0.25">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County of Los Angeles</v>
      </c>
    </row>
    <row r="85" spans="1:57" ht="12.9" customHeight="1" x14ac:dyDescent="0.2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Lynn Katano</v>
      </c>
    </row>
    <row r="86" spans="1:57" ht="12.9" customHeight="1" x14ac:dyDescent="0.25">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2.9" customHeight="1" x14ac:dyDescent="0.25">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700 W. Main Street</v>
      </c>
    </row>
    <row r="88" spans="1:57" ht="12.9" customHeight="1" x14ac:dyDescent="0.25">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Alhambra</v>
      </c>
    </row>
    <row r="89" spans="1:57" ht="12.9" customHeight="1" x14ac:dyDescent="0.25">
      <c r="A89" s="1785" t="s">
        <v>2166</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51" t="s">
        <v>2586</v>
      </c>
      <c r="BE89" s="1253">
        <f>Application!O158</f>
        <v>91801</v>
      </c>
    </row>
    <row r="90" spans="1:57" ht="12.9" customHeight="1" x14ac:dyDescent="0.25">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52" t="s">
        <v>2587</v>
      </c>
      <c r="BE90" s="1253" t="str">
        <f>Application!H16</f>
        <v>VA Building 408 LP</v>
      </c>
    </row>
    <row r="91" spans="1:57" ht="12.9" customHeight="1" x14ac:dyDescent="0.25">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11811 San Vicente Blvd</v>
      </c>
    </row>
    <row r="92" spans="1:57" ht="12.9" customHeight="1" x14ac:dyDescent="0.25">
      <c r="A92" s="1786" t="s">
        <v>2167</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52" t="s">
        <v>2589</v>
      </c>
      <c r="BE92" s="1253" t="str">
        <f>Application!M234</f>
        <v>Los Angeles</v>
      </c>
    </row>
    <row r="93" spans="1:57" ht="12.9" customHeight="1" x14ac:dyDescent="0.25">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51" t="s">
        <v>2590</v>
      </c>
      <c r="BE93" s="1253" t="str">
        <f>Application!W234</f>
        <v>CA</v>
      </c>
    </row>
    <row r="94" spans="1:57" ht="12.9" customHeight="1" x14ac:dyDescent="0.25">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52" t="s">
        <v>2591</v>
      </c>
      <c r="BE94" s="1253">
        <f>Application!AC234</f>
        <v>90049</v>
      </c>
    </row>
    <row r="95" spans="1:57" ht="12.9" customHeight="1" x14ac:dyDescent="0.25">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51" t="s">
        <v>2592</v>
      </c>
      <c r="BE95" s="1253" t="str">
        <f>Application!M235</f>
        <v>Jordan Pynes</v>
      </c>
    </row>
    <row r="96" spans="1:57" ht="12.9" customHeight="1" x14ac:dyDescent="0.25">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52" t="s">
        <v>2593</v>
      </c>
      <c r="BE96" s="1253" t="str">
        <f>Application!M237</f>
        <v>TSAapplications@tsahousing.com</v>
      </c>
    </row>
    <row r="97" spans="1:57" ht="12.9" customHeight="1" x14ac:dyDescent="0.25">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51" t="s">
        <v>2594</v>
      </c>
      <c r="BE97" s="1253" t="str">
        <f>Application!M248</f>
        <v>carol@hcahousing.com</v>
      </c>
    </row>
    <row r="98" spans="1:57" ht="12.9" customHeight="1" x14ac:dyDescent="0.25">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52" t="s">
        <v>2595</v>
      </c>
      <c r="BE98" s="1253" t="str">
        <f>Application!M256</f>
        <v>TSAapplications@tsahousing.com</v>
      </c>
    </row>
    <row r="99" spans="1:57" ht="12.9" customHeight="1" x14ac:dyDescent="0.2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 customHeight="1" x14ac:dyDescent="0.25">
      <c r="A100" s="1787" t="s">
        <v>2168</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52" t="s">
        <v>2597</v>
      </c>
      <c r="BE100" s="1253" t="str">
        <f>Application!L279</f>
        <v>william@kingdomdevelopment.net</v>
      </c>
    </row>
    <row r="101" spans="1:57" ht="12.9" customHeight="1" x14ac:dyDescent="0.25">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2602</v>
      </c>
      <c r="BE101">
        <f>'Sources and Uses Budget'!C105</f>
        <v>77057767</v>
      </c>
    </row>
    <row r="102" spans="1:57" ht="12.9" customHeight="1" x14ac:dyDescent="0.25">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2603</v>
      </c>
      <c r="BE102" t="b">
        <f>T197="Yes"</f>
        <v>0</v>
      </c>
    </row>
    <row r="103" spans="1:57" ht="12.9" customHeight="1" x14ac:dyDescent="0.25">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row>
    <row r="104" spans="1:57" ht="12.9" customHeight="1" x14ac:dyDescent="0.25">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x14ac:dyDescent="0.25">
      <c r="A105" s="1787" t="s">
        <v>2169</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 customHeight="1" x14ac:dyDescent="0.25">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 customHeight="1" x14ac:dyDescent="0.25">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x14ac:dyDescent="0.25">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x14ac:dyDescent="0.2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x14ac:dyDescent="0.25">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x14ac:dyDescent="0.25">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x14ac:dyDescent="0.25">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x14ac:dyDescent="0.25">
      <c r="A113" s="290"/>
      <c r="C113" s="3" t="s">
        <v>181</v>
      </c>
      <c r="G113" s="1788">
        <v>17</v>
      </c>
      <c r="H113" s="1788"/>
      <c r="I113" s="3" t="s">
        <v>182</v>
      </c>
      <c r="L113" s="1788" t="s">
        <v>2762</v>
      </c>
      <c r="M113" s="1788"/>
      <c r="N113" s="1788"/>
      <c r="O113" s="1788"/>
      <c r="P113" s="1794" t="s">
        <v>2244</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x14ac:dyDescent="0.25">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x14ac:dyDescent="0.25">
      <c r="A115" s="91"/>
      <c r="C115" s="1799" t="s">
        <v>495</v>
      </c>
      <c r="D115" s="1799"/>
      <c r="E115" s="1799"/>
      <c r="F115" s="1799"/>
      <c r="G115" s="1799"/>
      <c r="H115" s="1799"/>
      <c r="I115" s="1799"/>
      <c r="J115" s="1799"/>
      <c r="K115" s="179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x14ac:dyDescent="0.25">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x14ac:dyDescent="0.25">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 customHeight="1" x14ac:dyDescent="0.25">
      <c r="X118" s="3"/>
      <c r="Y118" s="3"/>
      <c r="Z118" s="3" t="s">
        <v>630</v>
      </c>
      <c r="AA118" s="3"/>
      <c r="AB118" s="3"/>
      <c r="AC118" s="3"/>
      <c r="AD118" s="3"/>
      <c r="AE118" s="3"/>
      <c r="AF118" s="3"/>
      <c r="AG118" s="3"/>
      <c r="AH118" s="3"/>
      <c r="AI118" s="3"/>
      <c r="AJ118" s="3"/>
      <c r="AK118" s="3"/>
    </row>
    <row r="119" spans="1:117" ht="12.9" customHeight="1" x14ac:dyDescent="0.25">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x14ac:dyDescent="0.25">
      <c r="A120" s="91"/>
      <c r="B120" s="3"/>
      <c r="P120" s="3"/>
      <c r="Q120" s="3"/>
      <c r="R120" s="3"/>
      <c r="S120" s="3"/>
      <c r="T120" s="3"/>
      <c r="U120" s="3"/>
      <c r="V120" s="3"/>
      <c r="W120" s="3"/>
      <c r="X120" s="3"/>
      <c r="Y120" s="1788" t="s">
        <v>2626</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 customHeight="1" x14ac:dyDescent="0.25">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x14ac:dyDescent="0.25">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Los Angeles</v>
      </c>
      <c r="DH122" s="1654"/>
      <c r="DI122" s="1654"/>
      <c r="DJ122" s="1654"/>
      <c r="DK122" s="1654"/>
      <c r="DL122" s="1654"/>
      <c r="DM122" s="1655"/>
    </row>
    <row r="123" spans="1:117" ht="12.9" customHeight="1" x14ac:dyDescent="0.25">
      <c r="A123" s="3"/>
      <c r="B123" s="3"/>
      <c r="T123" s="3"/>
      <c r="U123" s="3"/>
      <c r="V123" s="3"/>
      <c r="W123" s="3"/>
      <c r="X123" s="3"/>
      <c r="Y123" s="1788" t="s">
        <v>2761</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 customHeight="1" x14ac:dyDescent="0.25">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x14ac:dyDescent="0.25">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x14ac:dyDescent="0.25">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x14ac:dyDescent="0.25">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x14ac:dyDescent="0.25">
      <c r="A128" s="355"/>
      <c r="AL128" s="355"/>
      <c r="AM128" s="355"/>
      <c r="AN128" s="355"/>
      <c r="AO128" s="355"/>
      <c r="AP128" s="355"/>
      <c r="AQ128" s="355"/>
      <c r="AR128" s="355"/>
      <c r="AS128" s="355"/>
      <c r="AT128" s="355"/>
      <c r="AU128" s="355"/>
      <c r="AV128" s="355"/>
      <c r="AW128" s="355"/>
      <c r="AX128" s="355"/>
      <c r="AY128" s="355"/>
    </row>
    <row r="129" spans="1:51" ht="12.9" customHeight="1" x14ac:dyDescent="0.25">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x14ac:dyDescent="0.25">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x14ac:dyDescent="0.25">
      <c r="A131" s="3"/>
      <c r="AL131" s="3"/>
      <c r="AM131" s="3"/>
      <c r="AN131" s="3"/>
      <c r="AO131" s="3"/>
      <c r="AP131" s="3"/>
      <c r="AQ131" s="3"/>
      <c r="AR131" s="3"/>
      <c r="AS131" s="3"/>
      <c r="AT131" s="3"/>
      <c r="AU131" s="3"/>
      <c r="AV131" s="3"/>
      <c r="AW131" s="3"/>
      <c r="AX131" s="3"/>
      <c r="AY131" s="3"/>
    </row>
    <row r="132" spans="1:51" ht="12.9" customHeight="1" x14ac:dyDescent="0.25">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x14ac:dyDescent="0.25">
      <c r="A133" s="3"/>
      <c r="W133" s="3"/>
      <c r="AL133" s="3"/>
      <c r="AM133" s="3"/>
      <c r="AN133" s="3"/>
      <c r="AO133" s="3"/>
      <c r="AP133" s="3"/>
      <c r="AQ133" s="3"/>
      <c r="AR133" s="3"/>
      <c r="AS133" s="3"/>
      <c r="AT133" s="3"/>
      <c r="AU133" s="3"/>
      <c r="AV133" s="3"/>
      <c r="AW133" s="3"/>
      <c r="AX133" s="3"/>
      <c r="AY133" s="3"/>
    </row>
    <row r="134" spans="1:51" ht="12.9" customHeight="1" x14ac:dyDescent="0.25">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x14ac:dyDescent="0.25">
      <c r="A135" s="3"/>
      <c r="M135" s="3"/>
      <c r="N135" s="3"/>
      <c r="O135" s="3"/>
      <c r="AK135" s="3"/>
      <c r="AL135" s="3"/>
      <c r="AM135" s="3"/>
      <c r="AN135" s="3"/>
      <c r="AO135" s="3"/>
      <c r="AP135" s="3"/>
      <c r="AQ135" s="3"/>
      <c r="AR135" s="3"/>
      <c r="AS135" s="3"/>
      <c r="AT135" s="3"/>
      <c r="AU135" s="3"/>
      <c r="AV135" s="3"/>
      <c r="AW135" s="3"/>
      <c r="AX135" s="3"/>
      <c r="AY135" s="3"/>
    </row>
    <row r="136" spans="1:51" ht="12.9" customHeight="1" x14ac:dyDescent="0.25">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x14ac:dyDescent="0.25">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x14ac:dyDescent="0.25">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x14ac:dyDescent="0.25">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x14ac:dyDescent="0.25">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x14ac:dyDescent="0.25">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x14ac:dyDescent="0.25">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x14ac:dyDescent="0.25">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x14ac:dyDescent="0.25">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x14ac:dyDescent="0.25">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x14ac:dyDescent="0.25">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x14ac:dyDescent="0.25">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 customHeight="1" x14ac:dyDescent="0.25">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x14ac:dyDescent="0.25">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x14ac:dyDescent="0.25">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 customHeight="1" x14ac:dyDescent="0.25">
      <c r="BM152">
        <v>4</v>
      </c>
      <c r="BN152" s="3" t="s">
        <v>2469</v>
      </c>
    </row>
    <row r="153" spans="1:108" ht="12.9" customHeight="1" x14ac:dyDescent="0.25">
      <c r="D153" t="s">
        <v>646</v>
      </c>
      <c r="O153" s="1417" t="s">
        <v>2615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2.9" customHeight="1" x14ac:dyDescent="0.25">
      <c r="D154" s="304" t="s">
        <v>440</v>
      </c>
      <c r="O154" s="1436" t="s">
        <v>2616</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2.9" customHeight="1" x14ac:dyDescent="0.25">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BN155" s="3" t="s">
        <v>875</v>
      </c>
      <c r="CR155" s="31"/>
      <c r="CS155" s="32"/>
      <c r="CT155" s="32"/>
      <c r="CU155" s="32"/>
      <c r="CV155" s="32"/>
      <c r="CW155" s="32"/>
      <c r="CX155" s="14"/>
      <c r="CY155" s="31"/>
      <c r="CZ155" s="14"/>
      <c r="DA155" s="14"/>
      <c r="DB155" s="14"/>
      <c r="DC155" s="14"/>
      <c r="DD155" s="14"/>
    </row>
    <row r="156" spans="1:108" ht="12.9" customHeight="1" x14ac:dyDescent="0.3">
      <c r="D156" t="s">
        <v>313</v>
      </c>
      <c r="O156" s="1371" t="s">
        <v>2617</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 customHeight="1" x14ac:dyDescent="0.3">
      <c r="D157" t="s">
        <v>314</v>
      </c>
      <c r="O157" s="1417" t="s">
        <v>2618</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 customHeight="1" x14ac:dyDescent="0.3">
      <c r="D158" t="s">
        <v>315</v>
      </c>
      <c r="O158" s="1791">
        <v>91801</v>
      </c>
      <c r="P158" s="1791"/>
      <c r="Q158" s="1791"/>
      <c r="R158" s="1791"/>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x14ac:dyDescent="0.35">
      <c r="D159" t="s">
        <v>316</v>
      </c>
      <c r="O159" s="1780" t="s">
        <v>2619</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x14ac:dyDescent="0.3">
      <c r="D160" t="s">
        <v>317</v>
      </c>
      <c r="O160" s="1780" t="s">
        <v>2620</v>
      </c>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 customHeight="1" x14ac:dyDescent="0.3">
      <c r="D161" t="s">
        <v>318</v>
      </c>
      <c r="O161" s="1784" t="s">
        <v>2621</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 customHeight="1" x14ac:dyDescent="0.3">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x14ac:dyDescent="0.3">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 customHeight="1" x14ac:dyDescent="0.3">
      <c r="C164" s="27"/>
      <c r="D164" s="1800" t="s">
        <v>2219</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 customHeight="1" x14ac:dyDescent="0.3">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 customHeight="1" x14ac:dyDescent="0.3">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 customHeight="1" x14ac:dyDescent="0.3">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 customHeight="1" x14ac:dyDescent="0.3">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 customHeight="1" x14ac:dyDescent="0.3">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 customHeight="1" x14ac:dyDescent="0.3">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 customHeight="1" x14ac:dyDescent="0.3">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 customHeight="1" x14ac:dyDescent="0.3">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 customHeight="1" x14ac:dyDescent="0.3">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 customHeight="1" x14ac:dyDescent="0.3">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x14ac:dyDescent="0.3">
      <c r="C175" s="8"/>
      <c r="D175" s="3" t="s">
        <v>322</v>
      </c>
      <c r="O175" s="27"/>
      <c r="U175" s="1331" t="s">
        <v>546</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x14ac:dyDescent="0.3">
      <c r="C176" s="8"/>
      <c r="D176" s="26"/>
      <c r="E176" t="s">
        <v>304</v>
      </c>
      <c r="O176" s="27"/>
      <c r="P176" t="s">
        <v>2082</v>
      </c>
      <c r="T176" s="27" t="s">
        <v>305</v>
      </c>
      <c r="U176" s="1425">
        <v>24</v>
      </c>
      <c r="V176" s="1425"/>
      <c r="W176" s="1" t="s">
        <v>306</v>
      </c>
      <c r="X176" s="1783">
        <v>642</v>
      </c>
      <c r="Y176" s="1783"/>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x14ac:dyDescent="0.3">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x14ac:dyDescent="0.3">
      <c r="C178" s="24"/>
      <c r="D178" s="3" t="s">
        <v>1204</v>
      </c>
      <c r="AA178" t="s">
        <v>2082</v>
      </c>
      <c r="AE178" s="27" t="s">
        <v>305</v>
      </c>
      <c r="AF178" s="1782"/>
      <c r="AG178" s="1782"/>
      <c r="AH178" s="1" t="s">
        <v>306</v>
      </c>
      <c r="AI178" s="1803"/>
      <c r="AJ178" s="1803"/>
      <c r="AK178" s="1803"/>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x14ac:dyDescent="0.3">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x14ac:dyDescent="0.3">
      <c r="C180" s="24"/>
      <c r="D180" t="s">
        <v>2083</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x14ac:dyDescent="0.3">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x14ac:dyDescent="0.3">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x14ac:dyDescent="0.3">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x14ac:dyDescent="0.3">
      <c r="C184" s="21"/>
      <c r="D184" t="s">
        <v>579</v>
      </c>
      <c r="I184" s="1357" t="str">
        <f>H18</f>
        <v>VA Building 408</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x14ac:dyDescent="0.3">
      <c r="C185" s="21"/>
      <c r="D185" t="s">
        <v>580</v>
      </c>
      <c r="I185" s="1347" t="s">
        <v>2622</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x14ac:dyDescent="0.3">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x14ac:dyDescent="0.3">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x14ac:dyDescent="0.3">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x14ac:dyDescent="0.3">
      <c r="C189" s="21"/>
      <c r="D189" t="s">
        <v>581</v>
      </c>
      <c r="I189" s="1416" t="s">
        <v>495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x14ac:dyDescent="0.3">
      <c r="C190" s="21"/>
      <c r="D190" t="s">
        <v>584</v>
      </c>
      <c r="I190" s="1347">
        <v>90073</v>
      </c>
      <c r="J190" s="1347"/>
      <c r="K190" s="1347"/>
      <c r="L190" s="1347"/>
      <c r="M190" s="1347"/>
      <c r="N190" s="1347"/>
      <c r="O190" t="s">
        <v>586</v>
      </c>
      <c r="T190" s="1789">
        <v>6037980017</v>
      </c>
      <c r="U190" s="1789"/>
      <c r="V190" s="1789"/>
      <c r="W190" s="1789"/>
      <c r="X190" s="1789"/>
      <c r="Y190" s="1789"/>
      <c r="Z190" s="1789"/>
      <c r="AA190" s="1789"/>
      <c r="AB190" s="1789"/>
      <c r="AC190" s="1789"/>
      <c r="AD190" s="1789"/>
      <c r="AE190" s="1789"/>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x14ac:dyDescent="0.3">
      <c r="C191" s="21"/>
      <c r="D191" t="s">
        <v>463</v>
      </c>
      <c r="N191" s="1802" t="s">
        <v>2623</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x14ac:dyDescent="0.3">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x14ac:dyDescent="0.3">
      <c r="C193" s="21"/>
      <c r="D193" t="s">
        <v>2084</v>
      </c>
      <c r="M193" s="40"/>
      <c r="N193" s="895"/>
      <c r="O193" s="895"/>
      <c r="P193" s="895"/>
      <c r="Q193" s="895"/>
      <c r="R193" s="895"/>
      <c r="S193" s="895"/>
      <c r="T193" s="1793" t="s">
        <v>1971</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 customHeight="1" x14ac:dyDescent="0.3">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 customHeight="1" x14ac:dyDescent="0.3">
      <c r="C195" s="21"/>
      <c r="D195" t="s">
        <v>331</v>
      </c>
      <c r="T195" s="1331" t="s">
        <v>546</v>
      </c>
      <c r="U195" s="1331"/>
      <c r="W195" t="s">
        <v>685</v>
      </c>
      <c r="AH195" s="1331">
        <v>32</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 customHeight="1" x14ac:dyDescent="0.3">
      <c r="C196" s="21"/>
      <c r="D196" t="s">
        <v>386</v>
      </c>
      <c r="T196" s="1402" t="s">
        <v>670</v>
      </c>
      <c r="U196" s="1402"/>
      <c r="W196" t="s">
        <v>686</v>
      </c>
      <c r="AH196" s="1331">
        <v>42</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 customHeight="1" x14ac:dyDescent="0.3">
      <c r="C197" s="21"/>
      <c r="D197" s="3" t="s">
        <v>169</v>
      </c>
      <c r="T197" s="1402" t="s">
        <v>670</v>
      </c>
      <c r="U197" s="1402"/>
      <c r="W197" t="s">
        <v>687</v>
      </c>
      <c r="AH197" s="1331">
        <v>24</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 customHeight="1" x14ac:dyDescent="0.3">
      <c r="A198"/>
      <c r="B198"/>
      <c r="C198" s="21"/>
      <c r="D198" s="3" t="s">
        <v>1653</v>
      </c>
      <c r="E198"/>
      <c r="F198"/>
      <c r="G198"/>
      <c r="H198"/>
      <c r="I198"/>
      <c r="J198"/>
      <c r="K198"/>
      <c r="L198"/>
      <c r="M198"/>
      <c r="N198"/>
      <c r="O198"/>
      <c r="P198"/>
      <c r="Q198"/>
      <c r="R198"/>
      <c r="S198"/>
      <c r="T198" s="1402">
        <v>0</v>
      </c>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x14ac:dyDescent="0.3">
      <c r="A199"/>
      <c r="B199"/>
      <c r="C199" s="21"/>
      <c r="D199" s="118" t="s">
        <v>2521</v>
      </c>
      <c r="E199"/>
      <c r="F199"/>
      <c r="G199"/>
      <c r="H199"/>
      <c r="I199"/>
      <c r="J199"/>
      <c r="K199"/>
      <c r="L199"/>
      <c r="M199"/>
      <c r="N199"/>
      <c r="O199"/>
      <c r="P199"/>
      <c r="Q199"/>
      <c r="R199"/>
      <c r="S199"/>
      <c r="T199" s="1331" t="s">
        <v>670</v>
      </c>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x14ac:dyDescent="0.3">
      <c r="A200"/>
      <c r="B200"/>
      <c r="C200" s="21"/>
      <c r="D200" s="14" t="s">
        <v>2519</v>
      </c>
      <c r="T200" s="1331" t="s">
        <v>670</v>
      </c>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x14ac:dyDescent="0.3">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 customHeight="1" x14ac:dyDescent="0.3">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 customHeight="1" x14ac:dyDescent="0.3">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 customHeight="1" x14ac:dyDescent="0.3">
      <c r="D204" s="1357" t="s">
        <v>385</v>
      </c>
      <c r="E204" s="1357"/>
      <c r="F204" s="1357"/>
      <c r="G204" s="1357"/>
      <c r="H204" s="1357"/>
      <c r="I204" s="1357"/>
      <c r="J204" s="1357"/>
      <c r="K204" s="1357"/>
      <c r="L204" s="1357"/>
      <c r="M204" s="1357"/>
      <c r="P204" s="1801">
        <f>M26</f>
        <v>3771815</v>
      </c>
      <c r="Q204" s="1781"/>
      <c r="R204" s="1781"/>
      <c r="S204" s="1781"/>
      <c r="T204" s="1781"/>
      <c r="U204" s="1781"/>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 customHeight="1" x14ac:dyDescent="0.3">
      <c r="C205" s="21"/>
      <c r="D205" s="1810" t="s">
        <v>1248</v>
      </c>
      <c r="E205" s="1357"/>
      <c r="F205" s="1357"/>
      <c r="G205" s="1357"/>
      <c r="H205" s="1357"/>
      <c r="I205" s="1357"/>
      <c r="J205" s="1357"/>
      <c r="K205" s="1357"/>
      <c r="L205" s="1357"/>
      <c r="M205" s="1357"/>
      <c r="P205" s="1781">
        <f>M27</f>
        <v>0</v>
      </c>
      <c r="Q205" s="1781"/>
      <c r="R205" s="1781"/>
      <c r="S205" s="1781"/>
      <c r="T205" s="1781"/>
      <c r="U205" s="1781"/>
      <c r="V205" s="28"/>
      <c r="W205" s="3" t="s">
        <v>1721</v>
      </c>
      <c r="Z205" s="1808" t="s">
        <v>1185</v>
      </c>
      <c r="AA205" s="1808"/>
      <c r="AB205" s="1808"/>
      <c r="AC205" s="1808"/>
      <c r="AD205" s="1808"/>
      <c r="AE205" s="1808"/>
      <c r="AF205" s="1808"/>
      <c r="AG205" s="1808"/>
      <c r="AH205" s="1808"/>
      <c r="AI205" s="1808"/>
      <c r="AJ205" s="1808"/>
      <c r="AK205" s="1808"/>
      <c r="AL205" s="1808"/>
      <c r="AM205" s="1808"/>
      <c r="AN205" s="1808"/>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 customHeight="1" x14ac:dyDescent="0.3">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 customHeight="1" x14ac:dyDescent="0.3">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 customHeight="1" x14ac:dyDescent="0.3">
      <c r="C208" s="21"/>
      <c r="D208" s="1417" t="s">
        <v>2763</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x14ac:dyDescent="0.3">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x14ac:dyDescent="0.3">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x14ac:dyDescent="0.3">
      <c r="C211" s="21"/>
      <c r="D211" s="1417" t="s">
        <v>1044</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x14ac:dyDescent="0.3">
      <c r="C212" s="21"/>
      <c r="D212" s="3" t="s">
        <v>2235</v>
      </c>
      <c r="Q212" s="1331">
        <v>75</v>
      </c>
      <c r="R212" s="1331"/>
      <c r="T212" s="1795">
        <f>IFERROR(Q212/AG440,0)</f>
        <v>0.75</v>
      </c>
      <c r="U212" s="1796"/>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x14ac:dyDescent="0.3">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x14ac:dyDescent="0.3">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x14ac:dyDescent="0.3">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x14ac:dyDescent="0.3">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x14ac:dyDescent="0.35">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x14ac:dyDescent="0.3">
      <c r="A218" s="2" t="s">
        <v>593</v>
      </c>
      <c r="C218" s="2" t="s">
        <v>2238</v>
      </c>
      <c r="D218" s="28"/>
      <c r="AC218" s="2" t="s">
        <v>2467</v>
      </c>
      <c r="BC218" t="s">
        <v>530</v>
      </c>
    </row>
    <row r="219" spans="1:108" ht="12.9" customHeight="1" x14ac:dyDescent="0.3">
      <c r="A219" s="2"/>
      <c r="C219" s="2"/>
      <c r="D219" s="3" t="s">
        <v>2468</v>
      </c>
      <c r="AZ219" s="3"/>
      <c r="BA219" s="3"/>
      <c r="BC219" t="s">
        <v>377</v>
      </c>
    </row>
    <row r="220" spans="1:108" ht="12.9" customHeight="1" x14ac:dyDescent="0.3">
      <c r="A220" s="2"/>
      <c r="C220" s="2"/>
      <c r="D220" s="1416"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9" t="s">
        <v>875</v>
      </c>
      <c r="AD220" s="1809"/>
      <c r="AE220" s="1809"/>
      <c r="AF220" s="1809"/>
      <c r="AG220" s="1809"/>
      <c r="AH220" s="1809"/>
      <c r="AI220" s="1809"/>
      <c r="AJ220" s="1809"/>
      <c r="AK220" s="1809"/>
      <c r="AL220" s="1809"/>
      <c r="AM220" s="1809"/>
      <c r="AN220" s="1809"/>
      <c r="AO220" s="1809"/>
      <c r="AP220" s="1809"/>
      <c r="AQ220" s="1809"/>
      <c r="BA220" s="3"/>
      <c r="BC220" t="s">
        <v>300</v>
      </c>
    </row>
    <row r="221" spans="1:108" ht="12.9" customHeight="1" x14ac:dyDescent="0.3">
      <c r="A221" s="2"/>
      <c r="B221" s="14"/>
      <c r="C221" s="2"/>
      <c r="BA221" s="3"/>
    </row>
    <row r="222" spans="1:108" ht="12.9" customHeight="1" x14ac:dyDescent="0.25">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 customHeight="1" x14ac:dyDescent="0.25">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 customHeight="1" x14ac:dyDescent="0.25">
      <c r="AZ224" s="4"/>
      <c r="BA224" s="3"/>
      <c r="BB224" s="3"/>
      <c r="BQ224" s="34"/>
    </row>
    <row r="225" spans="1:59" ht="12.9" customHeight="1" x14ac:dyDescent="0.3">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x14ac:dyDescent="0.25">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546</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 customHeight="1" x14ac:dyDescent="0.25">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 customHeight="1" x14ac:dyDescent="0.25">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 customHeight="1" x14ac:dyDescent="0.25">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 customHeight="1" x14ac:dyDescent="0.25">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2</v>
      </c>
    </row>
    <row r="231" spans="1:59" ht="12.9" customHeight="1" x14ac:dyDescent="0.3">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x14ac:dyDescent="0.3">
      <c r="D232" s="4" t="s">
        <v>471</v>
      </c>
      <c r="E232" s="4"/>
      <c r="F232" s="4"/>
      <c r="G232" s="4"/>
      <c r="H232" s="4"/>
      <c r="I232" s="4"/>
      <c r="J232" s="4"/>
      <c r="K232" s="4"/>
      <c r="M232" s="1790" t="str">
        <f>H16</f>
        <v>VA Building 408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6" t="s">
        <v>539</v>
      </c>
      <c r="BG232" s="242">
        <f>IF(AND(AND($M$249="nonprofit",$M$257="nonprofit",$M$265="for profit")),2,0)</f>
        <v>0</v>
      </c>
    </row>
    <row r="233" spans="1:59" ht="12.9" customHeight="1" x14ac:dyDescent="0.3">
      <c r="D233" s="4" t="s">
        <v>85</v>
      </c>
      <c r="E233" s="4"/>
      <c r="F233" s="4"/>
      <c r="G233" s="4"/>
      <c r="H233" s="4"/>
      <c r="I233" s="4"/>
      <c r="J233" s="4"/>
      <c r="K233" s="4"/>
      <c r="M233" s="1417" t="s">
        <v>2624</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2.9" customHeight="1" x14ac:dyDescent="0.3">
      <c r="D234" s="4" t="s">
        <v>581</v>
      </c>
      <c r="E234" s="4"/>
      <c r="M234" s="1417" t="s">
        <v>495</v>
      </c>
      <c r="N234" s="1417"/>
      <c r="O234" s="1417"/>
      <c r="P234" s="1417"/>
      <c r="Q234" s="1417"/>
      <c r="R234" s="1417"/>
      <c r="S234" s="1417"/>
      <c r="T234" s="1417"/>
      <c r="V234" s="33" t="s">
        <v>86</v>
      </c>
      <c r="W234" s="1545" t="s">
        <v>2625</v>
      </c>
      <c r="X234" s="1436"/>
      <c r="Y234" s="4" t="s">
        <v>584</v>
      </c>
      <c r="AC234" s="1417">
        <v>90049</v>
      </c>
      <c r="AD234" s="1417"/>
      <c r="AE234" s="1417"/>
      <c r="AU234" s="4"/>
      <c r="AV234" s="4"/>
      <c r="AW234" s="4"/>
      <c r="AX234" s="4"/>
      <c r="AY234" s="4"/>
      <c r="AZ234" s="4"/>
      <c r="BB234" s="206" t="s">
        <v>539</v>
      </c>
      <c r="BG234" s="241">
        <f>IF(AND(AND($M$249="for profit",$M$257="nonprofit",$M$265="nonprofit")),2,0)</f>
        <v>0</v>
      </c>
    </row>
    <row r="235" spans="1:59" ht="12.9" customHeight="1" x14ac:dyDescent="0.3">
      <c r="D235" s="4" t="s">
        <v>87</v>
      </c>
      <c r="E235" s="4"/>
      <c r="F235" s="4"/>
      <c r="G235" s="4"/>
      <c r="H235" s="4"/>
      <c r="I235" s="4"/>
      <c r="J235" s="4"/>
      <c r="K235" s="19"/>
      <c r="M235" s="1416" t="s">
        <v>2626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2.9" customHeight="1" x14ac:dyDescent="0.25">
      <c r="D236" s="4" t="s">
        <v>88</v>
      </c>
      <c r="E236" s="4"/>
      <c r="F236" s="4"/>
      <c r="M236" s="1370" t="s">
        <v>2627</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 customHeight="1" x14ac:dyDescent="0.25">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 customHeight="1" x14ac:dyDescent="0.3">
      <c r="A238" s="2" t="s">
        <v>587</v>
      </c>
      <c r="C238" s="2" t="s">
        <v>526</v>
      </c>
      <c r="M238" s="1347" t="s">
        <v>529</v>
      </c>
      <c r="N238" s="1347"/>
      <c r="O238" s="1347"/>
      <c r="P238" s="1347"/>
      <c r="Q238" s="1347"/>
      <c r="R238" s="1347"/>
      <c r="S238" s="1347"/>
      <c r="T238" s="1347"/>
      <c r="U238" s="205" t="s">
        <v>907</v>
      </c>
      <c r="V238" s="205"/>
      <c r="W238" s="205"/>
      <c r="X238" s="205"/>
      <c r="Y238" s="205"/>
      <c r="Z238" s="205"/>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 customHeight="1" x14ac:dyDescent="0.25">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 customHeight="1" x14ac:dyDescent="0.25">
      <c r="D240" s="4"/>
      <c r="BB240" s="205" t="s">
        <v>878</v>
      </c>
      <c r="BG240" s="242">
        <f>IF(AND(AND($M$249="for profit",$M$257="for profit",$M$265="for profit")),3,0)</f>
        <v>0</v>
      </c>
    </row>
    <row r="241" spans="1:67" ht="12.9" customHeight="1" x14ac:dyDescent="0.3">
      <c r="A241" s="2" t="s">
        <v>590</v>
      </c>
      <c r="C241" s="2" t="s">
        <v>1184</v>
      </c>
      <c r="D241" s="4"/>
      <c r="L241" s="8"/>
      <c r="M241" s="8"/>
      <c r="N241" s="8"/>
      <c r="AU241" s="3"/>
      <c r="AV241" s="3"/>
      <c r="AW241" s="3"/>
      <c r="AX241" s="3"/>
      <c r="AY241" s="3"/>
      <c r="BB241" s="205" t="s">
        <v>878</v>
      </c>
      <c r="BG241" s="242">
        <f>IF(AND(AND($M$249="for profit",$M$257="(select one)",$M$265="(select one)")),3,0)</f>
        <v>0</v>
      </c>
    </row>
    <row r="242" spans="1:67" ht="12.9" customHeight="1" x14ac:dyDescent="0.25">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x14ac:dyDescent="0.3">
      <c r="A243" s="19"/>
      <c r="B243" s="4"/>
      <c r="C243" s="56" t="s">
        <v>474</v>
      </c>
      <c r="D243" s="4" t="s">
        <v>533</v>
      </c>
      <c r="E243" s="4"/>
      <c r="F243" s="4"/>
      <c r="G243" s="4"/>
      <c r="H243" s="4"/>
      <c r="I243" s="4"/>
      <c r="J243" s="4"/>
      <c r="K243" s="4"/>
      <c r="L243" s="4"/>
      <c r="M243" s="1419"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2</v>
      </c>
    </row>
    <row r="244" spans="1:67" ht="12.9" customHeight="1" x14ac:dyDescent="0.25">
      <c r="A244" s="19"/>
      <c r="B244" s="4"/>
      <c r="C244" s="4"/>
      <c r="D244" s="4" t="s">
        <v>85</v>
      </c>
      <c r="E244" s="4"/>
      <c r="F244" s="4"/>
      <c r="G244" s="4"/>
      <c r="H244" s="4"/>
      <c r="I244" s="4"/>
      <c r="J244" s="4"/>
      <c r="K244" s="4"/>
      <c r="L244" s="4"/>
      <c r="M244" s="1416" t="s">
        <v>2631</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 customHeight="1" x14ac:dyDescent="0.25">
      <c r="A245" s="19"/>
      <c r="B245" s="4"/>
      <c r="C245" s="4"/>
      <c r="D245" s="4" t="s">
        <v>581</v>
      </c>
      <c r="E245" s="4"/>
      <c r="M245" s="1416" t="s">
        <v>2632</v>
      </c>
      <c r="N245" s="1417"/>
      <c r="O245" s="1417"/>
      <c r="P245" s="1417"/>
      <c r="Q245" s="1417"/>
      <c r="R245" s="1417"/>
      <c r="S245" s="1417"/>
      <c r="T245" s="1417"/>
      <c r="V245" s="33" t="s">
        <v>86</v>
      </c>
      <c r="W245" s="1545" t="s">
        <v>2633</v>
      </c>
      <c r="X245" s="1436"/>
      <c r="Y245" s="4" t="s">
        <v>584</v>
      </c>
      <c r="AC245" s="1417">
        <v>84105</v>
      </c>
      <c r="AD245" s="1417"/>
      <c r="AE245" s="1417"/>
      <c r="AF245" s="3" t="s">
        <v>1181</v>
      </c>
      <c r="AU245" s="4"/>
      <c r="AV245" s="4"/>
      <c r="AW245" s="4"/>
      <c r="AX245" s="4"/>
      <c r="AY245" s="4"/>
      <c r="BB245" s="4" t="s">
        <v>280</v>
      </c>
      <c r="BG245">
        <v>2</v>
      </c>
      <c r="BH245" t="s">
        <v>567</v>
      </c>
      <c r="BO245" s="240" t="str">
        <f>VLOOKUP(BG243,BG244:BH247,2,FALSE)</f>
        <v>Joint Venture</v>
      </c>
    </row>
    <row r="246" spans="1:67" ht="12.9" customHeight="1" x14ac:dyDescent="0.25">
      <c r="A246" s="19"/>
      <c r="B246" s="4"/>
      <c r="C246" s="4"/>
      <c r="D246" s="4" t="s">
        <v>87</v>
      </c>
      <c r="E246" s="4"/>
      <c r="F246" s="4"/>
      <c r="G246" s="4"/>
      <c r="H246" s="4"/>
      <c r="I246" s="4"/>
      <c r="J246" s="4"/>
      <c r="K246" s="4"/>
      <c r="L246" s="19"/>
      <c r="M246" s="1416" t="s">
        <v>2634</v>
      </c>
      <c r="N246" s="1417"/>
      <c r="O246" s="1417"/>
      <c r="P246" s="1417"/>
      <c r="Q246" s="1417"/>
      <c r="R246" s="1417"/>
      <c r="S246" s="1417"/>
      <c r="T246" s="1417"/>
      <c r="U246" s="1417"/>
      <c r="V246" s="1417"/>
      <c r="W246" s="1417"/>
      <c r="X246" s="1417"/>
      <c r="Y246" s="1417"/>
      <c r="Z246" s="1417"/>
      <c r="AA246" s="1417"/>
      <c r="AB246" s="1417"/>
      <c r="AC246" s="1417"/>
      <c r="AD246" s="1417"/>
      <c r="AE246" s="1417"/>
      <c r="AH246" s="1778">
        <v>5.1000000000000004E-3</v>
      </c>
      <c r="AI246" s="1778"/>
      <c r="AJ246" s="1778"/>
      <c r="AK246" s="1778"/>
      <c r="AL246" s="4"/>
      <c r="AM246" s="4"/>
      <c r="AN246" s="4"/>
      <c r="AO246" s="4"/>
      <c r="AP246" s="4"/>
      <c r="AQ246" s="4"/>
      <c r="AR246" s="4"/>
      <c r="AS246" s="4"/>
      <c r="AT246" s="4"/>
      <c r="BB246" s="4" t="s">
        <v>173</v>
      </c>
      <c r="BG246">
        <v>3</v>
      </c>
      <c r="BH246" t="s">
        <v>537</v>
      </c>
      <c r="BN246" s="34"/>
    </row>
    <row r="247" spans="1:67" ht="12.9" customHeight="1" x14ac:dyDescent="0.25">
      <c r="A247" s="19"/>
      <c r="B247" s="4"/>
      <c r="C247" s="4"/>
      <c r="D247" s="4" t="s">
        <v>88</v>
      </c>
      <c r="E247" s="4"/>
      <c r="F247" s="4"/>
      <c r="M247" s="1370" t="s">
        <v>2635</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2.9" customHeight="1" x14ac:dyDescent="0.25">
      <c r="A248" s="19"/>
      <c r="B248" s="4"/>
      <c r="C248" s="4"/>
      <c r="D248" s="4" t="s">
        <v>90</v>
      </c>
      <c r="E248" s="4"/>
      <c r="F248" s="4"/>
      <c r="M248" s="1784" t="s">
        <v>2636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 customHeight="1" x14ac:dyDescent="0.3">
      <c r="A249" s="13"/>
      <c r="B249" s="4"/>
      <c r="C249" s="56"/>
      <c r="D249" s="4" t="s">
        <v>536</v>
      </c>
      <c r="E249" s="4"/>
      <c r="F249" s="4"/>
      <c r="G249" s="4"/>
      <c r="H249" s="4"/>
      <c r="I249" s="4"/>
      <c r="J249" s="4"/>
      <c r="K249" s="4"/>
      <c r="L249" s="4"/>
      <c r="M249" s="1347" t="s">
        <v>535</v>
      </c>
      <c r="N249" s="1347"/>
      <c r="O249" s="1347"/>
      <c r="P249" s="1347"/>
      <c r="Q249" s="1347"/>
      <c r="R249" s="1347"/>
      <c r="S249" s="1347"/>
      <c r="T249" s="1347"/>
      <c r="U249" s="205" t="s">
        <v>907</v>
      </c>
      <c r="V249" s="205"/>
      <c r="W249" s="205"/>
      <c r="X249" s="205"/>
      <c r="Y249" s="205"/>
      <c r="Z249" s="205"/>
      <c r="AA249" s="1776"/>
      <c r="AB249" s="1776"/>
      <c r="AC249" s="1776"/>
      <c r="AD249" s="1776"/>
      <c r="AE249" s="1776"/>
      <c r="AF249" s="1776"/>
      <c r="AG249" s="1776"/>
      <c r="AH249" s="1776"/>
      <c r="AI249" s="1776"/>
      <c r="AJ249" s="1776"/>
      <c r="AK249" s="1776"/>
      <c r="BN249" s="34"/>
    </row>
    <row r="250" spans="1:67" ht="12.9" customHeight="1" x14ac:dyDescent="0.25">
      <c r="A250" s="19"/>
      <c r="B250" s="4"/>
      <c r="C250" s="4"/>
      <c r="D250" s="4"/>
      <c r="E250" s="4"/>
      <c r="F250" s="4"/>
      <c r="G250" s="4"/>
      <c r="H250" s="4"/>
      <c r="I250" s="4"/>
      <c r="J250" s="4"/>
      <c r="K250" s="4"/>
      <c r="L250" s="4"/>
      <c r="AG250" s="4"/>
      <c r="AH250" s="4"/>
      <c r="AI250" s="4"/>
      <c r="AJ250" s="4"/>
      <c r="BN250" s="34"/>
    </row>
    <row r="251" spans="1:67" ht="12.9" customHeight="1" x14ac:dyDescent="0.3">
      <c r="A251" s="2"/>
      <c r="B251" s="4"/>
      <c r="C251" s="56" t="s">
        <v>98</v>
      </c>
      <c r="D251" s="4" t="s">
        <v>956</v>
      </c>
      <c r="E251" s="4"/>
      <c r="F251" s="4"/>
      <c r="G251" s="4"/>
      <c r="H251" s="4"/>
      <c r="I251" s="4"/>
      <c r="J251" s="4"/>
      <c r="K251" s="4"/>
      <c r="L251" s="4"/>
      <c r="M251" s="1419" t="s">
        <v>2637</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2638</v>
      </c>
      <c r="AG251" s="1420"/>
      <c r="AH251" s="1420"/>
      <c r="AI251" s="1420"/>
      <c r="AJ251" s="1420"/>
      <c r="AK251" s="1420"/>
      <c r="AU251" s="4"/>
      <c r="AV251" s="4"/>
      <c r="AW251" s="4"/>
      <c r="AX251" s="4"/>
      <c r="AY251" s="4"/>
      <c r="BN251" s="34"/>
    </row>
    <row r="252" spans="1:67" ht="12.9" customHeight="1" x14ac:dyDescent="0.25">
      <c r="A252" s="19"/>
      <c r="B252" s="4"/>
      <c r="C252" s="4"/>
      <c r="D252" s="4" t="s">
        <v>85</v>
      </c>
      <c r="E252" s="4"/>
      <c r="F252" s="4"/>
      <c r="G252" s="4"/>
      <c r="H252" s="4"/>
      <c r="I252" s="4"/>
      <c r="J252" s="4"/>
      <c r="K252" s="4"/>
      <c r="L252" s="4"/>
      <c r="M252" s="1436" t="s">
        <v>2624</v>
      </c>
      <c r="N252" s="1436"/>
      <c r="O252" s="1436"/>
      <c r="P252" s="1436"/>
      <c r="Q252" s="1436"/>
      <c r="R252" s="1436"/>
      <c r="S252" s="1436"/>
      <c r="T252" s="1436"/>
      <c r="U252" s="1436"/>
      <c r="V252" s="1436"/>
      <c r="W252" s="1436"/>
      <c r="X252" s="1436"/>
      <c r="Y252" s="1436"/>
      <c r="Z252" s="1436"/>
      <c r="AA252" s="1436"/>
      <c r="AB252" s="1436"/>
      <c r="AC252" s="1436"/>
      <c r="AD252" s="1436"/>
      <c r="AE252" s="1436"/>
      <c r="AF252" s="3" t="s">
        <v>1180</v>
      </c>
      <c r="AL252" s="4"/>
      <c r="AM252" s="4"/>
      <c r="AN252" s="4"/>
      <c r="AO252" s="4"/>
      <c r="AP252" s="4"/>
      <c r="AQ252" s="4"/>
      <c r="AR252" s="4"/>
      <c r="AS252" s="4"/>
      <c r="AT252" s="4"/>
      <c r="BN252" s="34"/>
    </row>
    <row r="253" spans="1:67" ht="12.9" customHeight="1" x14ac:dyDescent="0.25">
      <c r="A253" s="19"/>
      <c r="B253" s="4"/>
      <c r="C253" s="4"/>
      <c r="D253" s="4" t="s">
        <v>581</v>
      </c>
      <c r="E253" s="4"/>
      <c r="M253" s="1416" t="s">
        <v>2639</v>
      </c>
      <c r="N253" s="1417"/>
      <c r="O253" s="1417"/>
      <c r="P253" s="1417"/>
      <c r="Q253" s="1417"/>
      <c r="R253" s="1417"/>
      <c r="S253" s="1417"/>
      <c r="T253" s="1417"/>
      <c r="V253" s="33" t="s">
        <v>86</v>
      </c>
      <c r="W253" s="1545" t="s">
        <v>2625</v>
      </c>
      <c r="X253" s="1436"/>
      <c r="Y253" s="4" t="s">
        <v>584</v>
      </c>
      <c r="AC253" s="1417">
        <v>90049</v>
      </c>
      <c r="AD253" s="1417"/>
      <c r="AE253" s="1417"/>
      <c r="AF253" s="3" t="s">
        <v>1181</v>
      </c>
      <c r="AU253" s="4"/>
      <c r="AV253" s="4"/>
      <c r="AW253" s="4"/>
      <c r="AX253" s="4"/>
      <c r="AY253" s="4"/>
      <c r="BN253" s="34"/>
    </row>
    <row r="254" spans="1:67" ht="12.9" customHeight="1" x14ac:dyDescent="0.25">
      <c r="A254" s="19"/>
      <c r="B254" s="4"/>
      <c r="C254" s="4"/>
      <c r="D254" s="4" t="s">
        <v>87</v>
      </c>
      <c r="E254" s="4"/>
      <c r="F254" s="4"/>
      <c r="G254" s="4"/>
      <c r="H254" s="4"/>
      <c r="I254" s="4"/>
      <c r="J254" s="4"/>
      <c r="K254" s="4"/>
      <c r="L254" s="19"/>
      <c r="M254" s="1416" t="s">
        <v>2626</v>
      </c>
      <c r="N254" s="1417"/>
      <c r="O254" s="1417"/>
      <c r="P254" s="1417"/>
      <c r="Q254" s="1417"/>
      <c r="R254" s="1417"/>
      <c r="S254" s="1417"/>
      <c r="T254" s="1417"/>
      <c r="U254" s="1417"/>
      <c r="V254" s="1417"/>
      <c r="W254" s="1417"/>
      <c r="X254" s="1417"/>
      <c r="Y254" s="1417"/>
      <c r="Z254" s="1417"/>
      <c r="AA254" s="1417"/>
      <c r="AB254" s="1417"/>
      <c r="AC254" s="1417"/>
      <c r="AD254" s="1417"/>
      <c r="AE254" s="1417"/>
      <c r="AH254" s="1778">
        <v>4.7999999999999996E-3</v>
      </c>
      <c r="AI254" s="1778"/>
      <c r="AJ254" s="1778"/>
      <c r="AK254" s="1778"/>
      <c r="AL254" s="4"/>
      <c r="AM254" s="4"/>
      <c r="AN254" s="4"/>
      <c r="AO254" s="4"/>
      <c r="AP254" s="4"/>
      <c r="AQ254" s="4"/>
      <c r="AR254" s="4"/>
      <c r="AS254" s="4"/>
      <c r="AT254" s="4"/>
    </row>
    <row r="255" spans="1:67" ht="12.9" customHeight="1" x14ac:dyDescent="0.25">
      <c r="A255" s="19"/>
      <c r="B255" s="4"/>
      <c r="C255" s="4"/>
      <c r="D255" s="4" t="s">
        <v>88</v>
      </c>
      <c r="E255" s="4"/>
      <c r="F255" s="4"/>
      <c r="M255" s="1370" t="s">
        <v>2627</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2.9" customHeight="1" x14ac:dyDescent="0.25">
      <c r="A256" s="19"/>
      <c r="B256" s="4"/>
      <c r="C256" s="4"/>
      <c r="D256" s="4" t="s">
        <v>90</v>
      </c>
      <c r="E256" s="4"/>
      <c r="F256" s="4"/>
      <c r="M256" s="1784" t="s">
        <v>2628</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x14ac:dyDescent="0.3">
      <c r="A257" s="13"/>
      <c r="B257" s="4"/>
      <c r="C257" s="56"/>
      <c r="D257" s="4" t="s">
        <v>536</v>
      </c>
      <c r="E257" s="4"/>
      <c r="F257" s="4"/>
      <c r="G257" s="4"/>
      <c r="H257" s="4"/>
      <c r="I257" s="4"/>
      <c r="J257" s="4"/>
      <c r="K257" s="4"/>
      <c r="L257" s="4"/>
      <c r="M257" s="1347" t="s">
        <v>537</v>
      </c>
      <c r="N257" s="1347"/>
      <c r="O257" s="1347"/>
      <c r="P257" s="1347"/>
      <c r="Q257" s="1347"/>
      <c r="R257" s="1347"/>
      <c r="S257" s="1347"/>
      <c r="T257" s="1347"/>
      <c r="U257" s="205" t="s">
        <v>907</v>
      </c>
      <c r="V257" s="205"/>
      <c r="W257" s="205"/>
      <c r="X257" s="205"/>
      <c r="Y257" s="205"/>
      <c r="Z257" s="205"/>
      <c r="AA257" s="1775" t="s">
        <v>2640</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 customHeight="1" x14ac:dyDescent="0.3">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x14ac:dyDescent="0.3">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 customHeight="1" x14ac:dyDescent="0.3">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 customHeight="1" x14ac:dyDescent="0.3">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 customHeight="1" x14ac:dyDescent="0.3">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 customHeight="1" x14ac:dyDescent="0.3">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 customHeight="1" x14ac:dyDescent="0.3">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 customHeight="1" x14ac:dyDescent="0.3">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 customHeight="1" x14ac:dyDescent="0.25">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x14ac:dyDescent="0.3">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8" t="s">
        <v>955</v>
      </c>
      <c r="AA267" s="309"/>
      <c r="AB267" s="309"/>
      <c r="AC267" s="309"/>
      <c r="AD267" s="105"/>
      <c r="AE267" s="105"/>
      <c r="AF267" s="105"/>
      <c r="AG267" s="105"/>
      <c r="AH267" s="105"/>
      <c r="AI267" s="105"/>
      <c r="AJ267" s="105"/>
      <c r="AK267" s="310"/>
      <c r="AL267" s="58"/>
    </row>
    <row r="268" spans="1:51" ht="12.9" customHeight="1" x14ac:dyDescent="0.3">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 customHeight="1" x14ac:dyDescent="0.3">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 customHeight="1" x14ac:dyDescent="0.25">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2.9" customHeight="1" x14ac:dyDescent="0.25">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x14ac:dyDescent="0.25">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x14ac:dyDescent="0.3">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x14ac:dyDescent="0.25">
      <c r="D274" s="4" t="s">
        <v>296</v>
      </c>
      <c r="E274" s="4"/>
      <c r="F274" s="4"/>
      <c r="G274" s="4"/>
      <c r="H274" s="4"/>
      <c r="I274" s="4"/>
      <c r="J274" s="4"/>
      <c r="K274" s="4"/>
      <c r="L274" s="1420" t="s">
        <v>2641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 customHeight="1" x14ac:dyDescent="0.25">
      <c r="D275" s="4" t="s">
        <v>85</v>
      </c>
      <c r="E275" s="4"/>
      <c r="F275" s="4"/>
      <c r="G275" s="4"/>
      <c r="H275" s="4"/>
      <c r="I275" s="4"/>
      <c r="J275" s="4"/>
      <c r="K275" s="4"/>
      <c r="L275" s="1417" t="s">
        <v>2642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 customHeight="1" x14ac:dyDescent="0.25">
      <c r="D276" s="4" t="s">
        <v>581</v>
      </c>
      <c r="E276" s="4"/>
      <c r="L276" s="1416" t="s">
        <v>67</v>
      </c>
      <c r="M276" s="1417"/>
      <c r="N276" s="1417"/>
      <c r="O276" s="1417"/>
      <c r="P276" s="1417"/>
      <c r="Q276" s="1417"/>
      <c r="R276" s="1417"/>
      <c r="S276" s="1417"/>
      <c r="U276" s="33" t="s">
        <v>86</v>
      </c>
      <c r="V276" s="1545" t="s">
        <v>2625</v>
      </c>
      <c r="W276" s="1436"/>
      <c r="X276" s="4" t="s">
        <v>584</v>
      </c>
      <c r="AB276" s="1417">
        <v>92507</v>
      </c>
      <c r="AC276" s="1417"/>
      <c r="AD276" s="1417"/>
      <c r="AK276" s="3"/>
      <c r="AL276" s="3"/>
      <c r="AM276" s="3"/>
      <c r="AN276" s="3"/>
      <c r="AO276" s="3"/>
      <c r="AP276" s="3"/>
      <c r="AQ276" s="3"/>
      <c r="AR276" s="3"/>
      <c r="AS276" s="3"/>
      <c r="AT276" s="3"/>
      <c r="AU276" s="3"/>
      <c r="AV276" s="3"/>
      <c r="AW276" s="3"/>
      <c r="AX276" s="3"/>
      <c r="AY276" s="3"/>
    </row>
    <row r="277" spans="1:51" ht="12.9" customHeight="1" x14ac:dyDescent="0.25">
      <c r="D277" s="4" t="s">
        <v>87</v>
      </c>
      <c r="E277" s="4"/>
      <c r="F277" s="4"/>
      <c r="G277" s="4"/>
      <c r="H277" s="4"/>
      <c r="I277" s="4"/>
      <c r="J277" s="4"/>
      <c r="K277" s="19"/>
      <c r="L277" s="1416" t="s">
        <v>2643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 customHeight="1" x14ac:dyDescent="0.25">
      <c r="D278" s="4" t="s">
        <v>88</v>
      </c>
      <c r="E278" s="4"/>
      <c r="F278" s="4"/>
      <c r="L278" s="1370" t="s">
        <v>2644</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2.9" customHeight="1" x14ac:dyDescent="0.25">
      <c r="D279" s="4" t="s">
        <v>90</v>
      </c>
      <c r="E279" s="4"/>
      <c r="F279" s="4"/>
      <c r="L279" s="1784" t="s">
        <v>2645</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 customHeight="1" x14ac:dyDescent="0.25">
      <c r="D280" s="3" t="s">
        <v>624</v>
      </c>
      <c r="E280" s="3"/>
      <c r="F280" s="3"/>
      <c r="G280" s="3"/>
      <c r="H280" s="3"/>
      <c r="I280" s="3"/>
      <c r="L280" s="1545" t="s">
        <v>2646</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 customHeight="1" x14ac:dyDescent="0.25">
      <c r="L281" s="22" t="s">
        <v>625</v>
      </c>
      <c r="AU281" s="95"/>
      <c r="AV281" s="95"/>
      <c r="AW281" s="95"/>
      <c r="AX281" s="95"/>
      <c r="AY281" s="95"/>
    </row>
    <row r="282" spans="1:51" ht="12.9" customHeight="1" x14ac:dyDescent="0.25">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 customHeight="1" x14ac:dyDescent="0.25">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 customHeight="1" x14ac:dyDescent="0.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x14ac:dyDescent="0.3">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x14ac:dyDescent="0.25">
      <c r="B287" s="3" t="s">
        <v>627</v>
      </c>
      <c r="C287" s="3"/>
      <c r="D287" s="3"/>
      <c r="E287" s="3"/>
      <c r="F287" s="3"/>
      <c r="H287" s="1371" t="s">
        <v>2647</v>
      </c>
      <c r="I287" s="1371"/>
      <c r="J287" s="1371"/>
      <c r="K287" s="1371"/>
      <c r="L287" s="1371"/>
      <c r="M287" s="1371"/>
      <c r="N287" s="1371"/>
      <c r="O287" s="1371"/>
      <c r="P287" s="1371"/>
      <c r="Q287" s="1371"/>
      <c r="R287" s="1371"/>
      <c r="T287" s="3" t="s">
        <v>568</v>
      </c>
      <c r="V287" s="3"/>
      <c r="W287" s="3"/>
      <c r="X287" s="3"/>
      <c r="Y287" s="3"/>
      <c r="AA287" s="1371" t="s">
        <v>2650</v>
      </c>
      <c r="AB287" s="1371"/>
      <c r="AC287" s="1371"/>
      <c r="AD287" s="1371"/>
      <c r="AE287" s="1371"/>
      <c r="AF287" s="1371"/>
      <c r="AG287" s="1371"/>
      <c r="AH287" s="1371"/>
      <c r="AI287" s="1371"/>
      <c r="AJ287" s="1371"/>
      <c r="AK287" s="1371"/>
    </row>
    <row r="288" spans="1:51" ht="12.9" customHeight="1" x14ac:dyDescent="0.25">
      <c r="B288" s="3" t="s">
        <v>472</v>
      </c>
      <c r="C288" s="3"/>
      <c r="D288" s="3"/>
      <c r="E288" s="3"/>
      <c r="F288" s="3"/>
      <c r="H288" s="1347" t="s">
        <v>2648</v>
      </c>
      <c r="I288" s="1347"/>
      <c r="J288" s="1347"/>
      <c r="K288" s="1347"/>
      <c r="L288" s="1347"/>
      <c r="M288" s="1347"/>
      <c r="N288" s="1347"/>
      <c r="O288" s="1347"/>
      <c r="P288" s="1347"/>
      <c r="Q288" s="1347"/>
      <c r="R288" s="1347"/>
      <c r="T288" s="3" t="s">
        <v>472</v>
      </c>
      <c r="V288" s="3"/>
      <c r="W288" s="3"/>
      <c r="X288" s="3"/>
      <c r="Y288" s="3"/>
      <c r="AA288" s="1347" t="s">
        <v>2651</v>
      </c>
      <c r="AB288" s="1347"/>
      <c r="AC288" s="1347"/>
      <c r="AD288" s="1347"/>
      <c r="AE288" s="1347"/>
      <c r="AF288" s="1347"/>
      <c r="AG288" s="1347"/>
      <c r="AH288" s="1347"/>
      <c r="AI288" s="1347"/>
      <c r="AJ288" s="1347"/>
      <c r="AK288" s="1347"/>
    </row>
    <row r="289" spans="2:37" ht="12.9" customHeight="1" x14ac:dyDescent="0.25">
      <c r="B289" s="3" t="s">
        <v>473</v>
      </c>
      <c r="C289" s="3"/>
      <c r="D289" s="3"/>
      <c r="E289" s="3"/>
      <c r="F289" s="3"/>
      <c r="H289" s="1347" t="s">
        <v>2649</v>
      </c>
      <c r="I289" s="1347"/>
      <c r="J289" s="1347"/>
      <c r="K289" s="1347"/>
      <c r="L289" s="1347"/>
      <c r="M289" s="1347"/>
      <c r="N289" s="1347"/>
      <c r="O289" s="1347"/>
      <c r="P289" s="1347"/>
      <c r="Q289" s="1347"/>
      <c r="R289" s="1347"/>
      <c r="T289" s="3" t="s">
        <v>75</v>
      </c>
      <c r="V289" s="3"/>
      <c r="W289" s="3"/>
      <c r="X289" s="3"/>
      <c r="Y289" s="3"/>
      <c r="AA289" s="1347" t="s">
        <v>2652</v>
      </c>
      <c r="AB289" s="1347"/>
      <c r="AC289" s="1347"/>
      <c r="AD289" s="1347"/>
      <c r="AE289" s="1347"/>
      <c r="AF289" s="1347"/>
      <c r="AG289" s="1347"/>
      <c r="AH289" s="1347"/>
      <c r="AI289" s="1347"/>
      <c r="AJ289" s="1347"/>
      <c r="AK289" s="1347"/>
    </row>
    <row r="290" spans="2:37" ht="12.9" customHeight="1" x14ac:dyDescent="0.25">
      <c r="B290" s="3" t="s">
        <v>87</v>
      </c>
      <c r="C290" s="3"/>
      <c r="D290" s="3"/>
      <c r="E290" s="3"/>
      <c r="F290" s="3"/>
      <c r="H290" s="1347" t="s">
        <v>2626</v>
      </c>
      <c r="I290" s="1347"/>
      <c r="J290" s="1347"/>
      <c r="K290" s="1347"/>
      <c r="L290" s="1347"/>
      <c r="M290" s="1347"/>
      <c r="N290" s="1347"/>
      <c r="O290" s="1347"/>
      <c r="P290" s="1347"/>
      <c r="Q290" s="1347"/>
      <c r="R290" s="1347"/>
      <c r="T290" s="3" t="s">
        <v>87</v>
      </c>
      <c r="V290" s="3"/>
      <c r="W290" s="3"/>
      <c r="X290" s="3"/>
      <c r="Y290" s="3"/>
      <c r="AA290" s="1347" t="s">
        <v>2653</v>
      </c>
      <c r="AB290" s="1347"/>
      <c r="AC290" s="1347"/>
      <c r="AD290" s="1347"/>
      <c r="AE290" s="1347"/>
      <c r="AF290" s="1347"/>
      <c r="AG290" s="1347"/>
      <c r="AH290" s="1347"/>
      <c r="AI290" s="1347"/>
      <c r="AJ290" s="1347"/>
      <c r="AK290" s="1347"/>
    </row>
    <row r="291" spans="2:37" ht="12.9" customHeight="1" x14ac:dyDescent="0.25">
      <c r="B291" s="3" t="s">
        <v>88</v>
      </c>
      <c r="C291" s="3"/>
      <c r="D291" s="3"/>
      <c r="E291" s="3"/>
      <c r="F291" s="3"/>
      <c r="G291" s="3"/>
      <c r="H291" s="1768" t="s">
        <v>2627</v>
      </c>
      <c r="I291" s="1423"/>
      <c r="J291" s="1423"/>
      <c r="K291" s="1423"/>
      <c r="L291" s="1423"/>
      <c r="M291" s="1423"/>
      <c r="N291" s="4" t="s">
        <v>206</v>
      </c>
      <c r="O291" s="4"/>
      <c r="P291" s="1417"/>
      <c r="Q291" s="1417"/>
      <c r="R291" s="1417"/>
      <c r="S291" s="3"/>
      <c r="T291" s="3" t="s">
        <v>88</v>
      </c>
      <c r="V291" s="3"/>
      <c r="W291" s="3"/>
      <c r="X291" s="3"/>
      <c r="Y291" s="3"/>
      <c r="AA291" s="1768" t="s">
        <v>2654</v>
      </c>
      <c r="AB291" s="1423"/>
      <c r="AC291" s="1423"/>
      <c r="AD291" s="1423"/>
      <c r="AE291" s="1423"/>
      <c r="AF291" s="1423"/>
      <c r="AG291" s="4" t="s">
        <v>206</v>
      </c>
      <c r="AH291" s="4"/>
      <c r="AI291" s="1417"/>
      <c r="AJ291" s="1417"/>
      <c r="AK291" s="1417"/>
    </row>
    <row r="292" spans="2:37" ht="12.9" customHeight="1" x14ac:dyDescent="0.25">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 customHeight="1" x14ac:dyDescent="0.25">
      <c r="B293" s="3" t="s">
        <v>76</v>
      </c>
      <c r="C293" s="3"/>
      <c r="D293" s="3"/>
      <c r="E293" s="3"/>
      <c r="F293" s="3"/>
      <c r="G293" s="3"/>
      <c r="H293" s="1347" t="s">
        <v>2628</v>
      </c>
      <c r="I293" s="1347"/>
      <c r="J293" s="1347"/>
      <c r="K293" s="1347"/>
      <c r="L293" s="1347"/>
      <c r="M293" s="1347"/>
      <c r="N293" s="1371"/>
      <c r="O293" s="1371"/>
      <c r="P293" s="1371"/>
      <c r="Q293" s="1371"/>
      <c r="R293" s="1371"/>
      <c r="S293" s="3"/>
      <c r="T293" s="3" t="s">
        <v>76</v>
      </c>
      <c r="V293" s="3"/>
      <c r="W293" s="3"/>
      <c r="X293" s="3"/>
      <c r="Y293" s="3"/>
      <c r="AA293" s="1347" t="s">
        <v>2655</v>
      </c>
      <c r="AB293" s="1347"/>
      <c r="AC293" s="1347"/>
      <c r="AD293" s="1347"/>
      <c r="AE293" s="1347"/>
      <c r="AF293" s="1347"/>
      <c r="AG293" s="1371"/>
      <c r="AH293" s="1371"/>
      <c r="AI293" s="1371"/>
      <c r="AJ293" s="1371"/>
      <c r="AK293" s="1371"/>
    </row>
    <row r="294" spans="2:37" ht="12.9" customHeight="1" x14ac:dyDescent="0.25">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x14ac:dyDescent="0.25">
      <c r="B295" s="3" t="s">
        <v>323</v>
      </c>
      <c r="C295" s="3"/>
      <c r="D295" s="3"/>
      <c r="E295" s="3"/>
      <c r="F295" s="3"/>
      <c r="H295" s="1371" t="s">
        <v>2656</v>
      </c>
      <c r="I295" s="1371"/>
      <c r="J295" s="1371"/>
      <c r="K295" s="1371"/>
      <c r="L295" s="1371"/>
      <c r="M295" s="1371"/>
      <c r="N295" s="1371"/>
      <c r="O295" s="1371"/>
      <c r="P295" s="1371"/>
      <c r="Q295" s="1371"/>
      <c r="R295" s="1371"/>
      <c r="T295" s="3" t="s">
        <v>364</v>
      </c>
      <c r="V295" s="3"/>
      <c r="W295" s="3"/>
      <c r="X295" s="3"/>
      <c r="Y295" s="3"/>
      <c r="AA295" s="1371" t="s">
        <v>2662</v>
      </c>
      <c r="AB295" s="1371"/>
      <c r="AC295" s="1371"/>
      <c r="AD295" s="1371"/>
      <c r="AE295" s="1371"/>
      <c r="AF295" s="1371"/>
      <c r="AG295" s="1371"/>
      <c r="AH295" s="1371"/>
      <c r="AI295" s="1371"/>
      <c r="AJ295" s="1371"/>
      <c r="AK295" s="1371"/>
    </row>
    <row r="296" spans="2:37" ht="12.9" customHeight="1" x14ac:dyDescent="0.25">
      <c r="B296" s="3" t="s">
        <v>472</v>
      </c>
      <c r="C296" s="3"/>
      <c r="D296" s="3"/>
      <c r="E296" s="3"/>
      <c r="F296" s="3"/>
      <c r="H296" s="1347" t="s">
        <v>2657</v>
      </c>
      <c r="I296" s="1347"/>
      <c r="J296" s="1347"/>
      <c r="K296" s="1347"/>
      <c r="L296" s="1347"/>
      <c r="M296" s="1347"/>
      <c r="N296" s="1347"/>
      <c r="O296" s="1347"/>
      <c r="P296" s="1347"/>
      <c r="Q296" s="1347"/>
      <c r="R296" s="1347"/>
      <c r="T296" s="3" t="s">
        <v>472</v>
      </c>
      <c r="V296" s="3"/>
      <c r="W296" s="3"/>
      <c r="X296" s="3"/>
      <c r="Y296" s="3"/>
      <c r="AA296" s="1347" t="s">
        <v>2663</v>
      </c>
      <c r="AB296" s="1347"/>
      <c r="AC296" s="1347"/>
      <c r="AD296" s="1347"/>
      <c r="AE296" s="1347"/>
      <c r="AF296" s="1347"/>
      <c r="AG296" s="1347"/>
      <c r="AH296" s="1347"/>
      <c r="AI296" s="1347"/>
      <c r="AJ296" s="1347"/>
      <c r="AK296" s="1347"/>
    </row>
    <row r="297" spans="2:37" ht="12.9" customHeight="1" x14ac:dyDescent="0.25">
      <c r="B297" s="3" t="s">
        <v>473</v>
      </c>
      <c r="C297" s="3"/>
      <c r="D297" s="3"/>
      <c r="E297" s="3"/>
      <c r="F297" s="3"/>
      <c r="H297" s="1347" t="s">
        <v>2658</v>
      </c>
      <c r="I297" s="1347"/>
      <c r="J297" s="1347"/>
      <c r="K297" s="1347"/>
      <c r="L297" s="1347"/>
      <c r="M297" s="1347"/>
      <c r="N297" s="1347"/>
      <c r="O297" s="1347"/>
      <c r="P297" s="1347"/>
      <c r="Q297" s="1347"/>
      <c r="R297" s="1347"/>
      <c r="T297" s="3" t="s">
        <v>75</v>
      </c>
      <c r="V297" s="3"/>
      <c r="W297" s="3"/>
      <c r="X297" s="3"/>
      <c r="Y297" s="3"/>
      <c r="AA297" s="1347" t="s">
        <v>2664</v>
      </c>
      <c r="AB297" s="1347"/>
      <c r="AC297" s="1347"/>
      <c r="AD297" s="1347"/>
      <c r="AE297" s="1347"/>
      <c r="AF297" s="1347"/>
      <c r="AG297" s="1347"/>
      <c r="AH297" s="1347"/>
      <c r="AI297" s="1347"/>
      <c r="AJ297" s="1347"/>
      <c r="AK297" s="1347"/>
    </row>
    <row r="298" spans="2:37" ht="12.9" customHeight="1" x14ac:dyDescent="0.25">
      <c r="B298" s="3" t="s">
        <v>87</v>
      </c>
      <c r="C298" s="3"/>
      <c r="D298" s="3"/>
      <c r="E298" s="3"/>
      <c r="F298" s="3"/>
      <c r="H298" s="1347" t="s">
        <v>2659</v>
      </c>
      <c r="I298" s="1347"/>
      <c r="J298" s="1347"/>
      <c r="K298" s="1347"/>
      <c r="L298" s="1347"/>
      <c r="M298" s="1347"/>
      <c r="N298" s="1347"/>
      <c r="O298" s="1347"/>
      <c r="P298" s="1347"/>
      <c r="Q298" s="1347"/>
      <c r="R298" s="1347"/>
      <c r="T298" s="3" t="s">
        <v>87</v>
      </c>
      <c r="V298" s="3"/>
      <c r="W298" s="3"/>
      <c r="X298" s="3"/>
      <c r="Y298" s="3"/>
      <c r="AA298" s="1347" t="s">
        <v>2665</v>
      </c>
      <c r="AB298" s="1347"/>
      <c r="AC298" s="1347"/>
      <c r="AD298" s="1347"/>
      <c r="AE298" s="1347"/>
      <c r="AF298" s="1347"/>
      <c r="AG298" s="1347"/>
      <c r="AH298" s="1347"/>
      <c r="AI298" s="1347"/>
      <c r="AJ298" s="1347"/>
      <c r="AK298" s="1347"/>
    </row>
    <row r="299" spans="2:37" ht="12.9" customHeight="1" x14ac:dyDescent="0.25">
      <c r="B299" s="3" t="s">
        <v>88</v>
      </c>
      <c r="C299" s="3"/>
      <c r="D299" s="3"/>
      <c r="E299" s="3"/>
      <c r="F299" s="3"/>
      <c r="G299" s="3"/>
      <c r="H299" s="1423" t="s">
        <v>2660</v>
      </c>
      <c r="I299" s="1423"/>
      <c r="J299" s="1423"/>
      <c r="K299" s="1423"/>
      <c r="L299" s="1423"/>
      <c r="M299" s="1423"/>
      <c r="N299" s="4" t="s">
        <v>206</v>
      </c>
      <c r="O299" s="4"/>
      <c r="P299" s="1417"/>
      <c r="Q299" s="1417"/>
      <c r="R299" s="1417"/>
      <c r="S299" s="3"/>
      <c r="T299" s="3" t="s">
        <v>88</v>
      </c>
      <c r="V299" s="3"/>
      <c r="W299" s="3"/>
      <c r="X299" s="3"/>
      <c r="Y299" s="3"/>
      <c r="AA299" s="1423" t="s">
        <v>2666</v>
      </c>
      <c r="AB299" s="1423"/>
      <c r="AC299" s="1423"/>
      <c r="AD299" s="1423"/>
      <c r="AE299" s="1423"/>
      <c r="AF299" s="1423"/>
      <c r="AG299" s="4" t="s">
        <v>206</v>
      </c>
      <c r="AH299" s="4"/>
      <c r="AI299" s="1417"/>
      <c r="AJ299" s="1417"/>
      <c r="AK299" s="1417"/>
    </row>
    <row r="300" spans="2:37" ht="12.9" customHeight="1" x14ac:dyDescent="0.25">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 customHeight="1" x14ac:dyDescent="0.25">
      <c r="B301" s="3" t="s">
        <v>76</v>
      </c>
      <c r="C301" s="3"/>
      <c r="D301" s="3"/>
      <c r="E301" s="3"/>
      <c r="F301" s="3"/>
      <c r="G301" s="3"/>
      <c r="H301" s="1347" t="s">
        <v>2661</v>
      </c>
      <c r="I301" s="1347"/>
      <c r="J301" s="1347"/>
      <c r="K301" s="1347"/>
      <c r="L301" s="1347"/>
      <c r="M301" s="1347"/>
      <c r="N301" s="1371"/>
      <c r="O301" s="1371"/>
      <c r="P301" s="1371"/>
      <c r="Q301" s="1371"/>
      <c r="R301" s="1371"/>
      <c r="S301" s="3"/>
      <c r="T301" s="3" t="s">
        <v>76</v>
      </c>
      <c r="V301" s="3"/>
      <c r="W301" s="3"/>
      <c r="X301" s="3"/>
      <c r="Y301" s="3"/>
      <c r="AA301" s="1347" t="s">
        <v>2764</v>
      </c>
      <c r="AB301" s="1347"/>
      <c r="AC301" s="1347"/>
      <c r="AD301" s="1347"/>
      <c r="AE301" s="1347"/>
      <c r="AF301" s="1347"/>
      <c r="AG301" s="1371"/>
      <c r="AH301" s="1371"/>
      <c r="AI301" s="1371"/>
      <c r="AJ301" s="1371"/>
      <c r="AK301" s="1371"/>
    </row>
    <row r="302" spans="2:37" ht="12.9" customHeight="1" x14ac:dyDescent="0.25"/>
    <row r="303" spans="2:37" ht="12.9" customHeight="1" x14ac:dyDescent="0.25">
      <c r="B303" s="3" t="s">
        <v>77</v>
      </c>
      <c r="C303" s="3"/>
      <c r="D303" s="3"/>
      <c r="E303" s="3"/>
      <c r="F303" s="3"/>
      <c r="H303" s="1371" t="s">
        <v>2667</v>
      </c>
      <c r="I303" s="1371"/>
      <c r="J303" s="1371"/>
      <c r="K303" s="1371"/>
      <c r="L303" s="1371"/>
      <c r="M303" s="1371"/>
      <c r="N303" s="1371"/>
      <c r="O303" s="1371"/>
      <c r="P303" s="1371"/>
      <c r="Q303" s="1371"/>
      <c r="R303" s="1371"/>
      <c r="T303" s="4" t="s">
        <v>879</v>
      </c>
      <c r="V303" s="3"/>
      <c r="W303" s="3"/>
      <c r="X303" s="3"/>
      <c r="Y303" s="3"/>
      <c r="AA303" s="1371" t="s">
        <v>2673</v>
      </c>
      <c r="AB303" s="1371"/>
      <c r="AC303" s="1371"/>
      <c r="AD303" s="1371"/>
      <c r="AE303" s="1371"/>
      <c r="AF303" s="1371"/>
      <c r="AG303" s="1371"/>
      <c r="AH303" s="1371"/>
      <c r="AI303" s="1371"/>
      <c r="AJ303" s="1371"/>
      <c r="AK303" s="1371"/>
    </row>
    <row r="304" spans="2:37" ht="12.9" customHeight="1" x14ac:dyDescent="0.25">
      <c r="B304" s="3" t="s">
        <v>472</v>
      </c>
      <c r="C304" s="3"/>
      <c r="D304" s="3"/>
      <c r="E304" s="3"/>
      <c r="F304" s="3"/>
      <c r="H304" s="1347" t="s">
        <v>2668</v>
      </c>
      <c r="I304" s="1347"/>
      <c r="J304" s="1347"/>
      <c r="K304" s="1347"/>
      <c r="L304" s="1347"/>
      <c r="M304" s="1347"/>
      <c r="N304" s="1347"/>
      <c r="O304" s="1347"/>
      <c r="P304" s="1347"/>
      <c r="Q304" s="1347"/>
      <c r="R304" s="1347"/>
      <c r="T304" s="3" t="s">
        <v>472</v>
      </c>
      <c r="V304" s="3"/>
      <c r="W304" s="3"/>
      <c r="X304" s="3"/>
      <c r="Y304" s="3"/>
      <c r="AA304" s="1347" t="s">
        <v>2674</v>
      </c>
      <c r="AB304" s="1347"/>
      <c r="AC304" s="1347"/>
      <c r="AD304" s="1347"/>
      <c r="AE304" s="1347"/>
      <c r="AF304" s="1347"/>
      <c r="AG304" s="1347"/>
      <c r="AH304" s="1347"/>
      <c r="AI304" s="1347"/>
      <c r="AJ304" s="1347"/>
      <c r="AK304" s="1347"/>
    </row>
    <row r="305" spans="2:37" ht="12.9" customHeight="1" x14ac:dyDescent="0.25">
      <c r="B305" s="3" t="s">
        <v>473</v>
      </c>
      <c r="C305" s="3"/>
      <c r="D305" s="3"/>
      <c r="E305" s="3"/>
      <c r="F305" s="3"/>
      <c r="H305" s="1347" t="s">
        <v>2669</v>
      </c>
      <c r="I305" s="1347"/>
      <c r="J305" s="1347"/>
      <c r="K305" s="1347"/>
      <c r="L305" s="1347"/>
      <c r="M305" s="1347"/>
      <c r="N305" s="1347"/>
      <c r="O305" s="1347"/>
      <c r="P305" s="1347"/>
      <c r="Q305" s="1347"/>
      <c r="R305" s="1347"/>
      <c r="T305" s="3" t="s">
        <v>75</v>
      </c>
      <c r="V305" s="3"/>
      <c r="W305" s="3"/>
      <c r="X305" s="3"/>
      <c r="Y305" s="3"/>
      <c r="AA305" s="1347" t="s">
        <v>2675</v>
      </c>
      <c r="AB305" s="1347"/>
      <c r="AC305" s="1347"/>
      <c r="AD305" s="1347"/>
      <c r="AE305" s="1347"/>
      <c r="AF305" s="1347"/>
      <c r="AG305" s="1347"/>
      <c r="AH305" s="1347"/>
      <c r="AI305" s="1347"/>
      <c r="AJ305" s="1347"/>
      <c r="AK305" s="1347"/>
    </row>
    <row r="306" spans="2:37" ht="12.9" customHeight="1" x14ac:dyDescent="0.25">
      <c r="B306" s="3" t="s">
        <v>87</v>
      </c>
      <c r="C306" s="3"/>
      <c r="D306" s="3"/>
      <c r="E306" s="3"/>
      <c r="F306" s="3"/>
      <c r="H306" s="1347" t="s">
        <v>2670</v>
      </c>
      <c r="I306" s="1347"/>
      <c r="J306" s="1347"/>
      <c r="K306" s="1347"/>
      <c r="L306" s="1347"/>
      <c r="M306" s="1347"/>
      <c r="N306" s="1347"/>
      <c r="O306" s="1347"/>
      <c r="P306" s="1347"/>
      <c r="Q306" s="1347"/>
      <c r="R306" s="1347"/>
      <c r="T306" s="3" t="s">
        <v>87</v>
      </c>
      <c r="V306" s="3"/>
      <c r="W306" s="3"/>
      <c r="X306" s="3"/>
      <c r="Y306" s="3"/>
      <c r="AA306" s="1347" t="s">
        <v>2676</v>
      </c>
      <c r="AB306" s="1347"/>
      <c r="AC306" s="1347"/>
      <c r="AD306" s="1347"/>
      <c r="AE306" s="1347"/>
      <c r="AF306" s="1347"/>
      <c r="AG306" s="1347"/>
      <c r="AH306" s="1347"/>
      <c r="AI306" s="1347"/>
      <c r="AJ306" s="1347"/>
      <c r="AK306" s="1347"/>
    </row>
    <row r="307" spans="2:37" ht="12.9" customHeight="1" x14ac:dyDescent="0.25">
      <c r="B307" s="3" t="s">
        <v>88</v>
      </c>
      <c r="C307" s="3"/>
      <c r="D307" s="3"/>
      <c r="E307" s="3"/>
      <c r="F307" s="3"/>
      <c r="G307" s="3"/>
      <c r="H307" s="1423" t="s">
        <v>2671</v>
      </c>
      <c r="I307" s="1423"/>
      <c r="J307" s="1423"/>
      <c r="K307" s="1423"/>
      <c r="L307" s="1423"/>
      <c r="M307" s="1423"/>
      <c r="N307" s="4" t="s">
        <v>206</v>
      </c>
      <c r="O307" s="4"/>
      <c r="P307" s="1417"/>
      <c r="Q307" s="1417"/>
      <c r="R307" s="1417"/>
      <c r="S307" s="3"/>
      <c r="T307" s="3" t="s">
        <v>88</v>
      </c>
      <c r="V307" s="3"/>
      <c r="W307" s="3"/>
      <c r="X307" s="3"/>
      <c r="Y307" s="3"/>
      <c r="AA307" s="1423" t="s">
        <v>2677</v>
      </c>
      <c r="AB307" s="1423"/>
      <c r="AC307" s="1423"/>
      <c r="AD307" s="1423"/>
      <c r="AE307" s="1423"/>
      <c r="AF307" s="1423"/>
      <c r="AG307" s="4" t="s">
        <v>206</v>
      </c>
      <c r="AH307" s="4"/>
      <c r="AI307" s="1417"/>
      <c r="AJ307" s="1417"/>
      <c r="AK307" s="1417"/>
    </row>
    <row r="308" spans="2:37" ht="12.9" customHeight="1" x14ac:dyDescent="0.25">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 customHeight="1" x14ac:dyDescent="0.25">
      <c r="B309" s="3" t="s">
        <v>76</v>
      </c>
      <c r="C309" s="3"/>
      <c r="D309" s="3"/>
      <c r="E309" s="3"/>
      <c r="F309" s="3"/>
      <c r="G309" s="3"/>
      <c r="H309" s="1347" t="s">
        <v>2672</v>
      </c>
      <c r="I309" s="1347"/>
      <c r="J309" s="1347"/>
      <c r="K309" s="1347"/>
      <c r="L309" s="1347"/>
      <c r="M309" s="1347"/>
      <c r="N309" s="1371"/>
      <c r="O309" s="1371"/>
      <c r="P309" s="1371"/>
      <c r="Q309" s="1371"/>
      <c r="R309" s="1371"/>
      <c r="S309" s="3"/>
      <c r="T309" s="3" t="s">
        <v>76</v>
      </c>
      <c r="V309" s="3"/>
      <c r="W309" s="3"/>
      <c r="X309" s="3"/>
      <c r="Y309" s="3"/>
      <c r="AA309" s="1347" t="s">
        <v>2678</v>
      </c>
      <c r="AB309" s="1347"/>
      <c r="AC309" s="1347"/>
      <c r="AD309" s="1347"/>
      <c r="AE309" s="1347"/>
      <c r="AF309" s="1347"/>
      <c r="AG309" s="1371"/>
      <c r="AH309" s="1371"/>
      <c r="AI309" s="1371"/>
      <c r="AJ309" s="1371"/>
      <c r="AK309" s="1371"/>
    </row>
    <row r="310" spans="2:37" ht="12.9" customHeight="1" x14ac:dyDescent="0.25">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x14ac:dyDescent="0.25">
      <c r="B311" s="4" t="s">
        <v>908</v>
      </c>
      <c r="C311" s="3"/>
      <c r="D311" s="3"/>
      <c r="E311" s="3"/>
      <c r="F311" s="3"/>
      <c r="H311" s="1371" t="s">
        <v>2667</v>
      </c>
      <c r="I311" s="1371"/>
      <c r="J311" s="1371"/>
      <c r="K311" s="1371"/>
      <c r="L311" s="1371"/>
      <c r="M311" s="1371"/>
      <c r="N311" s="1371"/>
      <c r="O311" s="1371"/>
      <c r="P311" s="1371"/>
      <c r="Q311" s="1371"/>
      <c r="R311" s="1371"/>
      <c r="S311" s="3"/>
      <c r="T311" s="3" t="s">
        <v>365</v>
      </c>
      <c r="V311" s="3"/>
      <c r="W311" s="3"/>
      <c r="X311" s="3"/>
      <c r="Y311" s="3"/>
      <c r="AA311" s="1371" t="s">
        <v>2679</v>
      </c>
      <c r="AB311" s="1371"/>
      <c r="AC311" s="1371"/>
      <c r="AD311" s="1371"/>
      <c r="AE311" s="1371"/>
      <c r="AF311" s="1371"/>
      <c r="AG311" s="1371"/>
      <c r="AH311" s="1371"/>
      <c r="AI311" s="1371"/>
      <c r="AJ311" s="1371"/>
      <c r="AK311" s="1371"/>
    </row>
    <row r="312" spans="2:37" ht="12.9" customHeight="1" x14ac:dyDescent="0.25">
      <c r="B312" s="3" t="s">
        <v>472</v>
      </c>
      <c r="C312" s="3"/>
      <c r="D312" s="3"/>
      <c r="E312" s="3"/>
      <c r="F312" s="3"/>
      <c r="H312" s="1347" t="s">
        <v>2668</v>
      </c>
      <c r="I312" s="1347"/>
      <c r="J312" s="1347"/>
      <c r="K312" s="1347"/>
      <c r="L312" s="1347"/>
      <c r="M312" s="1347"/>
      <c r="N312" s="1347"/>
      <c r="O312" s="1347"/>
      <c r="P312" s="1347"/>
      <c r="Q312" s="1347"/>
      <c r="R312" s="1347"/>
      <c r="S312" s="3"/>
      <c r="T312" s="3" t="s">
        <v>472</v>
      </c>
      <c r="V312" s="3"/>
      <c r="W312" s="3"/>
      <c r="X312" s="3"/>
      <c r="Y312" s="3"/>
      <c r="AA312" s="1347" t="s">
        <v>2680</v>
      </c>
      <c r="AB312" s="1347"/>
      <c r="AC312" s="1347"/>
      <c r="AD312" s="1347"/>
      <c r="AE312" s="1347"/>
      <c r="AF312" s="1347"/>
      <c r="AG312" s="1347"/>
      <c r="AH312" s="1347"/>
      <c r="AI312" s="1347"/>
      <c r="AJ312" s="1347"/>
      <c r="AK312" s="1347"/>
    </row>
    <row r="313" spans="2:37" ht="12.9" customHeight="1" x14ac:dyDescent="0.25">
      <c r="B313" s="3" t="s">
        <v>473</v>
      </c>
      <c r="C313" s="3"/>
      <c r="D313" s="3"/>
      <c r="E313" s="3"/>
      <c r="F313" s="3"/>
      <c r="H313" s="1347" t="s">
        <v>2669</v>
      </c>
      <c r="I313" s="1347"/>
      <c r="J313" s="1347"/>
      <c r="K313" s="1347"/>
      <c r="L313" s="1347"/>
      <c r="M313" s="1347"/>
      <c r="N313" s="1347"/>
      <c r="O313" s="1347"/>
      <c r="P313" s="1347"/>
      <c r="Q313" s="1347"/>
      <c r="R313" s="1347"/>
      <c r="S313" s="3"/>
      <c r="T313" s="3" t="s">
        <v>75</v>
      </c>
      <c r="V313" s="3"/>
      <c r="W313" s="3"/>
      <c r="X313" s="3"/>
      <c r="Y313" s="3"/>
      <c r="AA313" s="1347" t="s">
        <v>2681</v>
      </c>
      <c r="AB313" s="1347"/>
      <c r="AC313" s="1347"/>
      <c r="AD313" s="1347"/>
      <c r="AE313" s="1347"/>
      <c r="AF313" s="1347"/>
      <c r="AG313" s="1347"/>
      <c r="AH313" s="1347"/>
      <c r="AI313" s="1347"/>
      <c r="AJ313" s="1347"/>
      <c r="AK313" s="1347"/>
    </row>
    <row r="314" spans="2:37" ht="12.9" customHeight="1" x14ac:dyDescent="0.25">
      <c r="B314" s="3" t="s">
        <v>87</v>
      </c>
      <c r="C314" s="3"/>
      <c r="D314" s="3"/>
      <c r="E314" s="3"/>
      <c r="F314" s="3"/>
      <c r="H314" s="1347" t="s">
        <v>2670</v>
      </c>
      <c r="I314" s="1347"/>
      <c r="J314" s="1347"/>
      <c r="K314" s="1347"/>
      <c r="L314" s="1347"/>
      <c r="M314" s="1347"/>
      <c r="N314" s="1347"/>
      <c r="O314" s="1347"/>
      <c r="P314" s="1347"/>
      <c r="Q314" s="1347"/>
      <c r="R314" s="1347"/>
      <c r="S314" s="3"/>
      <c r="T314" s="3" t="s">
        <v>87</v>
      </c>
      <c r="V314" s="3"/>
      <c r="W314" s="3"/>
      <c r="X314" s="3"/>
      <c r="Y314" s="3"/>
      <c r="AA314" s="1347" t="s">
        <v>2682</v>
      </c>
      <c r="AB314" s="1347"/>
      <c r="AC314" s="1347"/>
      <c r="AD314" s="1347"/>
      <c r="AE314" s="1347"/>
      <c r="AF314" s="1347"/>
      <c r="AG314" s="1347"/>
      <c r="AH314" s="1347"/>
      <c r="AI314" s="1347"/>
      <c r="AJ314" s="1347"/>
      <c r="AK314" s="1347"/>
    </row>
    <row r="315" spans="2:37" ht="12.9" customHeight="1" x14ac:dyDescent="0.25">
      <c r="B315" s="3" t="s">
        <v>88</v>
      </c>
      <c r="C315" s="3"/>
      <c r="D315" s="3"/>
      <c r="E315" s="3"/>
      <c r="F315" s="3"/>
      <c r="G315" s="3"/>
      <c r="H315" s="1423" t="s">
        <v>2671</v>
      </c>
      <c r="I315" s="1423"/>
      <c r="J315" s="1423"/>
      <c r="K315" s="1423"/>
      <c r="L315" s="1423"/>
      <c r="M315" s="1423"/>
      <c r="N315" s="4" t="s">
        <v>206</v>
      </c>
      <c r="O315" s="4"/>
      <c r="P315" s="1417"/>
      <c r="Q315" s="1417"/>
      <c r="R315" s="1417"/>
      <c r="S315" s="3"/>
      <c r="T315" s="3" t="s">
        <v>88</v>
      </c>
      <c r="V315" s="3"/>
      <c r="W315" s="3"/>
      <c r="X315" s="3"/>
      <c r="Y315" s="3"/>
      <c r="AA315" s="1423" t="s">
        <v>2683</v>
      </c>
      <c r="AB315" s="1423"/>
      <c r="AC315" s="1423"/>
      <c r="AD315" s="1423"/>
      <c r="AE315" s="1423"/>
      <c r="AF315" s="1423"/>
      <c r="AG315" s="4" t="s">
        <v>206</v>
      </c>
      <c r="AH315" s="4"/>
      <c r="AI315" s="1417"/>
      <c r="AJ315" s="1417"/>
      <c r="AK315" s="1417"/>
    </row>
    <row r="316" spans="2:37" ht="12.9" customHeight="1" x14ac:dyDescent="0.25">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 customHeight="1" x14ac:dyDescent="0.25">
      <c r="B317" s="3" t="s">
        <v>76</v>
      </c>
      <c r="C317" s="3"/>
      <c r="D317" s="3"/>
      <c r="E317" s="3"/>
      <c r="F317" s="3"/>
      <c r="G317" s="3"/>
      <c r="H317" s="1347" t="s">
        <v>2672</v>
      </c>
      <c r="I317" s="1347"/>
      <c r="J317" s="1347"/>
      <c r="K317" s="1347"/>
      <c r="L317" s="1347"/>
      <c r="M317" s="1347"/>
      <c r="N317" s="1371"/>
      <c r="O317" s="1371"/>
      <c r="P317" s="1371"/>
      <c r="Q317" s="1371"/>
      <c r="R317" s="1371"/>
      <c r="S317" s="3"/>
      <c r="T317" s="3" t="s">
        <v>76</v>
      </c>
      <c r="V317" s="3"/>
      <c r="W317" s="3"/>
      <c r="X317" s="3"/>
      <c r="Y317" s="3"/>
      <c r="AA317" s="1347"/>
      <c r="AB317" s="1347"/>
      <c r="AC317" s="1347"/>
      <c r="AD317" s="1347"/>
      <c r="AE317" s="1347"/>
      <c r="AF317" s="1347"/>
      <c r="AG317" s="1371"/>
      <c r="AH317" s="1371"/>
      <c r="AI317" s="1371"/>
      <c r="AJ317" s="1371"/>
      <c r="AK317" s="1371"/>
    </row>
    <row r="318" spans="2:37" ht="12.9" customHeight="1" x14ac:dyDescent="0.25"/>
    <row r="319" spans="2:37" ht="12.9" customHeight="1" x14ac:dyDescent="0.25">
      <c r="B319" s="4" t="s">
        <v>909</v>
      </c>
      <c r="C319" s="3"/>
      <c r="D319" s="3"/>
      <c r="E319" s="3"/>
      <c r="F319" s="3"/>
      <c r="H319" s="1371" t="s">
        <v>2684</v>
      </c>
      <c r="I319" s="1371"/>
      <c r="J319" s="1371"/>
      <c r="K319" s="1371"/>
      <c r="L319" s="1371"/>
      <c r="M319" s="1371"/>
      <c r="N319" s="1371"/>
      <c r="O319" s="1371"/>
      <c r="P319" s="1371"/>
      <c r="Q319" s="1371"/>
      <c r="R319" s="1371"/>
      <c r="T319" s="3" t="s">
        <v>366</v>
      </c>
      <c r="V319" s="3"/>
      <c r="W319" s="3"/>
      <c r="X319" s="3"/>
      <c r="Y319" s="3"/>
      <c r="AA319" s="1371" t="s">
        <v>2687</v>
      </c>
      <c r="AB319" s="1371"/>
      <c r="AC319" s="1371"/>
      <c r="AD319" s="1371"/>
      <c r="AE319" s="1371"/>
      <c r="AF319" s="1371"/>
      <c r="AG319" s="1371"/>
      <c r="AH319" s="1371"/>
      <c r="AI319" s="1371"/>
      <c r="AJ319" s="1371"/>
      <c r="AK319" s="1371"/>
    </row>
    <row r="320" spans="2:37" ht="12.9" customHeight="1" x14ac:dyDescent="0.25">
      <c r="B320" s="3" t="s">
        <v>472</v>
      </c>
      <c r="C320" s="3"/>
      <c r="D320" s="3"/>
      <c r="E320" s="3"/>
      <c r="F320" s="3"/>
      <c r="H320" s="1347" t="s">
        <v>2685</v>
      </c>
      <c r="I320" s="1347"/>
      <c r="J320" s="1347"/>
      <c r="K320" s="1347"/>
      <c r="L320" s="1347"/>
      <c r="M320" s="1347"/>
      <c r="N320" s="1347"/>
      <c r="O320" s="1347"/>
      <c r="P320" s="1347"/>
      <c r="Q320" s="1347"/>
      <c r="R320" s="1347"/>
      <c r="T320" s="3" t="s">
        <v>472</v>
      </c>
      <c r="V320" s="3"/>
      <c r="W320" s="3"/>
      <c r="X320" s="3"/>
      <c r="Y320" s="3"/>
      <c r="AA320" s="1347" t="s">
        <v>2688</v>
      </c>
      <c r="AB320" s="1347"/>
      <c r="AC320" s="1347"/>
      <c r="AD320" s="1347"/>
      <c r="AE320" s="1347"/>
      <c r="AF320" s="1347"/>
      <c r="AG320" s="1347"/>
      <c r="AH320" s="1347"/>
      <c r="AI320" s="1347"/>
      <c r="AJ320" s="1347"/>
      <c r="AK320" s="1347"/>
    </row>
    <row r="321" spans="2:37" ht="12.9" customHeight="1" x14ac:dyDescent="0.25">
      <c r="B321" s="3" t="s">
        <v>473</v>
      </c>
      <c r="C321" s="3"/>
      <c r="D321" s="3"/>
      <c r="E321" s="3"/>
      <c r="F321" s="3"/>
      <c r="H321" s="1347" t="s">
        <v>2686</v>
      </c>
      <c r="I321" s="1347"/>
      <c r="J321" s="1347"/>
      <c r="K321" s="1347"/>
      <c r="L321" s="1347"/>
      <c r="M321" s="1347"/>
      <c r="N321" s="1347"/>
      <c r="O321" s="1347"/>
      <c r="P321" s="1347"/>
      <c r="Q321" s="1347"/>
      <c r="R321" s="1347"/>
      <c r="T321" s="3" t="s">
        <v>75</v>
      </c>
      <c r="V321" s="3"/>
      <c r="W321" s="3"/>
      <c r="X321" s="3"/>
      <c r="Y321" s="3"/>
      <c r="AA321" s="1347" t="s">
        <v>2689</v>
      </c>
      <c r="AB321" s="1347"/>
      <c r="AC321" s="1347"/>
      <c r="AD321" s="1347"/>
      <c r="AE321" s="1347"/>
      <c r="AF321" s="1347"/>
      <c r="AG321" s="1347"/>
      <c r="AH321" s="1347"/>
      <c r="AI321" s="1347"/>
      <c r="AJ321" s="1347"/>
      <c r="AK321" s="1347"/>
    </row>
    <row r="322" spans="2:37" ht="12.9" customHeight="1" x14ac:dyDescent="0.25">
      <c r="B322" s="3" t="s">
        <v>87</v>
      </c>
      <c r="C322" s="3"/>
      <c r="D322" s="3"/>
      <c r="E322" s="3"/>
      <c r="F322" s="3"/>
      <c r="H322" s="1347" t="s">
        <v>2643</v>
      </c>
      <c r="I322" s="1347"/>
      <c r="J322" s="1347"/>
      <c r="K322" s="1347"/>
      <c r="L322" s="1347"/>
      <c r="M322" s="1347"/>
      <c r="N322" s="1347"/>
      <c r="O322" s="1347"/>
      <c r="P322" s="1347"/>
      <c r="Q322" s="1347"/>
      <c r="R322" s="1347"/>
      <c r="T322" s="3" t="s">
        <v>87</v>
      </c>
      <c r="V322" s="3"/>
      <c r="W322" s="3"/>
      <c r="X322" s="3"/>
      <c r="Y322" s="3"/>
      <c r="AA322" s="1347" t="s">
        <v>2690</v>
      </c>
      <c r="AB322" s="1347"/>
      <c r="AC322" s="1347"/>
      <c r="AD322" s="1347"/>
      <c r="AE322" s="1347"/>
      <c r="AF322" s="1347"/>
      <c r="AG322" s="1347"/>
      <c r="AH322" s="1347"/>
      <c r="AI322" s="1347"/>
      <c r="AJ322" s="1347"/>
      <c r="AK322" s="1347"/>
    </row>
    <row r="323" spans="2:37" ht="12.9" customHeight="1" x14ac:dyDescent="0.25">
      <c r="B323" s="3" t="s">
        <v>88</v>
      </c>
      <c r="C323" s="3"/>
      <c r="D323" s="3"/>
      <c r="E323" s="3"/>
      <c r="F323" s="3"/>
      <c r="G323" s="3"/>
      <c r="H323" s="1423" t="s">
        <v>2644</v>
      </c>
      <c r="I323" s="1423"/>
      <c r="J323" s="1423"/>
      <c r="K323" s="1423"/>
      <c r="L323" s="1423"/>
      <c r="M323" s="1423"/>
      <c r="N323" s="4" t="s">
        <v>206</v>
      </c>
      <c r="O323" s="4"/>
      <c r="P323" s="1417"/>
      <c r="Q323" s="1417"/>
      <c r="R323" s="1417"/>
      <c r="S323" s="3"/>
      <c r="T323" s="3" t="s">
        <v>88</v>
      </c>
      <c r="V323" s="3"/>
      <c r="W323" s="3"/>
      <c r="X323" s="3"/>
      <c r="Y323" s="3"/>
      <c r="AA323" s="1768" t="s">
        <v>2683</v>
      </c>
      <c r="AB323" s="1423"/>
      <c r="AC323" s="1423"/>
      <c r="AD323" s="1423"/>
      <c r="AE323" s="1423"/>
      <c r="AF323" s="1423"/>
      <c r="AG323" s="4" t="s">
        <v>206</v>
      </c>
      <c r="AH323" s="4"/>
      <c r="AI323" s="1417"/>
      <c r="AJ323" s="1417"/>
      <c r="AK323" s="1417"/>
    </row>
    <row r="324" spans="2:37" ht="12.9" customHeight="1" x14ac:dyDescent="0.25">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 customHeight="1" x14ac:dyDescent="0.25">
      <c r="B325" s="3" t="s">
        <v>76</v>
      </c>
      <c r="C325" s="3"/>
      <c r="D325" s="3"/>
      <c r="E325" s="3"/>
      <c r="F325" s="3"/>
      <c r="G325" s="3"/>
      <c r="H325" s="1347" t="s">
        <v>2645</v>
      </c>
      <c r="I325" s="1347"/>
      <c r="J325" s="1347"/>
      <c r="K325" s="1347"/>
      <c r="L325" s="1347"/>
      <c r="M325" s="1347"/>
      <c r="N325" s="1371"/>
      <c r="O325" s="1371"/>
      <c r="P325" s="1371"/>
      <c r="Q325" s="1371"/>
      <c r="R325" s="1371"/>
      <c r="S325" s="3"/>
      <c r="T325" s="3" t="s">
        <v>76</v>
      </c>
      <c r="V325" s="3"/>
      <c r="W325" s="3"/>
      <c r="X325" s="3"/>
      <c r="Y325" s="3"/>
      <c r="AA325" s="1347" t="s">
        <v>2691</v>
      </c>
      <c r="AB325" s="1347"/>
      <c r="AC325" s="1347"/>
      <c r="AD325" s="1347"/>
      <c r="AE325" s="1347"/>
      <c r="AF325" s="1347"/>
      <c r="AG325" s="1371"/>
      <c r="AH325" s="1371"/>
      <c r="AI325" s="1371"/>
      <c r="AJ325" s="1371"/>
      <c r="AK325" s="1371"/>
    </row>
    <row r="326" spans="2:37" ht="12.9" customHeight="1" x14ac:dyDescent="0.25">
      <c r="B326" s="3"/>
      <c r="C326" s="3"/>
      <c r="D326" s="3"/>
      <c r="E326" s="3"/>
      <c r="F326" s="3"/>
      <c r="G326" s="3"/>
      <c r="P326" s="163"/>
      <c r="Q326" s="163"/>
      <c r="R326" s="163"/>
      <c r="S326" s="163"/>
      <c r="T326" s="163"/>
      <c r="U326" s="163"/>
      <c r="V326" s="4"/>
      <c r="W326" s="4"/>
      <c r="X326" s="35"/>
      <c r="Y326" s="35"/>
      <c r="Z326" s="35"/>
    </row>
    <row r="327" spans="2:37" ht="12.9" customHeight="1" x14ac:dyDescent="0.25">
      <c r="B327" s="3" t="s">
        <v>367</v>
      </c>
      <c r="C327" s="3"/>
      <c r="D327" s="3"/>
      <c r="E327" s="3"/>
      <c r="F327" s="3"/>
      <c r="H327" s="1371" t="s">
        <v>2687</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 customHeight="1" x14ac:dyDescent="0.25">
      <c r="B328" s="3" t="s">
        <v>472</v>
      </c>
      <c r="C328" s="3"/>
      <c r="D328" s="3"/>
      <c r="E328" s="3"/>
      <c r="F328" s="3"/>
      <c r="H328" s="1347" t="s">
        <v>2688</v>
      </c>
      <c r="I328" s="1347"/>
      <c r="J328" s="1347"/>
      <c r="K328" s="1347"/>
      <c r="L328" s="1347"/>
      <c r="M328" s="1347"/>
      <c r="N328" s="1347"/>
      <c r="O328" s="1347"/>
      <c r="P328" s="1347"/>
      <c r="Q328" s="1347"/>
      <c r="R328" s="1347"/>
      <c r="T328" s="3" t="s">
        <v>472</v>
      </c>
      <c r="V328" s="3"/>
      <c r="W328" s="3"/>
      <c r="X328" s="3"/>
      <c r="Y328" s="3"/>
      <c r="AA328" s="1347" t="s">
        <v>250</v>
      </c>
      <c r="AB328" s="1347"/>
      <c r="AC328" s="1347"/>
      <c r="AD328" s="1347"/>
      <c r="AE328" s="1347"/>
      <c r="AF328" s="1347"/>
      <c r="AG328" s="1347"/>
      <c r="AH328" s="1347"/>
      <c r="AI328" s="1347"/>
      <c r="AJ328" s="1347"/>
      <c r="AK328" s="1347"/>
    </row>
    <row r="329" spans="2:37" ht="12.9" customHeight="1" x14ac:dyDescent="0.25">
      <c r="B329" s="3" t="s">
        <v>473</v>
      </c>
      <c r="C329" s="3"/>
      <c r="D329" s="3"/>
      <c r="E329" s="3"/>
      <c r="F329" s="3"/>
      <c r="H329" s="1347" t="s">
        <v>2681</v>
      </c>
      <c r="I329" s="1347"/>
      <c r="J329" s="1347"/>
      <c r="K329" s="1347"/>
      <c r="L329" s="1347"/>
      <c r="M329" s="1347"/>
      <c r="N329" s="1347"/>
      <c r="O329" s="1347"/>
      <c r="P329" s="1347"/>
      <c r="Q329" s="1347"/>
      <c r="R329" s="1347"/>
      <c r="T329" s="3" t="s">
        <v>75</v>
      </c>
      <c r="V329" s="3"/>
      <c r="W329" s="3"/>
      <c r="X329" s="3"/>
      <c r="Y329" s="3"/>
      <c r="AA329" s="1347" t="s">
        <v>250</v>
      </c>
      <c r="AB329" s="1347"/>
      <c r="AC329" s="1347"/>
      <c r="AD329" s="1347"/>
      <c r="AE329" s="1347"/>
      <c r="AF329" s="1347"/>
      <c r="AG329" s="1347"/>
      <c r="AH329" s="1347"/>
      <c r="AI329" s="1347"/>
      <c r="AJ329" s="1347"/>
      <c r="AK329" s="1347"/>
    </row>
    <row r="330" spans="2:37" ht="12.9" customHeight="1" x14ac:dyDescent="0.25">
      <c r="B330" s="3" t="s">
        <v>87</v>
      </c>
      <c r="C330" s="3"/>
      <c r="D330" s="3"/>
      <c r="E330" s="3"/>
      <c r="F330" s="3"/>
      <c r="H330" s="1347" t="s">
        <v>2690</v>
      </c>
      <c r="I330" s="1347"/>
      <c r="J330" s="1347"/>
      <c r="K330" s="1347"/>
      <c r="L330" s="1347"/>
      <c r="M330" s="1347"/>
      <c r="N330" s="1347"/>
      <c r="O330" s="1347"/>
      <c r="P330" s="1347"/>
      <c r="Q330" s="1347"/>
      <c r="R330" s="1347"/>
      <c r="T330" s="3" t="s">
        <v>87</v>
      </c>
      <c r="V330" s="3"/>
      <c r="W330" s="3"/>
      <c r="X330" s="3"/>
      <c r="Y330" s="3"/>
      <c r="AA330" s="1347" t="s">
        <v>250</v>
      </c>
      <c r="AB330" s="1347"/>
      <c r="AC330" s="1347"/>
      <c r="AD330" s="1347"/>
      <c r="AE330" s="1347"/>
      <c r="AF330" s="1347"/>
      <c r="AG330" s="1347"/>
      <c r="AH330" s="1347"/>
      <c r="AI330" s="1347"/>
      <c r="AJ330" s="1347"/>
      <c r="AK330" s="1347"/>
    </row>
    <row r="331" spans="2:37" ht="12.9" customHeight="1" x14ac:dyDescent="0.25">
      <c r="B331" s="3" t="s">
        <v>88</v>
      </c>
      <c r="C331" s="3"/>
      <c r="D331" s="3"/>
      <c r="E331" s="3"/>
      <c r="F331" s="3"/>
      <c r="G331" s="3"/>
      <c r="H331" s="1423" t="s">
        <v>2683</v>
      </c>
      <c r="I331" s="1423"/>
      <c r="J331" s="1423"/>
      <c r="K331" s="1423"/>
      <c r="L331" s="1423"/>
      <c r="M331" s="1423"/>
      <c r="N331" s="4" t="s">
        <v>206</v>
      </c>
      <c r="O331" s="4"/>
      <c r="P331" s="1417"/>
      <c r="Q331" s="1417"/>
      <c r="R331" s="1417"/>
      <c r="S331" s="3"/>
      <c r="T331" s="3" t="s">
        <v>88</v>
      </c>
      <c r="V331" s="3"/>
      <c r="W331" s="3"/>
      <c r="X331" s="3"/>
      <c r="Y331" s="3"/>
      <c r="AA331" s="1768" t="s">
        <v>250</v>
      </c>
      <c r="AB331" s="1423"/>
      <c r="AC331" s="1423"/>
      <c r="AD331" s="1423"/>
      <c r="AE331" s="1423"/>
      <c r="AF331" s="1423"/>
      <c r="AG331" s="4" t="s">
        <v>206</v>
      </c>
      <c r="AH331" s="4"/>
      <c r="AI331" s="1417"/>
      <c r="AJ331" s="1417"/>
      <c r="AK331" s="1417"/>
    </row>
    <row r="332" spans="2:37" ht="12.9" customHeight="1" x14ac:dyDescent="0.25">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 customHeight="1" x14ac:dyDescent="0.25">
      <c r="B333" s="3" t="s">
        <v>76</v>
      </c>
      <c r="C333" s="3"/>
      <c r="D333" s="3"/>
      <c r="E333" s="3"/>
      <c r="F333" s="3"/>
      <c r="G333" s="3"/>
      <c r="H333" s="1347" t="s">
        <v>2691</v>
      </c>
      <c r="I333" s="1347"/>
      <c r="J333" s="1347"/>
      <c r="K333" s="1347"/>
      <c r="L333" s="1347"/>
      <c r="M333" s="1347"/>
      <c r="N333" s="1371"/>
      <c r="O333" s="1371"/>
      <c r="P333" s="1371"/>
      <c r="Q333" s="1371"/>
      <c r="R333" s="1371"/>
      <c r="S333" s="3"/>
      <c r="T333" s="3" t="s">
        <v>76</v>
      </c>
      <c r="V333" s="3"/>
      <c r="W333" s="3"/>
      <c r="X333" s="3"/>
      <c r="Y333" s="3"/>
      <c r="AA333" s="1347" t="s">
        <v>250</v>
      </c>
      <c r="AB333" s="1347"/>
      <c r="AC333" s="1347"/>
      <c r="AD333" s="1347"/>
      <c r="AE333" s="1347"/>
      <c r="AF333" s="1347"/>
      <c r="AG333" s="1371"/>
      <c r="AH333" s="1371"/>
      <c r="AI333" s="1371"/>
      <c r="AJ333" s="1371"/>
      <c r="AK333" s="1371"/>
    </row>
    <row r="334" spans="2:37" ht="12.9" customHeight="1" x14ac:dyDescent="0.25">
      <c r="B334" s="3"/>
      <c r="C334" s="3"/>
      <c r="D334" s="3"/>
      <c r="E334" s="3"/>
      <c r="F334" s="3"/>
      <c r="G334" s="3"/>
      <c r="P334" s="163"/>
      <c r="Q334" s="163"/>
      <c r="R334" s="163"/>
      <c r="S334" s="163"/>
      <c r="T334" s="163"/>
      <c r="U334" s="163"/>
      <c r="V334" s="4"/>
      <c r="W334" s="4"/>
      <c r="X334" s="35"/>
      <c r="Y334" s="35"/>
      <c r="Z334" s="35"/>
    </row>
    <row r="335" spans="2:37" ht="12.9" customHeight="1" x14ac:dyDescent="0.25">
      <c r="B335" s="3" t="s">
        <v>329</v>
      </c>
      <c r="C335" s="3"/>
      <c r="D335" s="3"/>
      <c r="E335" s="3"/>
      <c r="F335" s="3"/>
      <c r="H335" s="1371" t="s">
        <v>2692</v>
      </c>
      <c r="I335" s="1371"/>
      <c r="J335" s="1371"/>
      <c r="K335" s="1371"/>
      <c r="L335" s="1371"/>
      <c r="M335" s="1371"/>
      <c r="N335" s="1371"/>
      <c r="O335" s="1371"/>
      <c r="P335" s="1371"/>
      <c r="Q335" s="1371"/>
      <c r="R335" s="1371"/>
      <c r="T335" s="205" t="s">
        <v>887</v>
      </c>
      <c r="V335" s="3"/>
      <c r="W335" s="3"/>
      <c r="X335" s="3"/>
      <c r="Y335" s="3"/>
      <c r="AA335" s="1371" t="s">
        <v>2698</v>
      </c>
      <c r="AB335" s="1371"/>
      <c r="AC335" s="1371"/>
      <c r="AD335" s="1371"/>
      <c r="AE335" s="1371"/>
      <c r="AF335" s="1371"/>
      <c r="AG335" s="1371"/>
      <c r="AH335" s="1371"/>
      <c r="AI335" s="1371"/>
      <c r="AJ335" s="1371"/>
      <c r="AK335" s="1371"/>
    </row>
    <row r="336" spans="2:37" ht="12.9" customHeight="1" x14ac:dyDescent="0.25">
      <c r="B336" s="3" t="s">
        <v>472</v>
      </c>
      <c r="C336" s="3"/>
      <c r="D336" s="3"/>
      <c r="E336" s="3"/>
      <c r="F336" s="3"/>
      <c r="H336" s="1347" t="s">
        <v>2693</v>
      </c>
      <c r="I336" s="1347"/>
      <c r="J336" s="1347"/>
      <c r="K336" s="1347"/>
      <c r="L336" s="1347"/>
      <c r="M336" s="1347"/>
      <c r="N336" s="1347"/>
      <c r="O336" s="1347"/>
      <c r="P336" s="1347"/>
      <c r="Q336" s="1347"/>
      <c r="R336" s="1347"/>
      <c r="T336" s="3" t="s">
        <v>472</v>
      </c>
      <c r="V336" s="3"/>
      <c r="W336" s="3"/>
      <c r="X336" s="3"/>
      <c r="Y336" s="3"/>
      <c r="AA336" s="1347" t="s">
        <v>2648</v>
      </c>
      <c r="AB336" s="1347"/>
      <c r="AC336" s="1347"/>
      <c r="AD336" s="1347"/>
      <c r="AE336" s="1347"/>
      <c r="AF336" s="1347"/>
      <c r="AG336" s="1347"/>
      <c r="AH336" s="1347"/>
      <c r="AI336" s="1347"/>
      <c r="AJ336" s="1347"/>
      <c r="AK336" s="1347"/>
    </row>
    <row r="337" spans="1:66" ht="12.9" customHeight="1" x14ac:dyDescent="0.25">
      <c r="B337" s="3" t="s">
        <v>75</v>
      </c>
      <c r="C337" s="3"/>
      <c r="D337" s="3"/>
      <c r="E337" s="3"/>
      <c r="F337" s="3"/>
      <c r="H337" s="1347" t="s">
        <v>2694</v>
      </c>
      <c r="I337" s="1347"/>
      <c r="J337" s="1347"/>
      <c r="K337" s="1347"/>
      <c r="L337" s="1347"/>
      <c r="M337" s="1347"/>
      <c r="N337" s="1347"/>
      <c r="O337" s="1347"/>
      <c r="P337" s="1347"/>
      <c r="Q337" s="1347"/>
      <c r="R337" s="1347"/>
      <c r="T337" s="3" t="s">
        <v>75</v>
      </c>
      <c r="V337" s="3"/>
      <c r="W337" s="3"/>
      <c r="X337" s="3"/>
      <c r="Y337" s="3"/>
      <c r="AA337" s="1347" t="s">
        <v>2699</v>
      </c>
      <c r="AB337" s="1347"/>
      <c r="AC337" s="1347"/>
      <c r="AD337" s="1347"/>
      <c r="AE337" s="1347"/>
      <c r="AF337" s="1347"/>
      <c r="AG337" s="1347"/>
      <c r="AH337" s="1347"/>
      <c r="AI337" s="1347"/>
      <c r="AJ337" s="1347"/>
      <c r="AK337" s="1347"/>
    </row>
    <row r="338" spans="1:66" ht="12.9" customHeight="1" x14ac:dyDescent="0.25">
      <c r="B338" s="3" t="s">
        <v>87</v>
      </c>
      <c r="C338" s="3"/>
      <c r="D338" s="3"/>
      <c r="E338" s="3"/>
      <c r="F338" s="3"/>
      <c r="G338" s="3"/>
      <c r="H338" s="1347" t="s">
        <v>2695</v>
      </c>
      <c r="I338" s="1347"/>
      <c r="J338" s="1347"/>
      <c r="K338" s="1347"/>
      <c r="L338" s="1347"/>
      <c r="M338" s="1347"/>
      <c r="N338" s="1347"/>
      <c r="O338" s="1347"/>
      <c r="P338" s="1347"/>
      <c r="Q338" s="1347"/>
      <c r="R338" s="1347"/>
      <c r="T338" s="3" t="s">
        <v>87</v>
      </c>
      <c r="V338" s="3"/>
      <c r="W338" s="3"/>
      <c r="X338" s="3"/>
      <c r="Y338" s="3"/>
      <c r="AA338" s="1347" t="s">
        <v>2700</v>
      </c>
      <c r="AB338" s="1347"/>
      <c r="AC338" s="1347"/>
      <c r="AD338" s="1347"/>
      <c r="AE338" s="1347"/>
      <c r="AF338" s="1347"/>
      <c r="AG338" s="1347"/>
      <c r="AH338" s="1347"/>
      <c r="AI338" s="1347"/>
      <c r="AJ338" s="1347"/>
      <c r="AK338" s="1347"/>
    </row>
    <row r="339" spans="1:66" ht="12.9" customHeight="1" x14ac:dyDescent="0.25">
      <c r="B339" s="3" t="s">
        <v>88</v>
      </c>
      <c r="C339" s="3"/>
      <c r="D339" s="3"/>
      <c r="E339" s="3"/>
      <c r="F339" s="3"/>
      <c r="G339" s="3"/>
      <c r="H339" s="1768" t="s">
        <v>2696</v>
      </c>
      <c r="I339" s="1423"/>
      <c r="J339" s="1423"/>
      <c r="K339" s="1423"/>
      <c r="L339" s="1423"/>
      <c r="M339" s="1423"/>
      <c r="N339" s="4" t="s">
        <v>206</v>
      </c>
      <c r="O339" s="4"/>
      <c r="P339" s="1417"/>
      <c r="Q339" s="1417"/>
      <c r="R339" s="1417"/>
      <c r="S339" s="3"/>
      <c r="T339" s="3" t="s">
        <v>88</v>
      </c>
      <c r="V339" s="3"/>
      <c r="W339" s="3"/>
      <c r="X339" s="3"/>
      <c r="Y339" s="3"/>
      <c r="AA339" s="1423" t="s">
        <v>2701</v>
      </c>
      <c r="AB339" s="1423"/>
      <c r="AC339" s="1423"/>
      <c r="AD339" s="1423"/>
      <c r="AE339" s="1423"/>
      <c r="AF339" s="1423"/>
      <c r="AG339" s="4" t="s">
        <v>206</v>
      </c>
      <c r="AH339" s="4"/>
      <c r="AI339" s="1417"/>
      <c r="AJ339" s="1417"/>
      <c r="AK339" s="1417"/>
    </row>
    <row r="340" spans="1:66" ht="12.9" customHeight="1" x14ac:dyDescent="0.25">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 customHeight="1" x14ac:dyDescent="0.25">
      <c r="B341" s="3" t="s">
        <v>76</v>
      </c>
      <c r="C341" s="3"/>
      <c r="D341" s="3"/>
      <c r="E341" s="3"/>
      <c r="F341" s="3"/>
      <c r="G341" s="3"/>
      <c r="H341" s="1347" t="s">
        <v>2697</v>
      </c>
      <c r="I341" s="1347"/>
      <c r="J341" s="1347"/>
      <c r="K341" s="1347"/>
      <c r="L341" s="1347"/>
      <c r="M341" s="1347"/>
      <c r="N341" s="1371"/>
      <c r="O341" s="1371"/>
      <c r="P341" s="1371"/>
      <c r="Q341" s="1371"/>
      <c r="R341" s="1371"/>
      <c r="S341" s="3"/>
      <c r="T341" s="3" t="s">
        <v>76</v>
      </c>
      <c r="V341" s="3"/>
      <c r="W341" s="3"/>
      <c r="X341" s="3"/>
      <c r="Y341" s="3"/>
      <c r="AA341" s="1347" t="s">
        <v>2702</v>
      </c>
      <c r="AB341" s="1347"/>
      <c r="AC341" s="1347"/>
      <c r="AD341" s="1347"/>
      <c r="AE341" s="1347"/>
      <c r="AF341" s="1347"/>
      <c r="AG341" s="1371"/>
      <c r="AH341" s="1371"/>
      <c r="AI341" s="1371"/>
      <c r="AJ341" s="1371"/>
      <c r="AK341" s="1371"/>
    </row>
    <row r="342" spans="1:66" ht="12.9" customHeight="1" x14ac:dyDescent="0.25">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x14ac:dyDescent="0.25">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 customHeight="1" x14ac:dyDescent="0.25">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 customHeight="1" x14ac:dyDescent="0.25">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 customHeight="1" x14ac:dyDescent="0.25">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 customHeight="1" x14ac:dyDescent="0.25">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2.9" customHeight="1" x14ac:dyDescent="0.25">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 customHeight="1" x14ac:dyDescent="0.25">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 customHeight="1" x14ac:dyDescent="0.25">
      <c r="T350" s="8"/>
      <c r="U350" s="8"/>
      <c r="V350" s="8"/>
      <c r="W350" s="8"/>
      <c r="X350" s="8"/>
      <c r="Y350" s="8"/>
      <c r="Z350" s="8"/>
      <c r="AU350" s="95"/>
      <c r="AV350" s="95"/>
      <c r="AW350" s="95"/>
      <c r="AX350" s="95"/>
      <c r="AY350" s="95"/>
    </row>
    <row r="351" spans="1:66" ht="12.9" customHeight="1" x14ac:dyDescent="0.25">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 customHeight="1" x14ac:dyDescent="0.25">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 customHeight="1" x14ac:dyDescent="0.25">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x14ac:dyDescent="0.3">
      <c r="A354" s="2" t="s">
        <v>319</v>
      </c>
      <c r="B354" s="2"/>
      <c r="C354" s="2" t="s">
        <v>783</v>
      </c>
    </row>
    <row r="355" spans="1:46" ht="12.9" customHeight="1" x14ac:dyDescent="0.25">
      <c r="D355" s="3" t="s">
        <v>2101</v>
      </c>
      <c r="M355" s="1331" t="s">
        <v>546</v>
      </c>
      <c r="N355" s="1331"/>
      <c r="P355" t="s">
        <v>1651</v>
      </c>
      <c r="AJ355" s="1331" t="s">
        <v>546</v>
      </c>
      <c r="AK355" s="1331"/>
    </row>
    <row r="356" spans="1:46" ht="12.9" customHeight="1" x14ac:dyDescent="0.25">
      <c r="D356" s="3" t="s">
        <v>1640</v>
      </c>
      <c r="M356" s="1331" t="s">
        <v>592</v>
      </c>
      <c r="N356" s="1331"/>
      <c r="P356" s="3" t="s">
        <v>1720</v>
      </c>
      <c r="AJ356" s="1446">
        <v>0</v>
      </c>
      <c r="AK356" s="1446"/>
    </row>
    <row r="357" spans="1:46" ht="12.9" customHeight="1" x14ac:dyDescent="0.25">
      <c r="D357" s="3" t="s">
        <v>705</v>
      </c>
      <c r="M357" s="1331" t="s">
        <v>592</v>
      </c>
      <c r="N357" s="1331"/>
      <c r="P357" t="s">
        <v>1650</v>
      </c>
      <c r="AJ357" s="1331" t="s">
        <v>670</v>
      </c>
      <c r="AK357" s="1331"/>
    </row>
    <row r="358" spans="1:46" ht="12.9" customHeight="1" x14ac:dyDescent="0.25">
      <c r="D358" s="3" t="s">
        <v>706</v>
      </c>
      <c r="M358" s="1331" t="s">
        <v>592</v>
      </c>
      <c r="N358" s="1331"/>
      <c r="Q358" s="4"/>
    </row>
    <row r="359" spans="1:46" ht="12.9" customHeight="1" x14ac:dyDescent="0.25">
      <c r="Q359" s="4"/>
    </row>
    <row r="360" spans="1:46" ht="12.9" customHeight="1" x14ac:dyDescent="0.25">
      <c r="Q360" s="4"/>
    </row>
    <row r="361" spans="1:46" ht="12.9" customHeight="1" x14ac:dyDescent="0.3">
      <c r="A361" s="2" t="s">
        <v>577</v>
      </c>
      <c r="B361" s="2"/>
      <c r="C361" s="2" t="s">
        <v>553</v>
      </c>
      <c r="D361" s="2"/>
    </row>
    <row r="362" spans="1:46" ht="12.9" customHeight="1" x14ac:dyDescent="0.25">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x14ac:dyDescent="0.25">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2.9" customHeight="1" x14ac:dyDescent="0.25">
      <c r="E364" t="s">
        <v>370</v>
      </c>
      <c r="Y364" s="1331" t="s">
        <v>592</v>
      </c>
      <c r="Z364" s="1331"/>
    </row>
    <row r="365" spans="1:46" ht="12.9" customHeight="1" x14ac:dyDescent="0.25">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 customHeight="1" x14ac:dyDescent="0.25">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x14ac:dyDescent="0.25">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2.9" customHeight="1" x14ac:dyDescent="0.25">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 customHeight="1" x14ac:dyDescent="0.25">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 customHeight="1" x14ac:dyDescent="0.25">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2.9" customHeight="1" x14ac:dyDescent="0.25">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 customHeight="1" x14ac:dyDescent="0.25">
      <c r="E372" s="4" t="s">
        <v>1</v>
      </c>
      <c r="F372" s="4"/>
      <c r="G372" s="4"/>
      <c r="H372" s="4"/>
      <c r="I372" s="4"/>
      <c r="J372" s="4"/>
      <c r="K372" s="4"/>
      <c r="L372" s="4"/>
      <c r="N372" s="1662"/>
      <c r="O372" s="1662"/>
      <c r="P372" s="1662"/>
      <c r="Q372" s="1662"/>
      <c r="R372" s="4"/>
      <c r="V372" s="4"/>
      <c r="W372" s="4"/>
      <c r="X372" s="4"/>
      <c r="Y372" s="4"/>
      <c r="Z372" s="4"/>
      <c r="AA372" s="4"/>
      <c r="AB372" s="4"/>
    </row>
    <row r="373" spans="1:34" ht="12.9" customHeight="1" x14ac:dyDescent="0.25">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 customHeight="1" x14ac:dyDescent="0.25">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 customHeight="1" x14ac:dyDescent="0.3">
      <c r="C375" s="513"/>
      <c r="E375" s="4"/>
      <c r="F375" s="4"/>
      <c r="G375" s="4"/>
      <c r="H375" s="4"/>
      <c r="I375" s="4"/>
      <c r="J375" s="4"/>
      <c r="K375" s="4"/>
      <c r="L375" s="4"/>
    </row>
    <row r="376" spans="1:34" ht="12.9" customHeight="1" x14ac:dyDescent="0.3">
      <c r="D376" s="2" t="s">
        <v>976</v>
      </c>
      <c r="E376" s="2"/>
      <c r="F376" s="4"/>
      <c r="G376" s="4"/>
      <c r="H376" s="4"/>
      <c r="I376" s="4"/>
      <c r="J376" s="4"/>
      <c r="K376" s="4"/>
      <c r="L376" s="4"/>
    </row>
    <row r="377" spans="1:34" ht="12.9" customHeight="1" x14ac:dyDescent="0.25">
      <c r="E377" s="4" t="s">
        <v>2087</v>
      </c>
      <c r="F377" s="4"/>
      <c r="G377" s="4"/>
      <c r="H377" s="4"/>
      <c r="I377" s="4"/>
      <c r="J377" s="4"/>
      <c r="K377" s="4"/>
      <c r="L377" s="4"/>
      <c r="N377" t="s">
        <v>2082</v>
      </c>
      <c r="R377" s="27" t="s">
        <v>305</v>
      </c>
      <c r="S377" s="1814"/>
      <c r="T377" s="1814"/>
      <c r="U377" s="1" t="s">
        <v>306</v>
      </c>
      <c r="V377" s="1814"/>
      <c r="W377" s="1814"/>
      <c r="Y377" t="s">
        <v>2082</v>
      </c>
      <c r="AC377" s="27" t="s">
        <v>305</v>
      </c>
      <c r="AD377" s="1814"/>
      <c r="AE377" s="1814"/>
      <c r="AF377" s="1" t="s">
        <v>306</v>
      </c>
      <c r="AG377" s="1814"/>
      <c r="AH377" s="1814"/>
    </row>
    <row r="378" spans="1:34" ht="12.9" customHeight="1" x14ac:dyDescent="0.25">
      <c r="E378" s="4" t="s">
        <v>988</v>
      </c>
      <c r="F378" s="4"/>
      <c r="G378" s="4"/>
      <c r="H378" s="4"/>
      <c r="I378" s="4"/>
      <c r="J378" s="4"/>
      <c r="K378" s="4"/>
      <c r="L378" s="4"/>
      <c r="N378" s="1814"/>
      <c r="O378" s="1814"/>
      <c r="P378" s="1814"/>
    </row>
    <row r="379" spans="1:34" ht="12.9" customHeight="1" x14ac:dyDescent="0.25">
      <c r="E379" s="205" t="s">
        <v>2088</v>
      </c>
      <c r="F379" s="4"/>
      <c r="G379" s="4"/>
      <c r="H379" s="4"/>
      <c r="I379" s="4"/>
      <c r="J379" s="4"/>
      <c r="K379" s="4"/>
      <c r="L379" s="4"/>
      <c r="AG379" s="1803" t="s">
        <v>592</v>
      </c>
      <c r="AH379" s="1803"/>
    </row>
    <row r="380" spans="1:34" ht="12.9" customHeight="1" x14ac:dyDescent="0.25">
      <c r="E380" s="4"/>
      <c r="F380" s="4"/>
      <c r="G380" s="4" t="s">
        <v>2089</v>
      </c>
      <c r="H380" s="4"/>
      <c r="I380" s="4"/>
      <c r="J380" s="4"/>
      <c r="K380" s="4"/>
      <c r="L380" s="4"/>
      <c r="AG380" s="1803" t="s">
        <v>592</v>
      </c>
      <c r="AH380" s="1803"/>
    </row>
    <row r="381" spans="1:34" ht="12.9" customHeight="1" x14ac:dyDescent="0.25">
      <c r="E381" s="4"/>
      <c r="F381" s="4"/>
      <c r="G381" s="321" t="s">
        <v>989</v>
      </c>
      <c r="H381" s="4"/>
      <c r="I381" s="4"/>
      <c r="J381" s="4"/>
      <c r="K381" s="4"/>
      <c r="L381" s="4"/>
      <c r="V381" s="1331" t="s">
        <v>592</v>
      </c>
      <c r="W381" s="1331"/>
      <c r="Y381" s="22" t="s">
        <v>981</v>
      </c>
    </row>
    <row r="382" spans="1:34" ht="12.9" customHeight="1" x14ac:dyDescent="0.25">
      <c r="E382" s="4" t="s">
        <v>982</v>
      </c>
      <c r="F382" s="4"/>
      <c r="G382" s="4"/>
      <c r="H382" s="4"/>
      <c r="I382" s="4"/>
      <c r="J382" s="4"/>
      <c r="K382" s="4"/>
      <c r="L382" s="4"/>
      <c r="V382" s="1331" t="s">
        <v>592</v>
      </c>
      <c r="W382" s="1331"/>
      <c r="Y382" s="4" t="s">
        <v>983</v>
      </c>
    </row>
    <row r="383" spans="1:34" ht="12.9" customHeight="1" x14ac:dyDescent="0.25"/>
    <row r="384" spans="1:34" ht="12.9" customHeight="1" x14ac:dyDescent="0.3">
      <c r="A384" s="2" t="s">
        <v>78</v>
      </c>
      <c r="B384" s="2"/>
    </row>
    <row r="385" spans="4:36" ht="12.9" customHeight="1" x14ac:dyDescent="0.25">
      <c r="D385" t="s">
        <v>428</v>
      </c>
      <c r="J385" s="1371"/>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 customHeight="1" x14ac:dyDescent="0.25">
      <c r="D386" s="3" t="s">
        <v>1183</v>
      </c>
      <c r="J386" s="1347"/>
      <c r="K386" s="1347"/>
      <c r="L386" s="1347"/>
      <c r="M386" s="1347"/>
      <c r="N386" s="1347"/>
      <c r="O386" s="1347"/>
      <c r="P386" s="1347"/>
      <c r="Q386" s="1347"/>
      <c r="R386" s="1347"/>
      <c r="S386" s="1347"/>
      <c r="T386" s="1347"/>
      <c r="U386" s="1347"/>
      <c r="V386" s="3" t="s">
        <v>1183</v>
      </c>
      <c r="W386" s="8"/>
      <c r="X386" s="8"/>
      <c r="Y386" s="8"/>
      <c r="Z386" s="8"/>
      <c r="AA386" s="8"/>
      <c r="AB386" s="8"/>
      <c r="AC386" s="1371"/>
      <c r="AD386" s="1371"/>
      <c r="AE386" s="1371"/>
      <c r="AF386" s="1371"/>
      <c r="AG386" s="1371"/>
      <c r="AH386" s="1371"/>
      <c r="AI386" s="1371"/>
      <c r="AJ386" s="1371"/>
    </row>
    <row r="387" spans="4:36" ht="12.9" customHeight="1" x14ac:dyDescent="0.25">
      <c r="D387" s="3" t="s">
        <v>442</v>
      </c>
      <c r="J387" s="1347"/>
      <c r="K387" s="1347"/>
      <c r="L387" s="1347"/>
      <c r="M387" s="1347"/>
      <c r="N387" s="1347"/>
      <c r="O387" s="1347"/>
      <c r="P387" s="1347"/>
      <c r="Q387" s="1347"/>
      <c r="R387" s="1347"/>
      <c r="S387" s="1347"/>
      <c r="T387" s="1347"/>
      <c r="U387" s="1347"/>
      <c r="V387" s="3" t="s">
        <v>442</v>
      </c>
      <c r="W387" s="8"/>
      <c r="X387" s="8"/>
      <c r="Y387" s="8"/>
      <c r="Z387" s="8"/>
      <c r="AA387" s="8"/>
      <c r="AB387" s="8"/>
      <c r="AC387" s="1371"/>
      <c r="AD387" s="1371"/>
      <c r="AE387" s="1371"/>
      <c r="AF387" s="1371"/>
      <c r="AG387" s="1371"/>
      <c r="AH387" s="1371"/>
      <c r="AI387" s="1371"/>
      <c r="AJ387" s="1371"/>
    </row>
    <row r="388" spans="4:36" ht="12.9" customHeight="1" x14ac:dyDescent="0.25">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 customHeight="1" x14ac:dyDescent="0.25">
      <c r="D389" t="s">
        <v>4</v>
      </c>
      <c r="Q389" s="1750"/>
      <c r="R389" s="1750"/>
      <c r="S389" s="1750"/>
      <c r="T389" s="1750"/>
      <c r="U389" s="1750"/>
      <c r="V389" t="s">
        <v>309</v>
      </c>
      <c r="AI389" s="1331" t="s">
        <v>670</v>
      </c>
      <c r="AJ389" s="1331"/>
    </row>
    <row r="390" spans="4:36" ht="12.9" customHeight="1" x14ac:dyDescent="0.25">
      <c r="D390" t="s">
        <v>5</v>
      </c>
      <c r="Q390" s="1533"/>
      <c r="R390" s="1818"/>
      <c r="S390" s="1818"/>
      <c r="T390" s="1818"/>
      <c r="U390" s="1818"/>
      <c r="W390" s="21" t="s">
        <v>74</v>
      </c>
      <c r="AG390" s="1816"/>
      <c r="AH390" s="1816"/>
      <c r="AI390" s="1816"/>
      <c r="AJ390" s="1816"/>
    </row>
    <row r="391" spans="4:36" ht="12.9" customHeight="1" x14ac:dyDescent="0.25">
      <c r="D391" t="s">
        <v>427</v>
      </c>
      <c r="Q391" s="1827"/>
      <c r="R391" s="1827"/>
      <c r="S391" s="1827"/>
      <c r="T391" s="1827"/>
      <c r="U391" s="1827"/>
      <c r="V391" s="3" t="s">
        <v>1182</v>
      </c>
      <c r="AG391" s="1817"/>
      <c r="AH391" s="1817"/>
      <c r="AI391" s="1817"/>
      <c r="AJ391" s="1817"/>
    </row>
    <row r="392" spans="4:36" ht="12.9" customHeight="1" x14ac:dyDescent="0.25">
      <c r="D392" t="s">
        <v>88</v>
      </c>
      <c r="I392" s="1423"/>
      <c r="J392" s="1423"/>
      <c r="K392" s="1423"/>
      <c r="L392" s="1423"/>
      <c r="M392" s="1423"/>
      <c r="N392" s="1423"/>
      <c r="Q392" s="4" t="s">
        <v>206</v>
      </c>
      <c r="S392" s="1826"/>
      <c r="T392" s="1826"/>
      <c r="U392" s="1826"/>
      <c r="V392" t="s">
        <v>73</v>
      </c>
      <c r="AI392" s="1331" t="s">
        <v>670</v>
      </c>
      <c r="AJ392" s="1331"/>
    </row>
    <row r="393" spans="4:36" ht="12.9" customHeight="1" x14ac:dyDescent="0.25">
      <c r="D393" t="s">
        <v>310</v>
      </c>
      <c r="Q393" s="1408"/>
      <c r="R393" s="1408"/>
      <c r="S393" s="1408"/>
      <c r="T393" s="1408"/>
      <c r="U393" s="1408"/>
      <c r="V393" t="s">
        <v>311</v>
      </c>
      <c r="AG393" s="1816"/>
      <c r="AH393" s="1816"/>
      <c r="AI393" s="1816"/>
      <c r="AJ393" s="1816"/>
    </row>
    <row r="394" spans="4:36" ht="12.9" customHeight="1" x14ac:dyDescent="0.25">
      <c r="D394" t="s">
        <v>312</v>
      </c>
      <c r="Q394" s="1754"/>
      <c r="R394" s="1754"/>
      <c r="S394" s="1754"/>
      <c r="T394" s="1754"/>
      <c r="U394" s="1754"/>
      <c r="V394" t="s">
        <v>1164</v>
      </c>
      <c r="AG394" s="1816"/>
      <c r="AH394" s="1816"/>
      <c r="AI394" s="1816"/>
      <c r="AJ394" s="1816"/>
    </row>
    <row r="395" spans="4:36" ht="12.9" customHeight="1" x14ac:dyDescent="0.25">
      <c r="D395" t="s">
        <v>1163</v>
      </c>
      <c r="AG395" s="1816"/>
      <c r="AH395" s="1816"/>
      <c r="AI395" s="1816"/>
      <c r="AJ395" s="1816"/>
    </row>
    <row r="396" spans="4:36" ht="12.9" customHeight="1" x14ac:dyDescent="0.25">
      <c r="AG396" s="457"/>
      <c r="AH396" s="457"/>
      <c r="AI396" s="457"/>
      <c r="AJ396" s="457"/>
    </row>
    <row r="397" spans="4:36" ht="12.9" customHeight="1" x14ac:dyDescent="0.25">
      <c r="D397" s="3" t="s">
        <v>2145</v>
      </c>
      <c r="AG397" s="457"/>
      <c r="AH397" s="457"/>
      <c r="AI397" s="1331" t="s">
        <v>670</v>
      </c>
      <c r="AJ397" s="1331"/>
    </row>
    <row r="398" spans="4:36" ht="12.9" customHeight="1" x14ac:dyDescent="0.25">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2.9" customHeight="1" x14ac:dyDescent="0.25">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2.9" customHeight="1" x14ac:dyDescent="0.25">
      <c r="AG400" s="457"/>
      <c r="AH400" s="457"/>
      <c r="AI400" s="457"/>
      <c r="AJ400" s="457"/>
    </row>
    <row r="401" spans="1:36" ht="12.9" customHeight="1" x14ac:dyDescent="0.25">
      <c r="D401" s="3" t="s">
        <v>1661</v>
      </c>
      <c r="S401" s="1749" t="s">
        <v>546</v>
      </c>
      <c r="T401" s="1749"/>
      <c r="U401" s="1749"/>
      <c r="V401" t="s">
        <v>1662</v>
      </c>
      <c r="AG401" s="1820">
        <v>99</v>
      </c>
      <c r="AH401" s="1820"/>
      <c r="AI401" s="1820"/>
      <c r="AJ401" s="1820"/>
    </row>
    <row r="402" spans="1:36" ht="12.9" customHeight="1" x14ac:dyDescent="0.25">
      <c r="D402" s="3" t="s">
        <v>1659</v>
      </c>
      <c r="S402" s="1749" t="s">
        <v>546</v>
      </c>
      <c r="T402" s="1749"/>
      <c r="U402" s="1749"/>
      <c r="V402" t="s">
        <v>1664</v>
      </c>
      <c r="AE402" s="1815">
        <v>0</v>
      </c>
      <c r="AF402" s="1815"/>
      <c r="AG402" s="1815"/>
      <c r="AH402" s="1815"/>
      <c r="AI402" s="1815"/>
      <c r="AJ402" s="1815"/>
    </row>
    <row r="403" spans="1:36" ht="12.9" customHeight="1" x14ac:dyDescent="0.25">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 customHeight="1" x14ac:dyDescent="0.25">
      <c r="D404" s="3" t="s">
        <v>1663</v>
      </c>
      <c r="K404" s="1797" t="s">
        <v>2765</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 customHeight="1" x14ac:dyDescent="0.25">
      <c r="D405" s="3" t="s">
        <v>1666</v>
      </c>
      <c r="E405" s="478"/>
      <c r="F405" s="478"/>
      <c r="G405" s="478"/>
      <c r="H405" s="478"/>
      <c r="I405" s="478"/>
      <c r="J405" s="478"/>
      <c r="K405" s="478"/>
      <c r="L405" s="478"/>
      <c r="M405" s="478"/>
      <c r="N405" s="478"/>
      <c r="O405" s="478"/>
      <c r="P405" s="478"/>
      <c r="Q405" s="478"/>
      <c r="R405" s="478"/>
      <c r="S405" s="1825" t="s">
        <v>300</v>
      </c>
      <c r="T405" s="1825"/>
      <c r="U405" s="1825"/>
      <c r="V405" s="1825"/>
      <c r="W405" s="1825"/>
      <c r="X405" s="1825"/>
      <c r="Y405" s="1825"/>
      <c r="Z405" s="1825"/>
      <c r="AA405" s="1825"/>
      <c r="AB405" s="1825"/>
      <c r="AC405" s="1825"/>
      <c r="AD405" s="1825"/>
      <c r="AE405" s="1825"/>
      <c r="AF405" s="1825"/>
      <c r="AG405" s="1825"/>
      <c r="AH405" s="1825"/>
      <c r="AI405" s="1825"/>
      <c r="AJ405" s="1825"/>
    </row>
    <row r="406" spans="1:36" ht="12.9" customHeight="1" x14ac:dyDescent="0.25">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x14ac:dyDescent="0.25">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x14ac:dyDescent="0.25">
      <c r="AG408" s="457"/>
      <c r="AH408" s="457"/>
      <c r="AI408" s="457"/>
      <c r="AJ408" s="457"/>
    </row>
    <row r="409" spans="1:36" ht="12.9" customHeight="1" x14ac:dyDescent="0.3">
      <c r="A409" s="2" t="s">
        <v>590</v>
      </c>
      <c r="B409" s="2"/>
      <c r="C409" s="2" t="s">
        <v>111</v>
      </c>
    </row>
    <row r="410" spans="1:36" ht="12.9" customHeight="1" x14ac:dyDescent="0.3">
      <c r="B410" s="2"/>
      <c r="C410" s="2"/>
      <c r="D410" s="2" t="s">
        <v>1205</v>
      </c>
      <c r="I410" s="1416" t="s">
        <v>2703</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 customHeight="1" x14ac:dyDescent="0.25">
      <c r="E411" t="s">
        <v>106</v>
      </c>
      <c r="R411" s="1331" t="s">
        <v>546</v>
      </c>
      <c r="S411" s="1331"/>
      <c r="AC411" s="27" t="s">
        <v>571</v>
      </c>
      <c r="AD411" s="1662">
        <v>4</v>
      </c>
      <c r="AE411" s="1662"/>
    </row>
    <row r="412" spans="1:36" ht="12.9" customHeight="1" x14ac:dyDescent="0.25">
      <c r="E412" t="s">
        <v>107</v>
      </c>
      <c r="R412" s="1331" t="s">
        <v>592</v>
      </c>
      <c r="S412" s="1331"/>
      <c r="AC412" s="27" t="s">
        <v>571</v>
      </c>
      <c r="AD412" s="1662"/>
      <c r="AE412" s="1662"/>
    </row>
    <row r="413" spans="1:36" ht="12.9" customHeight="1" x14ac:dyDescent="0.25">
      <c r="E413" t="s">
        <v>108</v>
      </c>
      <c r="S413" s="1331" t="s">
        <v>592</v>
      </c>
      <c r="T413" s="1331"/>
    </row>
    <row r="414" spans="1:36" ht="12.9" customHeight="1" x14ac:dyDescent="0.25">
      <c r="E414" t="s">
        <v>170</v>
      </c>
      <c r="H414" s="1755" t="s">
        <v>2704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 customHeight="1" x14ac:dyDescent="0.25">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 customHeight="1" x14ac:dyDescent="0.25"/>
    <row r="417" spans="1:39" ht="12.9" customHeight="1" x14ac:dyDescent="0.3">
      <c r="A417" s="2" t="s">
        <v>591</v>
      </c>
      <c r="B417" s="2"/>
      <c r="C417" s="2"/>
      <c r="D417" s="2" t="s">
        <v>114</v>
      </c>
      <c r="AF417" s="2" t="s">
        <v>958</v>
      </c>
    </row>
    <row r="418" spans="1:39" ht="12.9" customHeight="1" x14ac:dyDescent="0.3">
      <c r="E418" s="1814"/>
      <c r="F418" s="1814"/>
      <c r="G418" s="1814"/>
      <c r="H418" s="13" t="s">
        <v>115</v>
      </c>
      <c r="I418" s="1814"/>
      <c r="J418" s="1814"/>
      <c r="K418" s="1814"/>
      <c r="L418" t="s">
        <v>116</v>
      </c>
      <c r="N418" s="27" t="s">
        <v>576</v>
      </c>
      <c r="P418" s="1758">
        <v>1.55</v>
      </c>
      <c r="Q418" s="1758"/>
      <c r="R418" s="1758"/>
      <c r="S418" t="s">
        <v>117</v>
      </c>
      <c r="W418" s="1824">
        <f>IF(E418&gt;0,(E418*I418),(P418*43560))</f>
        <v>67518</v>
      </c>
      <c r="X418" s="1824"/>
      <c r="Y418" s="1824"/>
      <c r="Z418" t="s">
        <v>118</v>
      </c>
      <c r="AF418" s="1759">
        <f>IFERROR(IF(P418&gt;0,(AG437/P418),(AG437/(W418/43560))),0)</f>
        <v>65.161290322580641</v>
      </c>
      <c r="AG418" s="1759"/>
      <c r="AH418" s="1759"/>
      <c r="AM418" s="3"/>
    </row>
    <row r="419" spans="1:39" ht="12.9" customHeight="1" x14ac:dyDescent="0.25">
      <c r="E419" t="s">
        <v>51</v>
      </c>
    </row>
    <row r="420" spans="1:39" ht="12.9" customHeight="1" x14ac:dyDescent="0.25">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 customHeight="1" x14ac:dyDescent="0.25">
      <c r="E421" s="118" t="s">
        <v>1737</v>
      </c>
      <c r="F421" s="1014"/>
      <c r="G421" s="1014"/>
      <c r="H421" s="1014"/>
      <c r="I421" s="1757">
        <v>1.55</v>
      </c>
      <c r="J421" s="1757"/>
      <c r="K421" s="1757"/>
      <c r="L421" s="1014"/>
      <c r="M421" s="118"/>
      <c r="N421" s="1014"/>
      <c r="O421" s="1014"/>
      <c r="P421" s="1440">
        <f>(DU755+DU778+DU800)/I421</f>
        <v>67.741935483870961</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x14ac:dyDescent="0.25"/>
    <row r="423" spans="1:39" ht="12.9" customHeight="1" x14ac:dyDescent="0.3">
      <c r="A423" s="2" t="s">
        <v>593</v>
      </c>
      <c r="B423" s="2"/>
      <c r="C423" s="2"/>
      <c r="D423" s="2" t="s">
        <v>120</v>
      </c>
    </row>
    <row r="424" spans="1:39" ht="12.9" customHeight="1" x14ac:dyDescent="0.25">
      <c r="E424" t="s">
        <v>121</v>
      </c>
      <c r="P424" s="1331">
        <v>1</v>
      </c>
      <c r="Q424" s="1331"/>
      <c r="S424" t="s">
        <v>189</v>
      </c>
      <c r="AE424" s="1331">
        <v>1</v>
      </c>
      <c r="AF424" s="1331"/>
    </row>
    <row r="425" spans="1:39" ht="12.9" customHeight="1" x14ac:dyDescent="0.25">
      <c r="E425" t="s">
        <v>190</v>
      </c>
      <c r="P425" s="1331">
        <v>1</v>
      </c>
      <c r="Q425" s="1331"/>
      <c r="S425" t="s">
        <v>131</v>
      </c>
      <c r="AE425" s="1331" t="s">
        <v>592</v>
      </c>
      <c r="AF425" s="1331"/>
    </row>
    <row r="426" spans="1:39" ht="12.9" customHeight="1" x14ac:dyDescent="0.25">
      <c r="F426" s="28" t="s">
        <v>132</v>
      </c>
    </row>
    <row r="427" spans="1:39" ht="12.9" customHeight="1" x14ac:dyDescent="0.25">
      <c r="F427" s="1802" t="s">
        <v>2705</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 customHeight="1" x14ac:dyDescent="0.25">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 customHeight="1" x14ac:dyDescent="0.25">
      <c r="E429" t="s">
        <v>609</v>
      </c>
      <c r="P429" s="1"/>
      <c r="Q429" s="1331" t="s">
        <v>546</v>
      </c>
      <c r="R429" s="1331"/>
    </row>
    <row r="430" spans="1:39" ht="12.9" customHeight="1" x14ac:dyDescent="0.25">
      <c r="F430" t="s">
        <v>610</v>
      </c>
      <c r="P430" s="1"/>
      <c r="Q430" s="1"/>
      <c r="AF430" s="1331" t="s">
        <v>592</v>
      </c>
      <c r="AG430" s="1822"/>
    </row>
    <row r="431" spans="1:39" ht="12.9" customHeight="1" x14ac:dyDescent="0.25"/>
    <row r="432" spans="1:39" ht="12.9" customHeight="1" x14ac:dyDescent="0.3">
      <c r="A432" s="2"/>
      <c r="B432" s="2"/>
      <c r="C432" s="2"/>
      <c r="E432" s="4" t="s">
        <v>308</v>
      </c>
      <c r="Z432" s="1331" t="s">
        <v>670</v>
      </c>
      <c r="AA432" s="1331"/>
    </row>
    <row r="433" spans="1:55" ht="12.9" customHeight="1" x14ac:dyDescent="0.25">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x14ac:dyDescent="0.25">
      <c r="F434" t="s">
        <v>708</v>
      </c>
      <c r="G434" s="40"/>
      <c r="I434" s="40"/>
      <c r="J434" s="40"/>
      <c r="K434" s="40"/>
      <c r="L434" s="40"/>
      <c r="M434" s="40"/>
      <c r="N434" s="40"/>
      <c r="O434" s="28"/>
      <c r="P434" s="40"/>
      <c r="Q434" s="40"/>
      <c r="R434" s="40"/>
      <c r="S434" s="40"/>
      <c r="T434" s="40"/>
      <c r="U434" s="40"/>
      <c r="V434" s="40"/>
      <c r="W434" s="40"/>
      <c r="Z434" s="1331" t="s">
        <v>592</v>
      </c>
      <c r="AA434" s="1331"/>
    </row>
    <row r="435" spans="1:55" ht="12.9" customHeight="1" x14ac:dyDescent="0.25"/>
    <row r="436" spans="1:55" ht="12.9" customHeight="1" x14ac:dyDescent="0.3">
      <c r="A436" s="2" t="s">
        <v>468</v>
      </c>
      <c r="B436" s="2"/>
      <c r="C436" s="2"/>
      <c r="D436" s="2" t="s">
        <v>765</v>
      </c>
      <c r="AF436" s="48"/>
    </row>
    <row r="437" spans="1:55" ht="12.9" customHeight="1" x14ac:dyDescent="0.25">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60"/>
      <c r="AG437" s="1819">
        <v>101</v>
      </c>
      <c r="AH437" s="1819"/>
      <c r="AI437" s="1819"/>
      <c r="AJ437" s="1819"/>
    </row>
    <row r="438" spans="1:55" ht="12.9" customHeight="1" x14ac:dyDescent="0.25">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3">
        <v>0</v>
      </c>
      <c r="AH438" s="1611"/>
      <c r="AI438" s="1611"/>
      <c r="AJ438" s="1611"/>
    </row>
    <row r="439" spans="1:55" ht="12.9" customHeight="1" x14ac:dyDescent="0.25">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9">
        <v>100</v>
      </c>
      <c r="AH439" s="1819"/>
      <c r="AI439" s="1819"/>
      <c r="AJ439" s="1819"/>
    </row>
    <row r="440" spans="1:55" ht="12.9" customHeight="1" x14ac:dyDescent="0.25">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9">
        <v>100</v>
      </c>
      <c r="AH440" s="1819"/>
      <c r="AI440" s="1819"/>
      <c r="AJ440" s="1819"/>
    </row>
    <row r="441" spans="1:55" ht="12.9" customHeight="1" x14ac:dyDescent="0.25">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5">
        <f>IF(ISERROR(AG440/AG439),0,AG440/AG439)</f>
        <v>1</v>
      </c>
      <c r="AH441" s="1805"/>
      <c r="AI441" s="1805"/>
      <c r="AJ441" s="1805"/>
    </row>
    <row r="442" spans="1:55" ht="12.9" customHeight="1" x14ac:dyDescent="0.25">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53021</v>
      </c>
      <c r="AH442" s="1694"/>
      <c r="AI442" s="1694"/>
      <c r="AJ442" s="1694"/>
    </row>
    <row r="443" spans="1:55" ht="12.9" customHeight="1" x14ac:dyDescent="0.25">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53021</v>
      </c>
      <c r="AH443" s="1694"/>
      <c r="AI443" s="1694"/>
      <c r="AJ443" s="1694"/>
    </row>
    <row r="444" spans="1:55" ht="12.9" customHeight="1" x14ac:dyDescent="0.25">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5">
        <f>IF(ISERROR(AG443/AG442),0,AG443/AG442)</f>
        <v>1</v>
      </c>
      <c r="AH444" s="1805"/>
      <c r="AI444" s="1805"/>
      <c r="AJ444" s="1805"/>
    </row>
    <row r="445" spans="1:55" ht="12.9" customHeight="1" x14ac:dyDescent="0.25">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5">
        <f>MIN(IF(AG441&gt;AG444,AG444,AG441),1)</f>
        <v>1</v>
      </c>
      <c r="AH445" s="1805"/>
      <c r="AI445" s="1805"/>
      <c r="AJ445" s="1805"/>
    </row>
    <row r="446" spans="1:55" ht="12.9" customHeight="1" x14ac:dyDescent="0.25">
      <c r="D446" s="1741" t="s">
        <v>2090</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60"/>
      <c r="AG446" s="1694">
        <v>9175</v>
      </c>
      <c r="AH446" s="1694"/>
      <c r="AI446" s="1694"/>
      <c r="AJ446" s="1694"/>
      <c r="AZ446" s="34"/>
      <c r="BA446" s="34"/>
      <c r="BB446" s="34"/>
      <c r="BC446" s="34"/>
    </row>
    <row r="447" spans="1:55" ht="12.9" customHeight="1" x14ac:dyDescent="0.25">
      <c r="D447" s="1623" t="s">
        <v>570</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60"/>
      <c r="AG447" s="1694">
        <v>0</v>
      </c>
      <c r="AH447" s="1694"/>
      <c r="AI447" s="1694"/>
      <c r="AJ447" s="1694"/>
      <c r="AZ447" s="3"/>
      <c r="BA447" s="3"/>
      <c r="BB447" s="3"/>
      <c r="BC447" s="3"/>
    </row>
    <row r="448" spans="1:55" ht="12.9" customHeight="1" x14ac:dyDescent="0.25">
      <c r="D448" s="1741" t="s">
        <v>1206</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60"/>
      <c r="AG448" s="1694">
        <v>24580</v>
      </c>
      <c r="AH448" s="1694"/>
      <c r="AI448" s="1694"/>
      <c r="AJ448" s="1694"/>
      <c r="AZ448" s="3"/>
      <c r="BA448" s="3"/>
      <c r="BB448" s="3"/>
      <c r="BC448" s="3"/>
    </row>
    <row r="449" spans="1:55" ht="12.9" customHeight="1" x14ac:dyDescent="0.25">
      <c r="D449" s="1741" t="s">
        <v>1039</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60"/>
      <c r="AG449" s="1694">
        <v>0</v>
      </c>
      <c r="AH449" s="1694"/>
      <c r="AI449" s="1694"/>
      <c r="AJ449" s="1694"/>
      <c r="BB449" s="3"/>
      <c r="BC449" s="3"/>
    </row>
    <row r="450" spans="1:55" ht="12.9" customHeight="1" x14ac:dyDescent="0.3">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3">
        <f>AG442+AG446+AG448+AG449</f>
        <v>86776</v>
      </c>
      <c r="AH450" s="1843"/>
      <c r="AI450" s="1843"/>
      <c r="AJ450" s="1843"/>
      <c r="AZ450" s="3"/>
      <c r="BA450" s="3"/>
      <c r="BB450" s="3"/>
      <c r="BC450" s="3"/>
    </row>
    <row r="451" spans="1:55" ht="12.9" customHeight="1" x14ac:dyDescent="0.25">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 customHeight="1" x14ac:dyDescent="0.25">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 customHeight="1" x14ac:dyDescent="0.25">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x14ac:dyDescent="0.3">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762948.18811881193</v>
      </c>
      <c r="AD454" s="1811"/>
      <c r="AE454" s="1811"/>
      <c r="AF454" s="1811"/>
      <c r="AG454" s="177"/>
      <c r="AH454" s="177"/>
      <c r="AI454" s="177"/>
      <c r="AJ454" s="183"/>
      <c r="AZ454" s="3"/>
      <c r="BA454" s="3" t="str">
        <f>AG575</f>
        <v>Yes</v>
      </c>
      <c r="BB454" s="3"/>
      <c r="BC454" s="3"/>
    </row>
    <row r="455" spans="1:55" ht="12.9" customHeight="1" x14ac:dyDescent="0.3">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762948.18811881193</v>
      </c>
      <c r="AD455" s="1811"/>
      <c r="AE455" s="1811"/>
      <c r="AF455" s="1811"/>
      <c r="AG455" s="177"/>
      <c r="AH455" s="177"/>
      <c r="AI455" s="177"/>
      <c r="AJ455" s="183"/>
      <c r="AZ455" s="3"/>
      <c r="BA455" s="3"/>
      <c r="BB455" s="3"/>
      <c r="BC455" s="3"/>
    </row>
    <row r="456" spans="1:55" ht="12.9" customHeight="1" x14ac:dyDescent="0.3">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718167.33663366339</v>
      </c>
      <c r="AD456" s="1811"/>
      <c r="AE456" s="1811"/>
      <c r="AF456" s="1811"/>
      <c r="AG456" s="177"/>
      <c r="AH456" s="177"/>
      <c r="AI456" s="177"/>
      <c r="AJ456" s="183"/>
      <c r="AZ456" s="3"/>
      <c r="BA456" s="3"/>
      <c r="BB456" s="3"/>
      <c r="BC456" s="3"/>
    </row>
    <row r="457" spans="1:55" ht="12.9" customHeight="1" x14ac:dyDescent="0.25">
      <c r="D457" s="177"/>
      <c r="E457" s="177"/>
      <c r="F457" s="17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2.9" customHeight="1" x14ac:dyDescent="0.3">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 customHeight="1" x14ac:dyDescent="0.3">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x14ac:dyDescent="0.25">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x14ac:dyDescent="0.25">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x14ac:dyDescent="0.25">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x14ac:dyDescent="0.25">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x14ac:dyDescent="0.25">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x14ac:dyDescent="0.25">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100</v>
      </c>
      <c r="X465" s="1665"/>
      <c r="Y465" s="1666"/>
      <c r="Z465" s="184"/>
      <c r="AA465" s="184"/>
      <c r="AB465" s="184"/>
      <c r="AC465" s="184"/>
      <c r="AD465" s="177"/>
      <c r="AE465" s="177"/>
      <c r="AF465" s="177"/>
      <c r="AG465" s="177"/>
      <c r="AH465" s="177"/>
      <c r="AI465" s="177"/>
      <c r="AJ465" s="183"/>
      <c r="AZ465" s="3"/>
      <c r="BA465" s="3"/>
      <c r="BB465" s="3"/>
      <c r="BC465" s="3"/>
    </row>
    <row r="466" spans="1:55" ht="12.9" customHeight="1" x14ac:dyDescent="0.25">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 customHeight="1" x14ac:dyDescent="0.25">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 customHeight="1" x14ac:dyDescent="0.25">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 customHeight="1" x14ac:dyDescent="0.25">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 customHeight="1" x14ac:dyDescent="0.25">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 customHeight="1" x14ac:dyDescent="0.25">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 customHeight="1" x14ac:dyDescent="0.25">
      <c r="A472" s="3"/>
      <c r="B472" s="3"/>
      <c r="C472" s="3"/>
      <c r="D472" s="1761" t="s">
        <v>2193</v>
      </c>
      <c r="E472" s="1847"/>
      <c r="F472" s="1847"/>
      <c r="G472" s="1847"/>
      <c r="H472" s="1847"/>
      <c r="I472" s="1847"/>
      <c r="J472" s="1847"/>
      <c r="K472" s="1847"/>
      <c r="L472" s="1847"/>
      <c r="M472" s="1847"/>
      <c r="N472" s="1847"/>
      <c r="O472" s="1847"/>
      <c r="P472" s="1847"/>
      <c r="Q472" s="1847"/>
      <c r="R472" s="1847"/>
      <c r="S472" s="1847"/>
      <c r="T472" s="1847"/>
      <c r="U472" s="1847"/>
      <c r="V472" s="1848"/>
      <c r="W472" s="1664">
        <v>100</v>
      </c>
      <c r="X472" s="1665"/>
      <c r="Y472" s="1666"/>
      <c r="Z472" s="184"/>
      <c r="AA472" s="184"/>
      <c r="AB472" s="184"/>
      <c r="AC472" s="184"/>
      <c r="AD472" s="177"/>
      <c r="AE472" s="177"/>
      <c r="AF472" s="177"/>
      <c r="AG472" s="177"/>
      <c r="AH472" s="177"/>
      <c r="AI472" s="177"/>
      <c r="AJ472" s="183"/>
      <c r="AZ472" s="3"/>
      <c r="BA472" s="3"/>
      <c r="BB472" s="3"/>
      <c r="BC472" s="3"/>
    </row>
    <row r="473" spans="1:55" ht="12.9" customHeight="1" x14ac:dyDescent="0.25">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25</v>
      </c>
      <c r="X473" s="1665"/>
      <c r="Y473" s="1666"/>
      <c r="Z473" s="184"/>
      <c r="AA473" s="184"/>
      <c r="AB473" s="184"/>
      <c r="AC473" s="184"/>
      <c r="AD473" s="177"/>
      <c r="AE473" s="177"/>
      <c r="AF473" s="177"/>
      <c r="AG473" s="177"/>
      <c r="AH473" s="177"/>
      <c r="AI473" s="177"/>
      <c r="AJ473" s="183"/>
      <c r="AZ473" s="3"/>
      <c r="BA473" s="3"/>
      <c r="BB473" s="3"/>
      <c r="BC473" s="3"/>
    </row>
    <row r="474" spans="1:55" ht="12.9" customHeight="1" x14ac:dyDescent="0.25">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2.9" customHeight="1" x14ac:dyDescent="0.25">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x14ac:dyDescent="0.25">
      <c r="A476" s="3"/>
      <c r="B476" s="3"/>
      <c r="C476" s="3"/>
      <c r="D476" s="251" t="s">
        <v>2706</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x14ac:dyDescent="0.25">
      <c r="A477" s="3"/>
      <c r="B477" s="3"/>
      <c r="C477" s="3"/>
      <c r="D477" s="251" t="s">
        <v>2707</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x14ac:dyDescent="0.25">
      <c r="A478" s="3"/>
      <c r="B478" s="3"/>
      <c r="C478" s="3"/>
      <c r="D478" s="251" t="s">
        <v>2708</v>
      </c>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x14ac:dyDescent="0.25">
      <c r="AU479" s="95"/>
      <c r="AV479" s="95"/>
      <c r="AW479" s="95"/>
      <c r="AX479" s="95"/>
      <c r="AY479" s="95"/>
      <c r="AZ479" s="3"/>
      <c r="BA479" s="3" t="str">
        <f>AG599</f>
        <v>No</v>
      </c>
      <c r="BB479" s="3"/>
      <c r="BC479" s="3"/>
    </row>
    <row r="480" spans="1:55" ht="12.9" customHeight="1" x14ac:dyDescent="0.25">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 customHeight="1" x14ac:dyDescent="0.25">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 customHeight="1" x14ac:dyDescent="0.25">
      <c r="AZ482" s="3"/>
      <c r="BB482" s="3"/>
      <c r="BC482" s="3"/>
    </row>
    <row r="483" spans="1:55" ht="12.9" customHeight="1" x14ac:dyDescent="0.3">
      <c r="A483" s="2" t="s">
        <v>319</v>
      </c>
      <c r="C483" s="2" t="s">
        <v>809</v>
      </c>
      <c r="AZ483" s="3"/>
      <c r="BB483" s="3"/>
      <c r="BC483" s="3"/>
    </row>
    <row r="484" spans="1:55" ht="12.9" customHeight="1" x14ac:dyDescent="0.25">
      <c r="AZ484" s="3"/>
      <c r="BB484" s="3"/>
      <c r="BC484" s="3"/>
    </row>
    <row r="485" spans="1:55" ht="12.9" customHeight="1" x14ac:dyDescent="0.3">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 customHeight="1" x14ac:dyDescent="0.25">
      <c r="B486" s="45" t="s">
        <v>394</v>
      </c>
      <c r="C486" s="5"/>
      <c r="D486" s="5"/>
      <c r="E486" s="5"/>
      <c r="F486" s="5"/>
      <c r="G486" s="5"/>
      <c r="H486" s="5"/>
      <c r="I486" s="5"/>
      <c r="J486" s="5"/>
      <c r="K486" s="5"/>
      <c r="L486" s="5"/>
      <c r="M486" s="5"/>
      <c r="N486" s="5"/>
      <c r="O486" s="5"/>
      <c r="P486" s="5"/>
      <c r="Q486" s="1576" t="s">
        <v>2709</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2.9" customHeight="1" x14ac:dyDescent="0.25">
      <c r="B487" s="45" t="s">
        <v>395</v>
      </c>
      <c r="C487" s="5"/>
      <c r="D487" s="5"/>
      <c r="E487" s="5"/>
      <c r="F487" s="5"/>
      <c r="G487" s="5"/>
      <c r="H487" s="5"/>
      <c r="I487" s="5"/>
      <c r="J487" s="5"/>
      <c r="K487" s="5"/>
      <c r="L487" s="5"/>
      <c r="M487" s="5"/>
      <c r="N487" s="5"/>
      <c r="O487" s="5"/>
      <c r="P487" s="5"/>
      <c r="Q487" s="1576" t="s">
        <v>2710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2.9" customHeight="1" x14ac:dyDescent="0.25">
      <c r="B488" s="45" t="s">
        <v>396</v>
      </c>
      <c r="C488" s="5"/>
      <c r="D488" s="5"/>
      <c r="E488" s="5"/>
      <c r="F488" s="5"/>
      <c r="G488" s="5"/>
      <c r="H488" s="5"/>
      <c r="I488" s="5"/>
      <c r="J488" s="5"/>
      <c r="K488" s="5"/>
      <c r="L488" s="5"/>
      <c r="M488" s="5"/>
      <c r="N488" s="5"/>
      <c r="O488" s="5"/>
      <c r="P488" s="5"/>
      <c r="Q488" s="1576" t="s">
        <v>2710</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2.9" customHeight="1" x14ac:dyDescent="0.25">
      <c r="B489" s="1831" t="s">
        <v>397</v>
      </c>
      <c r="C489" s="1832"/>
      <c r="D489" s="1832"/>
      <c r="E489" s="1832"/>
      <c r="F489" s="1832"/>
      <c r="G489" s="1832"/>
      <c r="H489" s="1832"/>
      <c r="I489" s="1832"/>
      <c r="J489" s="1832"/>
      <c r="K489" s="1832"/>
      <c r="L489" s="1832"/>
      <c r="M489" s="1832"/>
      <c r="N489" s="1832"/>
      <c r="O489" s="1832"/>
      <c r="P489" s="1833"/>
      <c r="Q489" s="1837" t="s">
        <v>670</v>
      </c>
      <c r="R489" s="1838"/>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 customHeight="1" x14ac:dyDescent="0.25">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 customHeight="1" x14ac:dyDescent="0.25">
      <c r="B491" s="896" t="s">
        <v>1672</v>
      </c>
      <c r="C491" s="874"/>
      <c r="D491" s="874"/>
      <c r="E491" s="874"/>
      <c r="F491" s="874"/>
      <c r="G491" s="874"/>
      <c r="H491" s="874"/>
      <c r="I491" s="874"/>
      <c r="J491" s="874"/>
      <c r="K491" s="874"/>
      <c r="L491" s="874"/>
      <c r="M491" s="874"/>
      <c r="N491" s="874"/>
      <c r="O491" s="874"/>
      <c r="P491" s="874"/>
      <c r="Q491" s="1844" t="s">
        <v>670</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 customHeight="1" x14ac:dyDescent="0.25">
      <c r="B492" s="45" t="s">
        <v>398</v>
      </c>
      <c r="C492" s="5"/>
      <c r="D492" s="5"/>
      <c r="E492" s="5"/>
      <c r="F492" s="5"/>
      <c r="G492" s="5"/>
      <c r="H492" s="5"/>
      <c r="I492" s="5"/>
      <c r="J492" s="5"/>
      <c r="K492" s="5"/>
      <c r="L492" s="5"/>
      <c r="M492" s="5"/>
      <c r="N492" s="5"/>
      <c r="O492" s="5"/>
      <c r="P492" s="5"/>
      <c r="Q492" s="1576" t="s">
        <v>592</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2.9" customHeight="1" x14ac:dyDescent="0.25">
      <c r="B493" s="45" t="s">
        <v>399</v>
      </c>
      <c r="C493" s="5"/>
      <c r="D493" s="5"/>
      <c r="E493" s="5"/>
      <c r="F493" s="5"/>
      <c r="G493" s="5"/>
      <c r="H493" s="5"/>
      <c r="I493" s="5"/>
      <c r="J493" s="5"/>
      <c r="K493" s="5"/>
      <c r="L493" s="5"/>
      <c r="M493" s="5"/>
      <c r="N493" s="5"/>
      <c r="O493" s="5"/>
      <c r="P493" s="5"/>
      <c r="Q493" s="1576" t="s">
        <v>592</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2.9" customHeight="1" x14ac:dyDescent="0.25">
      <c r="B494" s="121" t="s">
        <v>1669</v>
      </c>
      <c r="C494" s="5"/>
      <c r="D494" s="5"/>
      <c r="E494" s="5"/>
      <c r="F494" s="5"/>
      <c r="G494" s="5"/>
      <c r="H494" s="5"/>
      <c r="I494" s="5"/>
      <c r="J494" s="5"/>
      <c r="K494" s="5"/>
      <c r="L494" s="5"/>
      <c r="M494" s="5"/>
      <c r="N494" s="5"/>
      <c r="O494" s="5"/>
      <c r="P494" s="5"/>
      <c r="Q494" s="1576">
        <v>30</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2.9" customHeight="1" x14ac:dyDescent="0.25">
      <c r="B495" s="121" t="s">
        <v>1670</v>
      </c>
      <c r="C495" s="5"/>
      <c r="D495" s="5"/>
      <c r="E495" s="5"/>
      <c r="F495" s="5"/>
      <c r="G495" s="5"/>
      <c r="H495" s="5"/>
      <c r="I495" s="5"/>
      <c r="J495" s="5"/>
      <c r="K495" s="5"/>
      <c r="L495" s="5"/>
      <c r="M495" s="1445">
        <v>0</v>
      </c>
      <c r="N495" s="1446"/>
      <c r="O495" s="1446"/>
      <c r="P495" s="1447"/>
      <c r="Q495" s="121" t="s">
        <v>1671</v>
      </c>
      <c r="R495" s="5"/>
      <c r="S495" s="5"/>
      <c r="T495" s="5"/>
      <c r="U495" s="5"/>
      <c r="V495" s="5"/>
      <c r="W495" s="5"/>
      <c r="X495" s="5"/>
      <c r="Y495" s="5"/>
      <c r="Z495" s="5"/>
      <c r="AA495" s="5"/>
      <c r="AB495" s="5"/>
      <c r="AC495" s="5"/>
      <c r="AD495" s="5"/>
      <c r="AE495" s="5"/>
      <c r="AF495" s="5"/>
      <c r="AG495" s="5"/>
      <c r="AH495" s="1445">
        <v>30</v>
      </c>
      <c r="AI495" s="1446"/>
      <c r="AJ495" s="1446"/>
      <c r="AK495" s="1447"/>
      <c r="AZ495" s="3"/>
      <c r="BA495" s="3"/>
      <c r="BB495" s="3"/>
      <c r="BC495" s="3"/>
    </row>
    <row r="496" spans="1:55" ht="12.9" customHeight="1" x14ac:dyDescent="0.3">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x14ac:dyDescent="0.3">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x14ac:dyDescent="0.3">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x14ac:dyDescent="0.3">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 customHeight="1" x14ac:dyDescent="0.3">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 customHeight="1" x14ac:dyDescent="0.3">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5</v>
      </c>
      <c r="AD501" s="1662"/>
      <c r="AE501" s="1662"/>
      <c r="AF501" s="1662"/>
      <c r="AG501" s="13" t="s">
        <v>403</v>
      </c>
      <c r="AH501" s="1402">
        <v>2021</v>
      </c>
      <c r="AI501" s="1402"/>
      <c r="AJ501" s="1402"/>
      <c r="AK501" s="1403"/>
      <c r="AZ501" s="3"/>
      <c r="BA501" s="3"/>
      <c r="BB501" s="3"/>
      <c r="BC501" s="3"/>
      <c r="BD501" s="3"/>
      <c r="BE501" s="3"/>
      <c r="BF501" s="3"/>
      <c r="BG501" s="3"/>
      <c r="BH501" s="3"/>
      <c r="BI501" s="3"/>
      <c r="BJ501" s="3"/>
      <c r="BK501" s="3"/>
      <c r="BL501" s="3"/>
      <c r="BM501" s="3"/>
      <c r="BN501" s="3"/>
    </row>
    <row r="502" spans="1:66" ht="12.9" customHeight="1" x14ac:dyDescent="0.3">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11</v>
      </c>
      <c r="AD502" s="1662"/>
      <c r="AE502" s="1662"/>
      <c r="AF502" s="1662"/>
      <c r="AG502" s="38" t="s">
        <v>403</v>
      </c>
      <c r="AH502" s="1402">
        <v>2018</v>
      </c>
      <c r="AI502" s="1402"/>
      <c r="AJ502" s="1402"/>
      <c r="AK502" s="1403"/>
      <c r="AZ502" s="3"/>
      <c r="BA502" s="3"/>
      <c r="BB502" s="3"/>
      <c r="BC502" s="3"/>
      <c r="BD502" s="3"/>
      <c r="BE502" s="3"/>
      <c r="BF502" s="3"/>
      <c r="BG502" s="3"/>
      <c r="BH502" s="3"/>
      <c r="BI502" s="3"/>
      <c r="BJ502" s="3"/>
      <c r="BK502" s="3"/>
      <c r="BL502" s="3"/>
      <c r="BM502" s="3"/>
      <c r="BN502" s="3"/>
    </row>
    <row r="503" spans="1:66" ht="12.9" customHeight="1" x14ac:dyDescent="0.3">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 customHeight="1" x14ac:dyDescent="0.3">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 customHeight="1" x14ac:dyDescent="0.3">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 customHeight="1" x14ac:dyDescent="0.3">
      <c r="B506" s="1672"/>
      <c r="C506" s="1432"/>
      <c r="D506" s="1432"/>
      <c r="E506" s="1432"/>
      <c r="F506" s="1432"/>
      <c r="G506" s="1432"/>
      <c r="H506" s="1433"/>
      <c r="I506" t="s">
        <v>412</v>
      </c>
      <c r="AC506" s="1661">
        <v>8</v>
      </c>
      <c r="AD506" s="1662"/>
      <c r="AE506" s="1662"/>
      <c r="AF506" s="1662"/>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 customHeight="1" x14ac:dyDescent="0.3">
      <c r="B507" s="1672"/>
      <c r="C507" s="1432"/>
      <c r="D507" s="1432"/>
      <c r="E507" s="1432"/>
      <c r="F507" s="1432"/>
      <c r="G507" s="1432"/>
      <c r="H507" s="1433"/>
      <c r="I507" s="3" t="s">
        <v>413</v>
      </c>
      <c r="AC507" s="1336">
        <v>8</v>
      </c>
      <c r="AD507" s="1337"/>
      <c r="AE507" s="1337"/>
      <c r="AF507" s="1337"/>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 customHeight="1" x14ac:dyDescent="0.3">
      <c r="B508" s="1672"/>
      <c r="C508" s="1432"/>
      <c r="D508" s="1432"/>
      <c r="E508" s="1432"/>
      <c r="F508" s="1432"/>
      <c r="G508" s="1432"/>
      <c r="H508" s="1433"/>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2"/>
      <c r="AC508" s="1661"/>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 customHeight="1" x14ac:dyDescent="0.3">
      <c r="B509" s="872"/>
      <c r="C509" s="130"/>
      <c r="D509" s="130"/>
      <c r="E509" s="130"/>
      <c r="F509" s="130"/>
      <c r="G509" s="130"/>
      <c r="H509" s="873"/>
      <c r="I509" s="3" t="s">
        <v>1676</v>
      </c>
      <c r="AC509" s="1819" t="s">
        <v>1185</v>
      </c>
      <c r="AD509" s="1819"/>
      <c r="AE509" s="1819"/>
      <c r="AF509" s="1819"/>
      <c r="AG509" s="13"/>
      <c r="AH509" s="1334"/>
      <c r="AI509" s="1334"/>
      <c r="AJ509" s="1334"/>
      <c r="AK509" s="1670"/>
      <c r="AZ509" s="3"/>
      <c r="BA509" s="3"/>
      <c r="BB509" s="3"/>
      <c r="BC509" s="3"/>
      <c r="BD509" s="3"/>
      <c r="BE509" s="3"/>
      <c r="BF509" s="3"/>
      <c r="BG509" s="3"/>
      <c r="BH509" s="3"/>
      <c r="BI509" s="3"/>
      <c r="BJ509" s="3"/>
      <c r="BK509" s="3"/>
      <c r="BL509" s="3"/>
      <c r="BM509" s="3"/>
      <c r="BN509" s="3"/>
    </row>
    <row r="510" spans="1:66" ht="12.9" customHeight="1" x14ac:dyDescent="0.3">
      <c r="B510" s="872"/>
      <c r="C510" s="130"/>
      <c r="D510" s="130"/>
      <c r="E510" s="130"/>
      <c r="F510" s="130"/>
      <c r="G510" s="130"/>
      <c r="H510" s="873"/>
      <c r="I510" t="s">
        <v>1673</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2.9" customHeight="1" x14ac:dyDescent="0.3">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x14ac:dyDescent="0.3">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8"/>
      <c r="AD512" s="1829"/>
      <c r="AE512" s="1829"/>
      <c r="AF512" s="1830"/>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 customHeight="1" x14ac:dyDescent="0.3">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5"/>
      <c r="AE513" s="1635"/>
      <c r="AF513" s="1635"/>
      <c r="AG513" s="38" t="s">
        <v>403</v>
      </c>
      <c r="AH513" s="1635" t="s">
        <v>404</v>
      </c>
      <c r="AI513" s="1635"/>
      <c r="AJ513" s="1635"/>
      <c r="AK513" s="1841"/>
      <c r="AZ513" s="3"/>
      <c r="BA513" s="3"/>
      <c r="BB513" s="3"/>
      <c r="BC513" s="3"/>
      <c r="BD513" s="3"/>
      <c r="BE513" s="3"/>
      <c r="BF513" s="3"/>
      <c r="BG513" s="3"/>
      <c r="BH513" s="3"/>
      <c r="BI513" s="3"/>
      <c r="BJ513" s="3"/>
      <c r="BK513" s="3"/>
      <c r="BL513" s="3"/>
      <c r="BM513" s="3"/>
      <c r="BN513" s="3" t="s">
        <v>2107</v>
      </c>
    </row>
    <row r="514" spans="2:66" ht="12.9" customHeight="1" x14ac:dyDescent="0.3">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2.9" customHeight="1" x14ac:dyDescent="0.3">
      <c r="B515" s="1672"/>
      <c r="C515" s="1432"/>
      <c r="D515" s="1432"/>
      <c r="E515" s="1432"/>
      <c r="F515" s="1432"/>
      <c r="G515" s="1432"/>
      <c r="H515" s="1433"/>
      <c r="I515" t="s">
        <v>416</v>
      </c>
      <c r="AC515" s="1661">
        <v>1</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2.9" customHeight="1" x14ac:dyDescent="0.3">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2.9" customHeight="1" x14ac:dyDescent="0.3">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2.9" customHeight="1" x14ac:dyDescent="0.3">
      <c r="B518" s="1672"/>
      <c r="C518" s="1432"/>
      <c r="D518" s="1432"/>
      <c r="E518" s="1432"/>
      <c r="F518" s="1432"/>
      <c r="G518" s="1432"/>
      <c r="H518" s="1433"/>
      <c r="I518" t="s">
        <v>416</v>
      </c>
      <c r="AC518" s="1661">
        <v>1</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2.9" customHeight="1" x14ac:dyDescent="0.3">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8</v>
      </c>
      <c r="AD519" s="1662"/>
      <c r="AE519" s="1662"/>
      <c r="AF519" s="1662"/>
      <c r="AG519" s="38" t="s">
        <v>403</v>
      </c>
      <c r="AH519" s="1402">
        <v>2028</v>
      </c>
      <c r="AI519" s="1402"/>
      <c r="AJ519" s="1402"/>
      <c r="AK519" s="1403"/>
      <c r="BB519" s="3"/>
      <c r="BC519" s="3"/>
      <c r="BD519" s="3"/>
      <c r="BE519" s="3"/>
      <c r="BF519" s="3"/>
      <c r="BG519" s="3"/>
      <c r="BH519" s="3"/>
      <c r="BI519" s="3"/>
      <c r="BJ519" s="3"/>
      <c r="BK519" s="3"/>
      <c r="BL519" s="3"/>
      <c r="BM519" s="3"/>
      <c r="BN519" s="3" t="s">
        <v>2113</v>
      </c>
    </row>
    <row r="520" spans="2:66" ht="12.9" customHeight="1" x14ac:dyDescent="0.3">
      <c r="B520" s="1671" t="s">
        <v>419</v>
      </c>
      <c r="C520" s="1430"/>
      <c r="D520" s="1430"/>
      <c r="E520" s="1430"/>
      <c r="F520" s="1430"/>
      <c r="G520" s="1430"/>
      <c r="H520" s="1431"/>
      <c r="I520" s="41" t="s">
        <v>420</v>
      </c>
      <c r="J520" s="42"/>
      <c r="K520" s="42"/>
      <c r="L520" s="42"/>
      <c r="M520" s="42"/>
      <c r="N520" s="42"/>
      <c r="O520" s="1748" t="s">
        <v>2711</v>
      </c>
      <c r="P520" s="1749"/>
      <c r="Q520" s="1749"/>
      <c r="R520" s="1749"/>
      <c r="S520" s="1749"/>
      <c r="T520" s="1749"/>
      <c r="U520" s="1749"/>
      <c r="V520" s="1749"/>
      <c r="W520" s="1749"/>
      <c r="X520" s="1749"/>
      <c r="Y520" s="1749"/>
      <c r="Z520" s="1749"/>
      <c r="AA520" s="1749"/>
      <c r="AB520" s="58"/>
      <c r="AC520" s="1336"/>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2.9" customHeight="1" x14ac:dyDescent="0.3">
      <c r="B521" s="1672"/>
      <c r="C521" s="1432"/>
      <c r="D521" s="1432"/>
      <c r="E521" s="1432"/>
      <c r="F521" s="1432"/>
      <c r="G521" s="1432"/>
      <c r="H521" s="1433"/>
      <c r="I521" s="114" t="s">
        <v>421</v>
      </c>
      <c r="AB521" s="65"/>
      <c r="AC521" s="1661">
        <v>8</v>
      </c>
      <c r="AD521" s="1662"/>
      <c r="AE521" s="1662"/>
      <c r="AF521" s="1662"/>
      <c r="AG521" s="13" t="s">
        <v>403</v>
      </c>
      <c r="AH521" s="1402">
        <v>2024</v>
      </c>
      <c r="AI521" s="1402"/>
      <c r="AJ521" s="1402"/>
      <c r="AK521" s="1403"/>
      <c r="AZ521" s="3"/>
      <c r="BB521" s="3"/>
      <c r="BC521" s="3"/>
      <c r="BD521" s="3"/>
      <c r="BE521" s="3"/>
      <c r="BF521" s="3"/>
      <c r="BG521" s="3"/>
      <c r="BH521" s="3"/>
      <c r="BI521" s="3"/>
      <c r="BJ521" s="3"/>
      <c r="BK521" s="3"/>
      <c r="BL521" s="3"/>
      <c r="BM521" s="3"/>
      <c r="BN521" s="3" t="s">
        <v>2115</v>
      </c>
    </row>
    <row r="522" spans="2:66" ht="12.9" customHeight="1" x14ac:dyDescent="0.3">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10</v>
      </c>
      <c r="AD522" s="1662"/>
      <c r="AE522" s="1662"/>
      <c r="AF522" s="1662"/>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2116</v>
      </c>
    </row>
    <row r="523" spans="2:66" ht="12.9" customHeight="1" x14ac:dyDescent="0.3">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2.9" customHeight="1" x14ac:dyDescent="0.3">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2.9" customHeight="1" x14ac:dyDescent="0.3">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2.9" customHeight="1" x14ac:dyDescent="0.3">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2.9" customHeight="1" x14ac:dyDescent="0.3">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2.9" customHeight="1" x14ac:dyDescent="0.3">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2.9" customHeight="1" x14ac:dyDescent="0.3">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2.9" customHeight="1" x14ac:dyDescent="0.3">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2.9" customHeight="1" x14ac:dyDescent="0.3">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2.9" customHeight="1" x14ac:dyDescent="0.3">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2.9" customHeight="1" x14ac:dyDescent="0.3">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2.9" customHeight="1" x14ac:dyDescent="0.3">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2.9" customHeight="1" x14ac:dyDescent="0.3">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2.9" customHeight="1" x14ac:dyDescent="0.3">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2.9" customHeight="1" x14ac:dyDescent="0.3">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2.9" customHeight="1" x14ac:dyDescent="0.3">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10</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 customHeight="1" x14ac:dyDescent="0.3">
      <c r="B539" s="1672"/>
      <c r="C539" s="1432"/>
      <c r="D539" s="1432"/>
      <c r="E539" s="1432"/>
      <c r="F539" s="1432"/>
      <c r="G539" s="1432"/>
      <c r="H539" s="1433"/>
      <c r="I539" t="s">
        <v>564</v>
      </c>
      <c r="AC539" s="1661">
        <v>10</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 customHeight="1" x14ac:dyDescent="0.3">
      <c r="B540" s="1672"/>
      <c r="C540" s="1432"/>
      <c r="D540" s="1432"/>
      <c r="E540" s="1432"/>
      <c r="F540" s="1432"/>
      <c r="G540" s="1432"/>
      <c r="H540" s="1433"/>
      <c r="I540" t="s">
        <v>565</v>
      </c>
      <c r="AC540" s="1661">
        <v>1</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 customHeight="1" x14ac:dyDescent="0.3">
      <c r="B541" s="1672"/>
      <c r="C541" s="1432"/>
      <c r="D541" s="1432"/>
      <c r="E541" s="1432"/>
      <c r="F541" s="1432"/>
      <c r="G541" s="1432"/>
      <c r="H541" s="1433"/>
      <c r="I541" t="s">
        <v>566</v>
      </c>
      <c r="AC541" s="1661">
        <v>1</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 customHeight="1" x14ac:dyDescent="0.3">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4</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 customHeight="1" x14ac:dyDescent="0.25">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 customHeight="1" x14ac:dyDescent="0.25">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 customHeight="1" x14ac:dyDescent="0.25">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 customHeight="1" x14ac:dyDescent="0.25">
      <c r="BB546" s="3"/>
      <c r="BC546" s="3"/>
      <c r="BD546" s="3"/>
      <c r="BE546" s="3"/>
      <c r="BF546" s="3"/>
      <c r="BG546" s="3"/>
      <c r="BH546" s="3"/>
      <c r="BI546" s="3"/>
    </row>
    <row r="547" spans="1:61" ht="12.9" customHeight="1" x14ac:dyDescent="0.3">
      <c r="A547" s="2" t="s">
        <v>319</v>
      </c>
      <c r="B547" s="2"/>
      <c r="C547" s="2" t="s">
        <v>453</v>
      </c>
      <c r="BB547" s="3"/>
      <c r="BC547" s="3"/>
      <c r="BD547" s="3"/>
      <c r="BE547" s="3"/>
      <c r="BF547" s="3"/>
      <c r="BG547" s="3"/>
      <c r="BH547" s="3"/>
      <c r="BI547" s="3"/>
    </row>
    <row r="548" spans="1:61" ht="12.9" customHeight="1" x14ac:dyDescent="0.3">
      <c r="A548" s="2"/>
      <c r="B548" s="2"/>
      <c r="C548" s="2"/>
      <c r="BB548" s="3"/>
      <c r="BC548" s="3"/>
      <c r="BD548" s="3"/>
      <c r="BE548" s="3"/>
      <c r="BF548" s="3"/>
      <c r="BG548" s="3"/>
      <c r="BH548" s="3"/>
      <c r="BI548" s="3"/>
    </row>
    <row r="549" spans="1:61" ht="12.9" customHeight="1" x14ac:dyDescent="0.3">
      <c r="A549" s="2"/>
      <c r="B549" s="2"/>
      <c r="C549" s="2"/>
      <c r="D549" s="2" t="s">
        <v>2103</v>
      </c>
      <c r="AC549" s="98"/>
      <c r="BB549" s="3"/>
      <c r="BC549" s="3"/>
      <c r="BD549" s="3"/>
      <c r="BE549" s="3"/>
      <c r="BF549" s="3"/>
      <c r="BG549" s="3"/>
      <c r="BH549" s="3"/>
      <c r="BI549" s="3"/>
    </row>
    <row r="550" spans="1:61" ht="12.9" customHeight="1" x14ac:dyDescent="0.3">
      <c r="B550" s="513"/>
      <c r="BB550" s="3"/>
      <c r="BC550" s="3"/>
      <c r="BD550" s="3"/>
      <c r="BE550" s="3"/>
      <c r="BF550" s="3"/>
      <c r="BG550" s="3"/>
      <c r="BH550" s="3" t="s">
        <v>119</v>
      </c>
      <c r="BI550" s="3" t="str">
        <f>N657</f>
        <v>Yes</v>
      </c>
    </row>
    <row r="551" spans="1:61" ht="12.9" customHeight="1" x14ac:dyDescent="0.25">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 customHeight="1" x14ac:dyDescent="0.3">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2.9" customHeight="1" x14ac:dyDescent="0.3">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2.9" customHeight="1" x14ac:dyDescent="0.3">
      <c r="B554" s="51" t="s">
        <v>112</v>
      </c>
      <c r="C554" s="1692" t="s">
        <v>2712</v>
      </c>
      <c r="D554" s="1692"/>
      <c r="E554" s="1692"/>
      <c r="F554" s="1692"/>
      <c r="G554" s="1692"/>
      <c r="H554" s="1692"/>
      <c r="I554" s="1692"/>
      <c r="J554" s="1692"/>
      <c r="K554" s="1692"/>
      <c r="L554" s="1692"/>
      <c r="M554" s="1692" t="s">
        <v>2122</v>
      </c>
      <c r="N554" s="1692"/>
      <c r="O554" s="1692"/>
      <c r="P554" s="1692"/>
      <c r="Q554" s="1452">
        <v>36</v>
      </c>
      <c r="R554" s="1452"/>
      <c r="S554" s="1453"/>
      <c r="T554" s="1451"/>
      <c r="U554" s="1452"/>
      <c r="V554" s="1453"/>
      <c r="W554" s="1454">
        <v>7.2999999999999995E-2</v>
      </c>
      <c r="X554" s="1455"/>
      <c r="Y554" s="1456"/>
      <c r="Z554" s="1693" t="s">
        <v>2715</v>
      </c>
      <c r="AA554" s="1693"/>
      <c r="AB554" s="1693"/>
      <c r="AC554" s="1693"/>
      <c r="AD554" s="1693"/>
      <c r="AE554" s="1674">
        <v>1</v>
      </c>
      <c r="AF554" s="1675"/>
      <c r="AG554" s="1675"/>
      <c r="AH554" s="1676"/>
      <c r="AI554" s="1677"/>
      <c r="AJ554" s="1678"/>
      <c r="AK554" s="1678"/>
      <c r="AL554" s="1679"/>
      <c r="AM554" s="1667">
        <f>40700000</f>
        <v>40700000</v>
      </c>
      <c r="AN554" s="1668"/>
      <c r="AO554" s="1668"/>
      <c r="AP554" s="1668"/>
      <c r="AQ554" s="1668"/>
      <c r="AR554" s="1668"/>
      <c r="AS554" s="1669"/>
      <c r="AT554" s="1150"/>
      <c r="AU554" s="1149"/>
      <c r="BB554" s="3"/>
      <c r="BC554" s="3"/>
      <c r="BD554" s="3"/>
      <c r="BE554" s="3"/>
      <c r="BF554" s="3"/>
      <c r="BG554" s="3"/>
      <c r="BH554" s="3"/>
      <c r="BI554" s="3"/>
    </row>
    <row r="555" spans="1:61" ht="12.9" customHeight="1" x14ac:dyDescent="0.3">
      <c r="B555" s="52" t="s">
        <v>113</v>
      </c>
      <c r="C555" s="1680" t="s">
        <v>2712</v>
      </c>
      <c r="D555" s="1680"/>
      <c r="E555" s="1680"/>
      <c r="F555" s="1680"/>
      <c r="G555" s="1680"/>
      <c r="H555" s="1680"/>
      <c r="I555" s="1680"/>
      <c r="J555" s="1680"/>
      <c r="K555" s="1680"/>
      <c r="L555" s="1680"/>
      <c r="M555" s="1692" t="s">
        <v>2121</v>
      </c>
      <c r="N555" s="1692"/>
      <c r="O555" s="1692"/>
      <c r="P555" s="1692"/>
      <c r="Q555" s="1451">
        <v>36</v>
      </c>
      <c r="R555" s="1452"/>
      <c r="S555" s="1453"/>
      <c r="T555" s="1451"/>
      <c r="U555" s="1452"/>
      <c r="V555" s="1453"/>
      <c r="W555" s="1454">
        <v>7.2999999999999995E-2</v>
      </c>
      <c r="X555" s="1455"/>
      <c r="Y555" s="1456"/>
      <c r="Z555" s="1693" t="s">
        <v>2715</v>
      </c>
      <c r="AA555" s="1693"/>
      <c r="AB555" s="1693"/>
      <c r="AC555" s="1693"/>
      <c r="AD555" s="1693"/>
      <c r="AE555" s="1674">
        <v>1</v>
      </c>
      <c r="AF555" s="1675"/>
      <c r="AG555" s="1675"/>
      <c r="AH555" s="1676"/>
      <c r="AI555" s="1677"/>
      <c r="AJ555" s="1678"/>
      <c r="AK555" s="1678"/>
      <c r="AL555" s="1679"/>
      <c r="AM555" s="1667">
        <v>11070168</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 customHeight="1" x14ac:dyDescent="0.3">
      <c r="B556" s="52" t="s">
        <v>119</v>
      </c>
      <c r="C556" s="1680" t="s">
        <v>2679</v>
      </c>
      <c r="D556" s="1680"/>
      <c r="E556" s="1680"/>
      <c r="F556" s="1680"/>
      <c r="G556" s="1680"/>
      <c r="H556" s="1680"/>
      <c r="I556" s="1680"/>
      <c r="J556" s="1680"/>
      <c r="K556" s="1680"/>
      <c r="L556" s="1680"/>
      <c r="M556" s="1692" t="s">
        <v>2113</v>
      </c>
      <c r="N556" s="1692"/>
      <c r="O556" s="1692"/>
      <c r="P556" s="1692"/>
      <c r="Q556" s="1451"/>
      <c r="R556" s="1452"/>
      <c r="S556" s="1453"/>
      <c r="T556" s="1451"/>
      <c r="U556" s="1452"/>
      <c r="V556" s="1453"/>
      <c r="W556" s="1454"/>
      <c r="X556" s="1455"/>
      <c r="Y556" s="1456"/>
      <c r="Z556" s="1693" t="s">
        <v>592</v>
      </c>
      <c r="AA556" s="1693"/>
      <c r="AB556" s="1693"/>
      <c r="AC556" s="1693"/>
      <c r="AD556" s="1693"/>
      <c r="AE556" s="1674"/>
      <c r="AF556" s="1675"/>
      <c r="AG556" s="1675"/>
      <c r="AH556" s="1676"/>
      <c r="AI556" s="1677"/>
      <c r="AJ556" s="1678"/>
      <c r="AK556" s="1678"/>
      <c r="AL556" s="1679"/>
      <c r="AM556" s="1667">
        <v>10600000</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 customHeight="1" x14ac:dyDescent="0.3">
      <c r="B557" s="52" t="s">
        <v>582</v>
      </c>
      <c r="C557" s="1680" t="s">
        <v>2713</v>
      </c>
      <c r="D557" s="1680"/>
      <c r="E557" s="1680"/>
      <c r="F557" s="1680"/>
      <c r="G557" s="1680"/>
      <c r="H557" s="1680"/>
      <c r="I557" s="1680"/>
      <c r="J557" s="1680"/>
      <c r="K557" s="1680"/>
      <c r="L557" s="1680"/>
      <c r="M557" s="1692" t="s">
        <v>2125</v>
      </c>
      <c r="N557" s="1692"/>
      <c r="O557" s="1692"/>
      <c r="P557" s="1692"/>
      <c r="Q557" s="1451"/>
      <c r="R557" s="1452"/>
      <c r="S557" s="1453"/>
      <c r="T557" s="1451"/>
      <c r="U557" s="1452"/>
      <c r="V557" s="1453"/>
      <c r="W557" s="1454"/>
      <c r="X557" s="1455"/>
      <c r="Y557" s="1456"/>
      <c r="Z557" s="1693" t="s">
        <v>592</v>
      </c>
      <c r="AA557" s="1693"/>
      <c r="AB557" s="1693"/>
      <c r="AC557" s="1693"/>
      <c r="AD557" s="1693"/>
      <c r="AE557" s="1674"/>
      <c r="AF557" s="1675"/>
      <c r="AG557" s="1675"/>
      <c r="AH557" s="1676"/>
      <c r="AI557" s="1677"/>
      <c r="AJ557" s="1678"/>
      <c r="AK557" s="1678"/>
      <c r="AL557" s="1679"/>
      <c r="AM557" s="1667">
        <v>5958750</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 customHeight="1" x14ac:dyDescent="0.3">
      <c r="B558" s="52" t="s">
        <v>764</v>
      </c>
      <c r="C558" s="1680" t="s">
        <v>2767</v>
      </c>
      <c r="D558" s="1680"/>
      <c r="E558" s="1680"/>
      <c r="F558" s="1680"/>
      <c r="G558" s="1680"/>
      <c r="H558" s="1680"/>
      <c r="I558" s="1680"/>
      <c r="J558" s="1680"/>
      <c r="K558" s="1680"/>
      <c r="L558" s="1680"/>
      <c r="M558" s="1692" t="s">
        <v>2108</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8211074</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No</v>
      </c>
    </row>
    <row r="559" spans="1:61" ht="12.9" customHeight="1" x14ac:dyDescent="0.3">
      <c r="B559" s="52" t="s">
        <v>585</v>
      </c>
      <c r="C559" s="1680" t="s">
        <v>2714</v>
      </c>
      <c r="D559" s="1680"/>
      <c r="E559" s="1680"/>
      <c r="F559" s="1680"/>
      <c r="G559" s="1680"/>
      <c r="H559" s="1680"/>
      <c r="I559" s="1680"/>
      <c r="J559" s="1680"/>
      <c r="K559" s="1680"/>
      <c r="L559" s="1680"/>
      <c r="M559" s="1692" t="s">
        <v>2125</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v>517775</v>
      </c>
      <c r="AN559" s="1668"/>
      <c r="AO559" s="1668"/>
      <c r="AP559" s="1668"/>
      <c r="AQ559" s="1668"/>
      <c r="AR559" s="1668"/>
      <c r="AS559" s="1669"/>
      <c r="AT559" s="1150" t="str">
        <f t="shared" si="0"/>
        <v/>
      </c>
      <c r="AU559" s="1149"/>
      <c r="BB559" s="3"/>
      <c r="BC559" s="3"/>
      <c r="BD559" s="3"/>
      <c r="BE559" s="3"/>
      <c r="BF559" s="3"/>
      <c r="BG559" s="3"/>
      <c r="BH559" s="3" t="s">
        <v>585</v>
      </c>
      <c r="BI559" s="3" t="str">
        <f>AG665</f>
        <v>No</v>
      </c>
    </row>
    <row r="560" spans="1:61" ht="12.9" customHeight="1" x14ac:dyDescent="0.3">
      <c r="B560" s="52" t="s">
        <v>456</v>
      </c>
      <c r="C560" s="1680"/>
      <c r="D560" s="1680"/>
      <c r="E560" s="1680"/>
      <c r="F560" s="1680"/>
      <c r="G560" s="1680"/>
      <c r="H560" s="1680"/>
      <c r="I560" s="1680"/>
      <c r="J560" s="1680"/>
      <c r="K560" s="1680"/>
      <c r="L560" s="1680"/>
      <c r="M560" s="1692" t="s">
        <v>1185</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c r="AN560" s="1668"/>
      <c r="AO560" s="1668"/>
      <c r="AP560" s="1668"/>
      <c r="AQ560" s="1668"/>
      <c r="AR560" s="1668"/>
      <c r="AS560" s="1669"/>
      <c r="AT560" s="1150" t="str">
        <f t="shared" si="0"/>
        <v/>
      </c>
      <c r="AU560" s="1149"/>
      <c r="BB560" s="3"/>
      <c r="BC560" s="3"/>
      <c r="BD560" s="3"/>
      <c r="BE560" s="3"/>
      <c r="BF560" s="3"/>
      <c r="BG560" s="3"/>
      <c r="BH560" s="3"/>
      <c r="BI560" s="3"/>
    </row>
    <row r="561" spans="1:61" ht="12.9" customHeight="1" x14ac:dyDescent="0.3">
      <c r="B561" s="52" t="s">
        <v>457</v>
      </c>
      <c r="C561" s="1680"/>
      <c r="D561" s="1680"/>
      <c r="E561" s="1680"/>
      <c r="F561" s="1680"/>
      <c r="G561" s="1680"/>
      <c r="H561" s="1680"/>
      <c r="I561" s="1680"/>
      <c r="J561" s="1680"/>
      <c r="K561" s="1680"/>
      <c r="L561" s="1680"/>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50" t="str">
        <f t="shared" si="0"/>
        <v/>
      </c>
      <c r="AU561" s="1149"/>
      <c r="BB561" s="3"/>
      <c r="BC561" s="3"/>
      <c r="BD561" s="3"/>
      <c r="BE561" s="3"/>
      <c r="BF561" s="3"/>
      <c r="BG561" s="3"/>
      <c r="BH561" s="3"/>
      <c r="BI561" s="3"/>
    </row>
    <row r="562" spans="1:61" ht="12.9" customHeight="1" x14ac:dyDescent="0.3">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2.9" customHeight="1" x14ac:dyDescent="0.3">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2.9" customHeight="1" x14ac:dyDescent="0.3">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2.9" customHeight="1" x14ac:dyDescent="0.3">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2.9" customHeight="1" x14ac:dyDescent="0.3">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3">
        <f>SUM(AM554:AS565)</f>
        <v>77057767</v>
      </c>
      <c r="AN566" s="1614"/>
      <c r="AO566" s="1614"/>
      <c r="AP566" s="1614"/>
      <c r="AQ566" s="1614"/>
      <c r="AR566" s="1614"/>
      <c r="AS566" s="1615"/>
      <c r="BB566" s="3"/>
      <c r="BC566" s="3"/>
      <c r="BD566" s="3"/>
      <c r="BE566" s="3"/>
      <c r="BF566" s="3"/>
      <c r="BG566" s="3"/>
      <c r="BH566" s="3" t="s">
        <v>456</v>
      </c>
      <c r="BI566" s="3" t="str">
        <f>N673</f>
        <v>No</v>
      </c>
    </row>
    <row r="567" spans="1:61" ht="12.9" customHeight="1" x14ac:dyDescent="0.3">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x14ac:dyDescent="0.25">
      <c r="A568" s="55" t="s">
        <v>112</v>
      </c>
      <c r="B568" t="s">
        <v>464</v>
      </c>
      <c r="G568" s="1357" t="str">
        <f>C554</f>
        <v>Citibank,N.A.</v>
      </c>
      <c r="H568" s="1357"/>
      <c r="I568" s="1357"/>
      <c r="J568" s="1357"/>
      <c r="K568" s="1357"/>
      <c r="L568" s="1357"/>
      <c r="M568" s="1357"/>
      <c r="N568" s="1357"/>
      <c r="O568" s="1357"/>
      <c r="P568" s="1357"/>
      <c r="Q568" s="1357"/>
      <c r="R568" s="1357"/>
      <c r="S568" s="8"/>
      <c r="T568" s="55" t="s">
        <v>113</v>
      </c>
      <c r="U568" t="s">
        <v>464</v>
      </c>
      <c r="Z568" s="1357" t="str">
        <f>C555</f>
        <v>Citibank,N.A.</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 customHeight="1" x14ac:dyDescent="0.25">
      <c r="A569" s="22"/>
      <c r="B569" t="s">
        <v>85</v>
      </c>
      <c r="G569" s="1371" t="s">
        <v>2716</v>
      </c>
      <c r="H569" s="1371"/>
      <c r="I569" s="1371"/>
      <c r="J569" s="1371"/>
      <c r="K569" s="1371"/>
      <c r="L569" s="1371"/>
      <c r="M569" s="1371"/>
      <c r="N569" s="1371"/>
      <c r="O569" s="1371"/>
      <c r="P569" s="1371"/>
      <c r="Q569" s="1371"/>
      <c r="R569" s="1371"/>
      <c r="S569" s="8"/>
      <c r="T569" s="22"/>
      <c r="U569" t="s">
        <v>85</v>
      </c>
      <c r="Z569" s="1371" t="s">
        <v>2716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 customHeight="1" x14ac:dyDescent="0.25">
      <c r="A570" s="22"/>
      <c r="B570" t="s">
        <v>581</v>
      </c>
      <c r="G570" s="1371" t="s">
        <v>2717</v>
      </c>
      <c r="H570" s="1371"/>
      <c r="I570" s="1371"/>
      <c r="J570" s="1371"/>
      <c r="K570" s="1371"/>
      <c r="L570" s="1371"/>
      <c r="M570" s="1371"/>
      <c r="N570" s="1371"/>
      <c r="O570" s="1371"/>
      <c r="P570" s="1371"/>
      <c r="Q570" s="1371"/>
      <c r="R570" s="1371"/>
      <c r="T570" s="22"/>
      <c r="U570" t="s">
        <v>581</v>
      </c>
      <c r="Z570" s="1347" t="s">
        <v>2717</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 customHeight="1" x14ac:dyDescent="0.25">
      <c r="A571" s="22"/>
      <c r="B571" t="s">
        <v>17</v>
      </c>
      <c r="G571" s="1371" t="s">
        <v>2718</v>
      </c>
      <c r="H571" s="1371"/>
      <c r="I571" s="1371"/>
      <c r="J571" s="1371"/>
      <c r="K571" s="1371"/>
      <c r="L571" s="1371"/>
      <c r="M571" s="1371"/>
      <c r="N571" s="1371"/>
      <c r="O571" s="1371"/>
      <c r="P571" s="1371"/>
      <c r="Q571" s="1371"/>
      <c r="R571" s="1371"/>
      <c r="S571" s="8"/>
      <c r="T571" s="22"/>
      <c r="U571" t="s">
        <v>17</v>
      </c>
      <c r="Z571" s="1347" t="s">
        <v>2718</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 customHeight="1" x14ac:dyDescent="0.25">
      <c r="A572" s="22"/>
      <c r="B572" t="s">
        <v>316</v>
      </c>
      <c r="G572" s="1345" t="s">
        <v>2719</v>
      </c>
      <c r="H572" s="1345"/>
      <c r="I572" s="1345"/>
      <c r="J572" s="1345"/>
      <c r="K572" s="1345"/>
      <c r="L572" s="1345"/>
      <c r="O572" s="33" t="s">
        <v>206</v>
      </c>
      <c r="P572" s="1436"/>
      <c r="Q572" s="1436"/>
      <c r="R572" s="1436"/>
      <c r="S572" s="10"/>
      <c r="T572" s="22"/>
      <c r="U572" t="s">
        <v>316</v>
      </c>
      <c r="Z572" s="1370" t="s">
        <v>2719</v>
      </c>
      <c r="AA572" s="1345"/>
      <c r="AB572" s="1345"/>
      <c r="AC572" s="1345"/>
      <c r="AD572" s="1345"/>
      <c r="AE572" s="1345"/>
      <c r="AH572" s="33" t="s">
        <v>206</v>
      </c>
      <c r="AI572" s="1436"/>
      <c r="AJ572" s="1436"/>
      <c r="AK572" s="1436"/>
      <c r="BB572" s="3"/>
      <c r="BC572" s="3"/>
      <c r="BD572" s="3"/>
      <c r="BE572" s="3"/>
      <c r="BF572" s="3"/>
      <c r="BG572" s="3"/>
      <c r="BH572" s="3"/>
      <c r="BI572" s="3"/>
    </row>
    <row r="573" spans="1:61" ht="12.9" customHeight="1" x14ac:dyDescent="0.25">
      <c r="A573" s="22"/>
      <c r="B573" t="s">
        <v>18</v>
      </c>
      <c r="H573" s="1371" t="s">
        <v>2720</v>
      </c>
      <c r="I573" s="1371"/>
      <c r="J573" s="1371"/>
      <c r="K573" s="1371"/>
      <c r="L573" s="1371"/>
      <c r="M573" s="1371"/>
      <c r="N573" s="1371"/>
      <c r="O573" s="1371"/>
      <c r="P573" s="1371"/>
      <c r="Q573" s="1371"/>
      <c r="R573" s="1371"/>
      <c r="S573" s="8"/>
      <c r="T573" s="22"/>
      <c r="U573" t="s">
        <v>18</v>
      </c>
      <c r="AA573" s="1371" t="s">
        <v>2721</v>
      </c>
      <c r="AB573" s="1371"/>
      <c r="AC573" s="1371"/>
      <c r="AD573" s="1371"/>
      <c r="AE573" s="1371"/>
      <c r="AF573" s="1371"/>
      <c r="AG573" s="1371"/>
      <c r="AH573" s="1371"/>
      <c r="AI573" s="1371"/>
      <c r="AJ573" s="1371"/>
      <c r="AK573" s="1371"/>
      <c r="BB573" s="3"/>
      <c r="BC573" s="3"/>
      <c r="BD573" s="3"/>
      <c r="BE573" s="3"/>
      <c r="BF573" s="3"/>
      <c r="BG573" s="3"/>
      <c r="BH573" s="3"/>
      <c r="BI573" s="3"/>
    </row>
    <row r="574" spans="1:61" ht="12.9" customHeight="1" x14ac:dyDescent="0.25">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2.9" customHeight="1" x14ac:dyDescent="0.25">
      <c r="A575" s="22"/>
      <c r="B575" t="s">
        <v>20</v>
      </c>
      <c r="N575" s="1331" t="s">
        <v>546</v>
      </c>
      <c r="O575" s="1331"/>
      <c r="T575" s="22"/>
      <c r="U575" t="s">
        <v>20</v>
      </c>
      <c r="AG575" s="1331" t="s">
        <v>546</v>
      </c>
      <c r="AH575" s="1331"/>
      <c r="BB575" s="3"/>
      <c r="BC575" s="3"/>
      <c r="BD575" s="3"/>
      <c r="BE575" s="3"/>
      <c r="BF575" s="3"/>
      <c r="BG575" s="3"/>
      <c r="BH575" s="3"/>
      <c r="BI575" s="3"/>
    </row>
    <row r="576" spans="1:61" ht="12.9" customHeight="1" x14ac:dyDescent="0.25">
      <c r="A576" s="22"/>
      <c r="T576" s="22"/>
      <c r="BB576" s="3"/>
      <c r="BC576" s="3"/>
      <c r="BD576" s="3"/>
      <c r="BE576" s="3"/>
      <c r="BF576" s="3"/>
      <c r="BG576" s="3"/>
      <c r="BH576" s="3"/>
      <c r="BI576" s="3"/>
    </row>
    <row r="577" spans="1:55" ht="12.9" customHeight="1" x14ac:dyDescent="0.25">
      <c r="A577" s="55" t="s">
        <v>119</v>
      </c>
      <c r="B577" t="s">
        <v>464</v>
      </c>
      <c r="G577" s="1357" t="str">
        <f>C556</f>
        <v>CREA LLC</v>
      </c>
      <c r="H577" s="1357"/>
      <c r="I577" s="1357"/>
      <c r="J577" s="1357"/>
      <c r="K577" s="1357"/>
      <c r="L577" s="1357"/>
      <c r="M577" s="1357"/>
      <c r="N577" s="1357"/>
      <c r="O577" s="1357"/>
      <c r="P577" s="1357"/>
      <c r="Q577" s="1357"/>
      <c r="R577" s="1357"/>
      <c r="T577" s="55" t="s">
        <v>582</v>
      </c>
      <c r="U577" t="s">
        <v>464</v>
      </c>
      <c r="Z577" s="1357" t="str">
        <f>C557</f>
        <v>Philanthropic Funds (WLAVC)</v>
      </c>
      <c r="AA577" s="1357"/>
      <c r="AB577" s="1357"/>
      <c r="AC577" s="1357"/>
      <c r="AD577" s="1357"/>
      <c r="AE577" s="1357"/>
      <c r="AF577" s="1357"/>
      <c r="AG577" s="1357"/>
      <c r="AH577" s="1357"/>
      <c r="AI577" s="1357"/>
      <c r="AJ577" s="1357"/>
      <c r="AK577" s="1357"/>
      <c r="BB577" s="3"/>
      <c r="BC577" s="3"/>
    </row>
    <row r="578" spans="1:55" ht="12.9" customHeight="1" x14ac:dyDescent="0.25">
      <c r="A578" s="22"/>
      <c r="B578" t="s">
        <v>85</v>
      </c>
      <c r="G578" s="1371" t="s">
        <v>2722</v>
      </c>
      <c r="H578" s="1371"/>
      <c r="I578" s="1371"/>
      <c r="J578" s="1371"/>
      <c r="K578" s="1371"/>
      <c r="L578" s="1371"/>
      <c r="M578" s="1371"/>
      <c r="N578" s="1371"/>
      <c r="O578" s="1371"/>
      <c r="P578" s="1371"/>
      <c r="Q578" s="1371"/>
      <c r="R578" s="1371"/>
      <c r="T578" s="22"/>
      <c r="U578" t="s">
        <v>85</v>
      </c>
      <c r="Z578" s="1371" t="s">
        <v>2727</v>
      </c>
      <c r="AA578" s="1371"/>
      <c r="AB578" s="1371"/>
      <c r="AC578" s="1371"/>
      <c r="AD578" s="1371"/>
      <c r="AE578" s="1371"/>
      <c r="AF578" s="1371"/>
      <c r="AG578" s="1371"/>
      <c r="AH578" s="1371"/>
      <c r="AI578" s="1371"/>
      <c r="AJ578" s="1371"/>
      <c r="AK578" s="1371"/>
      <c r="BB578" s="3"/>
      <c r="BC578" s="3"/>
    </row>
    <row r="579" spans="1:55" ht="12.9" customHeight="1" x14ac:dyDescent="0.25">
      <c r="A579" s="22"/>
      <c r="B579" t="s">
        <v>581</v>
      </c>
      <c r="G579" s="1347" t="s">
        <v>2723</v>
      </c>
      <c r="H579" s="1347"/>
      <c r="I579" s="1347"/>
      <c r="J579" s="1347"/>
      <c r="K579" s="1347"/>
      <c r="L579" s="1347"/>
      <c r="M579" s="1347"/>
      <c r="N579" s="1347"/>
      <c r="O579" s="1347"/>
      <c r="P579" s="1347"/>
      <c r="Q579" s="1347"/>
      <c r="R579" s="1347"/>
      <c r="T579" s="22"/>
      <c r="U579" t="s">
        <v>581</v>
      </c>
      <c r="Z579" s="1347" t="s">
        <v>2728</v>
      </c>
      <c r="AA579" s="1347"/>
      <c r="AB579" s="1347"/>
      <c r="AC579" s="1347"/>
      <c r="AD579" s="1347"/>
      <c r="AE579" s="1347"/>
      <c r="AF579" s="1347"/>
      <c r="AG579" s="1347"/>
      <c r="AH579" s="1347"/>
      <c r="AI579" s="1347"/>
      <c r="AJ579" s="1347"/>
      <c r="AK579" s="1347"/>
      <c r="BB579" s="3"/>
      <c r="BC579" s="3"/>
    </row>
    <row r="580" spans="1:55" ht="12.9" customHeight="1" x14ac:dyDescent="0.25">
      <c r="A580" s="22"/>
      <c r="B580" t="s">
        <v>17</v>
      </c>
      <c r="G580" s="1347" t="s">
        <v>2724</v>
      </c>
      <c r="H580" s="1347"/>
      <c r="I580" s="1347"/>
      <c r="J580" s="1347"/>
      <c r="K580" s="1347"/>
      <c r="L580" s="1347"/>
      <c r="M580" s="1347"/>
      <c r="N580" s="1347"/>
      <c r="O580" s="1347"/>
      <c r="P580" s="1347"/>
      <c r="Q580" s="1347"/>
      <c r="R580" s="1347"/>
      <c r="T580" s="22"/>
      <c r="U580" t="s">
        <v>17</v>
      </c>
      <c r="Z580" s="1545" t="s">
        <v>2769</v>
      </c>
      <c r="AA580" s="1347"/>
      <c r="AB580" s="1347"/>
      <c r="AC580" s="1347"/>
      <c r="AD580" s="1347"/>
      <c r="AE580" s="1347"/>
      <c r="AF580" s="1347"/>
      <c r="AG580" s="1347"/>
      <c r="AH580" s="1347"/>
      <c r="AI580" s="1347"/>
      <c r="AJ580" s="1347"/>
      <c r="AK580" s="1347"/>
      <c r="BB580" s="3"/>
      <c r="BC580" s="3"/>
    </row>
    <row r="581" spans="1:55" ht="12.9" customHeight="1" x14ac:dyDescent="0.25">
      <c r="A581" s="22"/>
      <c r="B581" t="s">
        <v>316</v>
      </c>
      <c r="G581" s="1345" t="s">
        <v>2725</v>
      </c>
      <c r="H581" s="1345"/>
      <c r="I581" s="1345"/>
      <c r="J581" s="1345"/>
      <c r="K581" s="1345"/>
      <c r="L581" s="1345"/>
      <c r="O581" s="33" t="s">
        <v>206</v>
      </c>
      <c r="P581" s="1436"/>
      <c r="Q581" s="1436"/>
      <c r="R581" s="1436"/>
      <c r="T581" s="22"/>
      <c r="U581" t="s">
        <v>316</v>
      </c>
      <c r="Z581" s="1370" t="s">
        <v>2770</v>
      </c>
      <c r="AA581" s="1345"/>
      <c r="AB581" s="1345"/>
      <c r="AC581" s="1345"/>
      <c r="AD581" s="1345"/>
      <c r="AE581" s="1345"/>
      <c r="AH581" s="33" t="s">
        <v>206</v>
      </c>
      <c r="AI581" s="1436"/>
      <c r="AJ581" s="1436"/>
      <c r="AK581" s="1436"/>
      <c r="BB581" s="3"/>
      <c r="BC581" s="3"/>
    </row>
    <row r="582" spans="1:55" ht="12.9" customHeight="1" x14ac:dyDescent="0.25">
      <c r="A582" s="22"/>
      <c r="B582" t="s">
        <v>18</v>
      </c>
      <c r="H582" s="1371" t="s">
        <v>2726</v>
      </c>
      <c r="I582" s="1371"/>
      <c r="J582" s="1371"/>
      <c r="K582" s="1371"/>
      <c r="L582" s="1371"/>
      <c r="M582" s="1371"/>
      <c r="N582" s="1371"/>
      <c r="O582" s="1371"/>
      <c r="P582" s="1371"/>
      <c r="Q582" s="1371"/>
      <c r="R582" s="1371"/>
      <c r="T582" s="22"/>
      <c r="U582" t="s">
        <v>18</v>
      </c>
      <c r="AA582" s="1371" t="s">
        <v>2729</v>
      </c>
      <c r="AB582" s="1371"/>
      <c r="AC582" s="1371"/>
      <c r="AD582" s="1371"/>
      <c r="AE582" s="1371"/>
      <c r="AF582" s="1371"/>
      <c r="AG582" s="1371"/>
      <c r="AH582" s="1371"/>
      <c r="AI582" s="1371"/>
      <c r="AJ582" s="1371"/>
      <c r="AK582" s="1371"/>
      <c r="BB582" s="3"/>
      <c r="BC582" s="3"/>
    </row>
    <row r="583" spans="1:55" ht="12.9" customHeight="1" x14ac:dyDescent="0.25">
      <c r="A583" s="22"/>
      <c r="B583" t="s">
        <v>20</v>
      </c>
      <c r="N583" s="1331" t="s">
        <v>546</v>
      </c>
      <c r="O583" s="1331"/>
      <c r="T583" s="22"/>
      <c r="U583" t="s">
        <v>20</v>
      </c>
      <c r="AG583" s="1331" t="s">
        <v>546</v>
      </c>
      <c r="AH583" s="1331"/>
      <c r="BB583" s="3"/>
      <c r="BC583" s="3"/>
    </row>
    <row r="584" spans="1:55" ht="12.9" customHeight="1" x14ac:dyDescent="0.25">
      <c r="A584" s="22"/>
      <c r="T584" s="22"/>
      <c r="BB584" s="3"/>
      <c r="BC584" s="3"/>
    </row>
    <row r="585" spans="1:55" ht="12.9" customHeight="1" x14ac:dyDescent="0.25">
      <c r="A585" s="55" t="s">
        <v>764</v>
      </c>
      <c r="B585" t="s">
        <v>464</v>
      </c>
      <c r="G585" s="1357" t="str">
        <f>C558</f>
        <v>Deferred Developer Fees and Costs</v>
      </c>
      <c r="H585" s="1357"/>
      <c r="I585" s="1357"/>
      <c r="J585" s="1357"/>
      <c r="K585" s="1357"/>
      <c r="L585" s="1357"/>
      <c r="M585" s="1357"/>
      <c r="N585" s="1357"/>
      <c r="O585" s="1357"/>
      <c r="P585" s="1357"/>
      <c r="Q585" s="1357"/>
      <c r="R585" s="1357"/>
      <c r="T585" s="55" t="s">
        <v>585</v>
      </c>
      <c r="U585" t="s">
        <v>464</v>
      </c>
      <c r="Z585" s="1357" t="str">
        <f>C559</f>
        <v>Deferred Reserves</v>
      </c>
      <c r="AA585" s="1357"/>
      <c r="AB585" s="1357"/>
      <c r="AC585" s="1357"/>
      <c r="AD585" s="1357"/>
      <c r="AE585" s="1357"/>
      <c r="AF585" s="1357"/>
      <c r="AG585" s="1357"/>
      <c r="AH585" s="1357"/>
      <c r="AI585" s="1357"/>
      <c r="AJ585" s="1357"/>
      <c r="AK585" s="1357"/>
      <c r="BB585" s="3"/>
      <c r="BC585" s="3"/>
    </row>
    <row r="586" spans="1:55" ht="12.9" customHeight="1" x14ac:dyDescent="0.25">
      <c r="A586" s="22"/>
      <c r="B586" t="s">
        <v>85</v>
      </c>
      <c r="G586" s="1371" t="s">
        <v>2648</v>
      </c>
      <c r="H586" s="1371"/>
      <c r="I586" s="1371"/>
      <c r="J586" s="1371"/>
      <c r="K586" s="1371"/>
      <c r="L586" s="1371"/>
      <c r="M586" s="1371"/>
      <c r="N586" s="1371"/>
      <c r="O586" s="1371"/>
      <c r="P586" s="1371"/>
      <c r="Q586" s="1371"/>
      <c r="R586" s="1371"/>
      <c r="T586" s="22"/>
      <c r="U586" t="s">
        <v>85</v>
      </c>
      <c r="Z586" s="1371" t="s">
        <v>2648</v>
      </c>
      <c r="AA586" s="1371"/>
      <c r="AB586" s="1371"/>
      <c r="AC586" s="1371"/>
      <c r="AD586" s="1371"/>
      <c r="AE586" s="1371"/>
      <c r="AF586" s="1371"/>
      <c r="AG586" s="1371"/>
      <c r="AH586" s="1371"/>
      <c r="AI586" s="1371"/>
      <c r="AJ586" s="1371"/>
      <c r="AK586" s="1371"/>
      <c r="BB586" s="3"/>
      <c r="BC586" s="3"/>
    </row>
    <row r="587" spans="1:55" ht="12.9" customHeight="1" x14ac:dyDescent="0.25">
      <c r="A587" s="22"/>
      <c r="B587" t="s">
        <v>581</v>
      </c>
      <c r="G587" s="1371" t="s">
        <v>2731</v>
      </c>
      <c r="H587" s="1371"/>
      <c r="I587" s="1371"/>
      <c r="J587" s="1371"/>
      <c r="K587" s="1371"/>
      <c r="L587" s="1371"/>
      <c r="M587" s="1371"/>
      <c r="N587" s="1371"/>
      <c r="O587" s="1371"/>
      <c r="P587" s="1371"/>
      <c r="Q587" s="1371"/>
      <c r="R587" s="1371"/>
      <c r="T587" s="22"/>
      <c r="U587" t="s">
        <v>581</v>
      </c>
      <c r="Z587" s="1347" t="s">
        <v>2731</v>
      </c>
      <c r="AA587" s="1347"/>
      <c r="AB587" s="1347"/>
      <c r="AC587" s="1347"/>
      <c r="AD587" s="1347"/>
      <c r="AE587" s="1347"/>
      <c r="AF587" s="1347"/>
      <c r="AG587" s="1347"/>
      <c r="AH587" s="1347"/>
      <c r="AI587" s="1347"/>
      <c r="AJ587" s="1347"/>
      <c r="AK587" s="1347"/>
      <c r="BB587" s="3"/>
      <c r="BC587" s="3"/>
    </row>
    <row r="588" spans="1:55" ht="12.9" customHeight="1" x14ac:dyDescent="0.25">
      <c r="A588" s="22"/>
      <c r="B588" t="s">
        <v>17</v>
      </c>
      <c r="G588" s="1371" t="s">
        <v>2626</v>
      </c>
      <c r="H588" s="1371"/>
      <c r="I588" s="1371"/>
      <c r="J588" s="1371"/>
      <c r="K588" s="1371"/>
      <c r="L588" s="1371"/>
      <c r="M588" s="1371"/>
      <c r="N588" s="1371"/>
      <c r="O588" s="1371"/>
      <c r="P588" s="1371"/>
      <c r="Q588" s="1371"/>
      <c r="R588" s="1371"/>
      <c r="T588" s="22"/>
      <c r="U588" t="s">
        <v>17</v>
      </c>
      <c r="Z588" s="1347" t="s">
        <v>2626</v>
      </c>
      <c r="AA588" s="1347"/>
      <c r="AB588" s="1347"/>
      <c r="AC588" s="1347"/>
      <c r="AD588" s="1347"/>
      <c r="AE588" s="1347"/>
      <c r="AF588" s="1347"/>
      <c r="AG588" s="1347"/>
      <c r="AH588" s="1347"/>
      <c r="AI588" s="1347"/>
      <c r="AJ588" s="1347"/>
      <c r="AK588" s="1347"/>
    </row>
    <row r="589" spans="1:55" ht="12.9" customHeight="1" x14ac:dyDescent="0.25">
      <c r="A589" s="22"/>
      <c r="B589" t="s">
        <v>316</v>
      </c>
      <c r="G589" s="1345" t="s">
        <v>2627</v>
      </c>
      <c r="H589" s="1345"/>
      <c r="I589" s="1345"/>
      <c r="J589" s="1345"/>
      <c r="K589" s="1345"/>
      <c r="L589" s="1345"/>
      <c r="O589" s="33" t="s">
        <v>206</v>
      </c>
      <c r="P589" s="1436"/>
      <c r="Q589" s="1436"/>
      <c r="R589" s="1436"/>
      <c r="T589" s="22"/>
      <c r="U589" t="s">
        <v>316</v>
      </c>
      <c r="Z589" s="1345" t="s">
        <v>2627</v>
      </c>
      <c r="AA589" s="1345"/>
      <c r="AB589" s="1345"/>
      <c r="AC589" s="1345"/>
      <c r="AD589" s="1345"/>
      <c r="AE589" s="1345"/>
      <c r="AH589" s="33" t="s">
        <v>206</v>
      </c>
      <c r="AI589" s="1436"/>
      <c r="AJ589" s="1436"/>
      <c r="AK589" s="1436"/>
      <c r="AZ589" s="3"/>
      <c r="BA589" s="3"/>
      <c r="BB589" s="3"/>
      <c r="BC589" s="3"/>
    </row>
    <row r="590" spans="1:55" ht="12.9" customHeight="1" x14ac:dyDescent="0.25">
      <c r="A590" s="22"/>
      <c r="B590" t="s">
        <v>18</v>
      </c>
      <c r="H590" s="1371" t="s">
        <v>2768</v>
      </c>
      <c r="I590" s="1371"/>
      <c r="J590" s="1371"/>
      <c r="K590" s="1371"/>
      <c r="L590" s="1371"/>
      <c r="M590" s="1371"/>
      <c r="N590" s="1371"/>
      <c r="O590" s="1371"/>
      <c r="P590" s="1371"/>
      <c r="Q590" s="1371"/>
      <c r="R590" s="1371"/>
      <c r="T590" s="22"/>
      <c r="U590" t="s">
        <v>18</v>
      </c>
      <c r="AA590" s="1371" t="s">
        <v>2714</v>
      </c>
      <c r="AB590" s="1371"/>
      <c r="AC590" s="1371"/>
      <c r="AD590" s="1371"/>
      <c r="AE590" s="1371"/>
      <c r="AF590" s="1371"/>
      <c r="AG590" s="1371"/>
      <c r="AH590" s="1371"/>
      <c r="AI590" s="1371"/>
      <c r="AJ590" s="1371"/>
      <c r="AK590" s="1371"/>
      <c r="AZ590" s="3"/>
      <c r="BA590" s="3"/>
      <c r="BB590" s="3"/>
      <c r="BC590" s="3"/>
    </row>
    <row r="591" spans="1:55" ht="12.9" customHeight="1" x14ac:dyDescent="0.25">
      <c r="A591" s="22"/>
      <c r="B591" t="s">
        <v>20</v>
      </c>
      <c r="N591" s="1331" t="s">
        <v>546</v>
      </c>
      <c r="O591" s="1331"/>
      <c r="T591" s="22"/>
      <c r="U591" t="s">
        <v>20</v>
      </c>
      <c r="AG591" s="1331" t="s">
        <v>546</v>
      </c>
      <c r="AH591" s="1331"/>
      <c r="AZ591" s="3"/>
      <c r="BA591" s="3"/>
      <c r="BB591" s="3"/>
      <c r="BC591" s="3"/>
    </row>
    <row r="592" spans="1:55" ht="12.9" customHeight="1" x14ac:dyDescent="0.25">
      <c r="A592" s="22"/>
      <c r="T592" s="22"/>
      <c r="AZ592" s="3"/>
      <c r="BA592" s="3"/>
      <c r="BB592" s="3"/>
      <c r="BC592" s="3"/>
    </row>
    <row r="593" spans="1:55" ht="12.9" customHeight="1" x14ac:dyDescent="0.25">
      <c r="A593" s="55" t="s">
        <v>456</v>
      </c>
      <c r="B593" t="s">
        <v>464</v>
      </c>
      <c r="G593" s="1357">
        <f>C560</f>
        <v>0</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 customHeight="1" x14ac:dyDescent="0.25">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 customHeight="1" x14ac:dyDescent="0.25">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 customHeight="1" x14ac:dyDescent="0.25">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 customHeight="1" x14ac:dyDescent="0.25">
      <c r="A597" s="22"/>
      <c r="B597" t="s">
        <v>316</v>
      </c>
      <c r="C597"/>
      <c r="D597"/>
      <c r="E597"/>
      <c r="F597"/>
      <c r="G597" s="1345"/>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 customHeight="1" x14ac:dyDescent="0.25">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 customHeight="1" x14ac:dyDescent="0.25">
      <c r="A599" s="22"/>
      <c r="B599" t="s">
        <v>20</v>
      </c>
      <c r="N599" s="1331" t="s">
        <v>670</v>
      </c>
      <c r="O599" s="1331"/>
      <c r="T599" s="22"/>
      <c r="U599" t="s">
        <v>20</v>
      </c>
      <c r="AG599" s="1331" t="s">
        <v>670</v>
      </c>
      <c r="AH599" s="1331"/>
      <c r="BB599" s="3"/>
      <c r="BC599" s="3"/>
    </row>
    <row r="600" spans="1:55" ht="12.9" customHeight="1" x14ac:dyDescent="0.25">
      <c r="A600" s="22"/>
      <c r="T600" s="22"/>
      <c r="BB600" s="3"/>
      <c r="BC600" s="3"/>
    </row>
    <row r="601" spans="1:55" ht="12.9" customHeight="1" x14ac:dyDescent="0.25">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 customHeight="1" x14ac:dyDescent="0.25">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 customHeight="1" x14ac:dyDescent="0.25">
      <c r="A603" s="22"/>
      <c r="B603" t="s">
        <v>581</v>
      </c>
      <c r="G603" s="1371"/>
      <c r="H603" s="1371"/>
      <c r="I603" s="1371"/>
      <c r="J603" s="1371"/>
      <c r="K603" s="1371"/>
      <c r="L603" s="1371"/>
      <c r="M603" s="1371"/>
      <c r="N603" s="1371"/>
      <c r="O603" s="1371"/>
      <c r="P603" s="1371"/>
      <c r="Q603" s="1371"/>
      <c r="R603" s="1371"/>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 customHeight="1" x14ac:dyDescent="0.25">
      <c r="A604" s="22"/>
      <c r="B604" t="s">
        <v>17</v>
      </c>
      <c r="G604" s="1371"/>
      <c r="H604" s="1371"/>
      <c r="I604" s="1371"/>
      <c r="J604" s="1371"/>
      <c r="K604" s="1371"/>
      <c r="L604" s="1371"/>
      <c r="M604" s="1371"/>
      <c r="N604" s="1371"/>
      <c r="O604" s="1371"/>
      <c r="P604" s="1371"/>
      <c r="Q604" s="1371"/>
      <c r="R604" s="1371"/>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 customHeight="1" x14ac:dyDescent="0.25">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 customHeight="1" x14ac:dyDescent="0.25">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 customHeight="1" x14ac:dyDescent="0.25">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 customHeight="1" x14ac:dyDescent="0.25">
      <c r="A608" s="22"/>
      <c r="T608" s="22"/>
      <c r="AZ608" s="3"/>
      <c r="BA608" s="3"/>
      <c r="BB608" s="3"/>
      <c r="BC608" s="3"/>
    </row>
    <row r="609" spans="1:55" ht="12.9" customHeight="1" x14ac:dyDescent="0.25">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 customHeight="1" x14ac:dyDescent="0.25">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 customHeight="1" x14ac:dyDescent="0.25">
      <c r="B611" t="s">
        <v>581</v>
      </c>
      <c r="G611" s="1371"/>
      <c r="H611" s="1371"/>
      <c r="I611" s="1371"/>
      <c r="J611" s="1371"/>
      <c r="K611" s="1371"/>
      <c r="L611" s="1371"/>
      <c r="M611" s="1371"/>
      <c r="N611" s="1371"/>
      <c r="O611" s="1371"/>
      <c r="P611" s="1371"/>
      <c r="Q611" s="1371"/>
      <c r="R611" s="1371"/>
      <c r="U611" t="s">
        <v>581</v>
      </c>
      <c r="Z611" s="1347"/>
      <c r="AA611" s="1347"/>
      <c r="AB611" s="1347"/>
      <c r="AC611" s="1347"/>
      <c r="AD611" s="1347"/>
      <c r="AE611" s="1347"/>
      <c r="AF611" s="1347"/>
      <c r="AG611" s="1347"/>
      <c r="AH611" s="1347"/>
      <c r="AI611" s="1347"/>
      <c r="AJ611" s="1347"/>
      <c r="AK611" s="1347"/>
      <c r="AZ611" s="3"/>
      <c r="BA611" s="3"/>
      <c r="BB611" s="3"/>
      <c r="BC611" s="3"/>
    </row>
    <row r="612" spans="1:55" ht="12.9" customHeight="1" x14ac:dyDescent="0.25">
      <c r="B612" t="s">
        <v>17</v>
      </c>
      <c r="G612" s="1371"/>
      <c r="H612" s="1371"/>
      <c r="I612" s="1371"/>
      <c r="J612" s="1371"/>
      <c r="K612" s="1371"/>
      <c r="L612" s="1371"/>
      <c r="M612" s="1371"/>
      <c r="N612" s="1371"/>
      <c r="O612" s="1371"/>
      <c r="P612" s="1371"/>
      <c r="Q612" s="1371"/>
      <c r="R612" s="1371"/>
      <c r="U612" t="s">
        <v>17</v>
      </c>
      <c r="Z612" s="1347"/>
      <c r="AA612" s="1347"/>
      <c r="AB612" s="1347"/>
      <c r="AC612" s="1347"/>
      <c r="AD612" s="1347"/>
      <c r="AE612" s="1347"/>
      <c r="AF612" s="1347"/>
      <c r="AG612" s="1347"/>
      <c r="AH612" s="1347"/>
      <c r="AI612" s="1347"/>
      <c r="AJ612" s="1347"/>
      <c r="AK612" s="1347"/>
      <c r="AZ612" s="3"/>
      <c r="BA612" s="3"/>
      <c r="BB612" s="3"/>
      <c r="BC612" s="3"/>
    </row>
    <row r="613" spans="1:55" ht="12.9" customHeight="1" x14ac:dyDescent="0.25">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2.9" customHeight="1" x14ac:dyDescent="0.25">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2.9" customHeight="1" x14ac:dyDescent="0.25">
      <c r="B615" t="s">
        <v>20</v>
      </c>
      <c r="N615" s="1331" t="s">
        <v>670</v>
      </c>
      <c r="O615" s="1331"/>
      <c r="U615" t="s">
        <v>20</v>
      </c>
      <c r="AG615" s="1331" t="s">
        <v>670</v>
      </c>
      <c r="AH615" s="1331"/>
      <c r="AU615" s="900"/>
      <c r="AV615" s="900"/>
      <c r="AW615" s="900"/>
      <c r="AX615" s="900"/>
      <c r="AY615" s="900"/>
      <c r="AZ615" s="3"/>
      <c r="BA615" s="3"/>
      <c r="BB615" s="3"/>
      <c r="BC615" s="3"/>
    </row>
    <row r="616" spans="1:55" ht="12.9" customHeight="1" x14ac:dyDescent="0.25">
      <c r="AZ616" s="3"/>
      <c r="BA616" s="3"/>
      <c r="BB616" s="3"/>
      <c r="BC616" s="3"/>
    </row>
    <row r="617" spans="1:55" ht="12.9" customHeight="1" x14ac:dyDescent="0.25">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 customHeight="1" x14ac:dyDescent="0.25">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 customHeight="1" x14ac:dyDescent="0.25">
      <c r="AZ619" s="3"/>
      <c r="BA619" s="3"/>
      <c r="BB619" s="3"/>
      <c r="BC619" s="3"/>
    </row>
    <row r="620" spans="1:55" ht="12.9" customHeight="1" x14ac:dyDescent="0.3">
      <c r="A620" s="2" t="s">
        <v>319</v>
      </c>
      <c r="B620" s="2"/>
      <c r="C620" s="2" t="s">
        <v>21</v>
      </c>
      <c r="AZ620" s="3"/>
      <c r="BA620" s="3"/>
      <c r="BB620" s="3"/>
      <c r="BC620" s="3"/>
    </row>
    <row r="621" spans="1:55" ht="12.9" customHeight="1" x14ac:dyDescent="0.3">
      <c r="A621" s="2"/>
      <c r="B621" s="2"/>
      <c r="C621" s="2"/>
      <c r="AZ621" s="3"/>
      <c r="BA621" s="3"/>
      <c r="BB621" s="3"/>
      <c r="BC621" s="3"/>
    </row>
    <row r="622" spans="1:55" ht="12.9" customHeight="1" x14ac:dyDescent="0.3">
      <c r="C622" s="2" t="s">
        <v>2103</v>
      </c>
      <c r="AZ622" s="3"/>
      <c r="BA622" s="3"/>
      <c r="BB622" s="3"/>
      <c r="BC622" s="3"/>
    </row>
    <row r="623" spans="1:55" ht="12.9" customHeight="1" x14ac:dyDescent="0.3">
      <c r="B623" s="513"/>
      <c r="C623" s="2"/>
      <c r="AU623" s="3"/>
      <c r="AZ623" s="3"/>
      <c r="BA623" s="3"/>
      <c r="BB623" s="3"/>
      <c r="BC623" s="3"/>
    </row>
    <row r="624" spans="1:55" ht="12.9" customHeight="1" x14ac:dyDescent="0.25">
      <c r="B624" s="1699" t="s">
        <v>2105</v>
      </c>
      <c r="C624" s="1699"/>
      <c r="D624" s="1699"/>
      <c r="E624" s="1699"/>
      <c r="F624" s="1699"/>
      <c r="G624" s="1699"/>
      <c r="H624" s="1699"/>
      <c r="I624" s="1699"/>
      <c r="J624" s="1699"/>
      <c r="K624" s="1699"/>
      <c r="L624" s="1699"/>
      <c r="M624" s="1441" t="s">
        <v>2106</v>
      </c>
      <c r="N624" s="1441"/>
      <c r="O624" s="1441"/>
      <c r="P624" s="1441"/>
      <c r="Q624" s="1441" t="s">
        <v>1854</v>
      </c>
      <c r="R624" s="1441"/>
      <c r="S624" s="1441"/>
      <c r="T624" s="1441" t="s">
        <v>1852</v>
      </c>
      <c r="U624" s="1441"/>
      <c r="V624" s="1441"/>
      <c r="W624" s="1700" t="s">
        <v>454</v>
      </c>
      <c r="X624" s="1700"/>
      <c r="Y624" s="1700"/>
      <c r="Z624" s="1430" t="s">
        <v>2135</v>
      </c>
      <c r="AA624" s="1430"/>
      <c r="AB624" s="1431"/>
      <c r="AC624" s="1681" t="s">
        <v>1677</v>
      </c>
      <c r="AD624" s="1682"/>
      <c r="AE624" s="1683"/>
      <c r="AF624" s="1671" t="s">
        <v>1932</v>
      </c>
      <c r="AG624" s="1430"/>
      <c r="AH624" s="1430"/>
      <c r="AI624" s="1430"/>
      <c r="AJ624" s="1431"/>
      <c r="AK624" s="1732" t="s">
        <v>1933</v>
      </c>
      <c r="AL624" s="1733"/>
      <c r="AM624" s="1733"/>
      <c r="AN624" s="1734"/>
      <c r="AO624" s="1441" t="s">
        <v>455</v>
      </c>
      <c r="AP624" s="1441"/>
      <c r="AQ624" s="1441"/>
      <c r="AR624" s="1441"/>
      <c r="AS624" s="1441"/>
      <c r="AU624" s="3"/>
      <c r="AZ624" s="3"/>
      <c r="BA624" s="3"/>
      <c r="BB624" s="3"/>
      <c r="BC624" s="3"/>
    </row>
    <row r="625" spans="2:157" ht="12.9" customHeight="1" x14ac:dyDescent="0.25">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 customHeight="1" x14ac:dyDescent="0.25">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 customHeight="1" x14ac:dyDescent="0.25">
      <c r="B627" s="51" t="s">
        <v>112</v>
      </c>
      <c r="C627" s="1691" t="s">
        <v>2732</v>
      </c>
      <c r="D627" s="1691"/>
      <c r="E627" s="1691"/>
      <c r="F627" s="1691"/>
      <c r="G627" s="1691"/>
      <c r="H627" s="1691"/>
      <c r="I627" s="1691"/>
      <c r="J627" s="1691"/>
      <c r="K627" s="1691"/>
      <c r="L627" s="1691"/>
      <c r="M627" s="1616" t="s">
        <v>2116</v>
      </c>
      <c r="N627" s="1616"/>
      <c r="O627" s="1616"/>
      <c r="P627" s="1616"/>
      <c r="Q627" s="1425">
        <f>18*12</f>
        <v>216</v>
      </c>
      <c r="R627" s="1425"/>
      <c r="S627" s="1426"/>
      <c r="T627" s="1424">
        <f>35*12</f>
        <v>420</v>
      </c>
      <c r="U627" s="1425"/>
      <c r="V627" s="1426"/>
      <c r="W627" s="1437">
        <v>6.8500000000000005E-2</v>
      </c>
      <c r="X627" s="1438"/>
      <c r="Y627" s="1439"/>
      <c r="Z627" s="1477" t="s">
        <v>2134</v>
      </c>
      <c r="AA627" s="1478"/>
      <c r="AB627" s="1479"/>
      <c r="AC627" s="1445">
        <v>1</v>
      </c>
      <c r="AD627" s="1446"/>
      <c r="AE627" s="1447"/>
      <c r="AF627" s="1474">
        <f>-PMT(W627/12,T627,AO627)*12</f>
        <v>1050848.1039282782</v>
      </c>
      <c r="AG627" s="1475"/>
      <c r="AH627" s="1475"/>
      <c r="AI627" s="1475"/>
      <c r="AJ627" s="1476"/>
      <c r="AK627" s="1427"/>
      <c r="AL627" s="1428"/>
      <c r="AM627" s="1428"/>
      <c r="AN627" s="1429"/>
      <c r="AO627" s="1480">
        <v>13936131</v>
      </c>
      <c r="AP627" s="1480"/>
      <c r="AQ627" s="1480"/>
      <c r="AR627" s="1480"/>
      <c r="AS627" s="1480"/>
      <c r="AT627" s="3"/>
      <c r="AU627" s="3"/>
      <c r="AZ627" s="3"/>
      <c r="BA627" s="3"/>
      <c r="BB627" s="3"/>
      <c r="BC627" s="3"/>
      <c r="BD627" s="3"/>
    </row>
    <row r="628" spans="2:157" ht="12.9" customHeight="1" x14ac:dyDescent="0.3">
      <c r="B628" s="52" t="s">
        <v>113</v>
      </c>
      <c r="C628" s="1691" t="s">
        <v>2733</v>
      </c>
      <c r="D628" s="1691"/>
      <c r="E628" s="1691"/>
      <c r="F628" s="1691"/>
      <c r="G628" s="1691"/>
      <c r="H628" s="1691"/>
      <c r="I628" s="1691"/>
      <c r="J628" s="1691"/>
      <c r="K628" s="1691"/>
      <c r="L628" s="1691"/>
      <c r="M628" s="1616" t="s">
        <v>2125</v>
      </c>
      <c r="N628" s="1616"/>
      <c r="O628" s="1616"/>
      <c r="P628" s="1616"/>
      <c r="Q628" s="1424"/>
      <c r="R628" s="1425"/>
      <c r="S628" s="1426"/>
      <c r="T628" s="1424"/>
      <c r="U628" s="1425"/>
      <c r="V628" s="1426"/>
      <c r="W628" s="1437"/>
      <c r="X628" s="1438"/>
      <c r="Y628" s="1439"/>
      <c r="Z628" s="1477" t="s">
        <v>458</v>
      </c>
      <c r="AA628" s="1478"/>
      <c r="AB628" s="1479"/>
      <c r="AC628" s="1445"/>
      <c r="AD628" s="1446"/>
      <c r="AE628" s="1447"/>
      <c r="AF628" s="1474"/>
      <c r="AG628" s="1475"/>
      <c r="AH628" s="1475"/>
      <c r="AI628" s="1475"/>
      <c r="AJ628" s="1476"/>
      <c r="AK628" s="1427"/>
      <c r="AL628" s="1428"/>
      <c r="AM628" s="1428"/>
      <c r="AN628" s="1429"/>
      <c r="AO628" s="1465">
        <v>16513169</v>
      </c>
      <c r="AP628" s="1466"/>
      <c r="AQ628" s="1466"/>
      <c r="AR628" s="1466"/>
      <c r="AS628" s="1467"/>
      <c r="AT628" s="1150" t="str">
        <f>IF(AND(NOT(C627=""),C628="",NOT(C629="")),"!","")</f>
        <v/>
      </c>
      <c r="AU628" s="3"/>
      <c r="AZ628" s="3"/>
      <c r="BA628" s="3"/>
      <c r="BB628" s="3"/>
      <c r="BC628" s="3"/>
      <c r="BD628" s="3"/>
    </row>
    <row r="629" spans="2:157" ht="12.9" customHeight="1" x14ac:dyDescent="0.3">
      <c r="B629" s="52" t="s">
        <v>119</v>
      </c>
      <c r="C629" s="1691" t="s">
        <v>2713</v>
      </c>
      <c r="D629" s="1691"/>
      <c r="E629" s="1691"/>
      <c r="F629" s="1691"/>
      <c r="G629" s="1691"/>
      <c r="H629" s="1691"/>
      <c r="I629" s="1691"/>
      <c r="J629" s="1691"/>
      <c r="K629" s="1691"/>
      <c r="L629" s="1691"/>
      <c r="M629" s="1616" t="s">
        <v>2125</v>
      </c>
      <c r="N629" s="1616"/>
      <c r="O629" s="1616"/>
      <c r="P629" s="1616"/>
      <c r="Q629" s="1424"/>
      <c r="R629" s="1425"/>
      <c r="S629" s="1426"/>
      <c r="T629" s="1424"/>
      <c r="U629" s="1425"/>
      <c r="V629" s="1426"/>
      <c r="W629" s="1437"/>
      <c r="X629" s="1438"/>
      <c r="Y629" s="1439"/>
      <c r="Z629" s="1477" t="s">
        <v>458</v>
      </c>
      <c r="AA629" s="1478"/>
      <c r="AB629" s="1479"/>
      <c r="AC629" s="1445"/>
      <c r="AD629" s="1446"/>
      <c r="AE629" s="1447"/>
      <c r="AF629" s="1474"/>
      <c r="AG629" s="1475"/>
      <c r="AH629" s="1475"/>
      <c r="AI629" s="1475"/>
      <c r="AJ629" s="1476"/>
      <c r="AK629" s="1427"/>
      <c r="AL629" s="1428"/>
      <c r="AM629" s="1428"/>
      <c r="AN629" s="1429"/>
      <c r="AO629" s="1465">
        <v>7458750</v>
      </c>
      <c r="AP629" s="1466"/>
      <c r="AQ629" s="1466"/>
      <c r="AR629" s="1466"/>
      <c r="AS629" s="1467"/>
      <c r="AT629" s="1150" t="str">
        <f t="shared" ref="AT629:AT638" si="1">IF(AND(NOT(C628=""),C629="",NOT(C630="")),"!","")</f>
        <v/>
      </c>
      <c r="AU629" s="3"/>
      <c r="AZ629" s="3"/>
      <c r="BA629" s="3"/>
      <c r="BB629" s="3"/>
      <c r="BC629" s="3"/>
      <c r="BD629" s="3"/>
    </row>
    <row r="630" spans="2:157" ht="12.9" customHeight="1" x14ac:dyDescent="0.3">
      <c r="B630" s="52" t="s">
        <v>582</v>
      </c>
      <c r="C630" s="1346" t="s">
        <v>2730</v>
      </c>
      <c r="D630" s="1346"/>
      <c r="E630" s="1346"/>
      <c r="F630" s="1346"/>
      <c r="G630" s="1346"/>
      <c r="H630" s="1346"/>
      <c r="I630" s="1346"/>
      <c r="J630" s="1346"/>
      <c r="K630" s="1346"/>
      <c r="L630" s="1346"/>
      <c r="M630" s="1616" t="s">
        <v>2109</v>
      </c>
      <c r="N630" s="1616"/>
      <c r="O630" s="1616"/>
      <c r="P630" s="1616"/>
      <c r="Q630" s="1424"/>
      <c r="R630" s="1425"/>
      <c r="S630" s="1426"/>
      <c r="T630" s="1424"/>
      <c r="U630" s="1425"/>
      <c r="V630" s="1426"/>
      <c r="W630" s="1437"/>
      <c r="X630" s="1438"/>
      <c r="Y630" s="1439"/>
      <c r="Z630" s="1477" t="s">
        <v>459</v>
      </c>
      <c r="AA630" s="1478"/>
      <c r="AB630" s="1479"/>
      <c r="AC630" s="1445"/>
      <c r="AD630" s="1446"/>
      <c r="AE630" s="1447"/>
      <c r="AF630" s="1474"/>
      <c r="AG630" s="1475"/>
      <c r="AH630" s="1475"/>
      <c r="AI630" s="1475"/>
      <c r="AJ630" s="1476"/>
      <c r="AK630" s="1427"/>
      <c r="AL630" s="1428"/>
      <c r="AM630" s="1428"/>
      <c r="AN630" s="1429"/>
      <c r="AO630" s="1465">
        <v>5961074</v>
      </c>
      <c r="AP630" s="1466"/>
      <c r="AQ630" s="1466"/>
      <c r="AR630" s="1466"/>
      <c r="AS630" s="1467"/>
      <c r="AT630" s="1150" t="str">
        <f t="shared" si="1"/>
        <v/>
      </c>
      <c r="AU630" s="3"/>
      <c r="AZ630" s="3"/>
      <c r="BA630" s="3"/>
      <c r="BB630" s="3"/>
      <c r="BC630" s="3"/>
      <c r="BD630" s="3"/>
    </row>
    <row r="631" spans="2:157" ht="12.9" customHeight="1" x14ac:dyDescent="0.3">
      <c r="B631" s="52" t="s">
        <v>764</v>
      </c>
      <c r="C631" s="1691"/>
      <c r="D631" s="1346"/>
      <c r="E631" s="1346"/>
      <c r="F631" s="1346"/>
      <c r="G631" s="1346"/>
      <c r="H631" s="1346"/>
      <c r="I631" s="1346"/>
      <c r="J631" s="1346"/>
      <c r="K631" s="1346"/>
      <c r="L631" s="1346"/>
      <c r="M631" s="1616" t="s">
        <v>1185</v>
      </c>
      <c r="N631" s="1616"/>
      <c r="O631" s="1616"/>
      <c r="P631" s="1616"/>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50" t="str">
        <f t="shared" si="1"/>
        <v/>
      </c>
      <c r="AU631" s="3"/>
      <c r="AZ631" s="3"/>
      <c r="BA631" s="3"/>
      <c r="BB631" s="3"/>
      <c r="BC631" s="3"/>
      <c r="BD631" s="3"/>
    </row>
    <row r="632" spans="2:157" ht="12.9" customHeight="1" x14ac:dyDescent="0.3">
      <c r="B632" s="52" t="s">
        <v>585</v>
      </c>
      <c r="C632" s="1346"/>
      <c r="D632" s="1346"/>
      <c r="E632" s="1346"/>
      <c r="F632" s="1346"/>
      <c r="G632" s="1346"/>
      <c r="H632" s="1346"/>
      <c r="I632" s="1346"/>
      <c r="J632" s="1346"/>
      <c r="K632" s="1346"/>
      <c r="L632" s="1346"/>
      <c r="M632" s="1616" t="s">
        <v>1185</v>
      </c>
      <c r="N632" s="1616"/>
      <c r="O632" s="1616"/>
      <c r="P632" s="1616"/>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50" t="str">
        <f t="shared" si="1"/>
        <v/>
      </c>
      <c r="AU632" s="3"/>
      <c r="AZ632" s="3"/>
      <c r="BA632" s="3"/>
      <c r="BB632" s="3"/>
      <c r="BC632" s="3"/>
      <c r="BD632" s="3"/>
    </row>
    <row r="633" spans="2:157" ht="12.9" customHeight="1" x14ac:dyDescent="0.3">
      <c r="B633" s="52" t="s">
        <v>456</v>
      </c>
      <c r="C633" s="1346"/>
      <c r="D633" s="1346"/>
      <c r="E633" s="1346"/>
      <c r="F633" s="1346"/>
      <c r="G633" s="1346"/>
      <c r="H633" s="1346"/>
      <c r="I633" s="1346"/>
      <c r="J633" s="1346"/>
      <c r="K633" s="1346"/>
      <c r="L633" s="1346"/>
      <c r="M633" s="1616" t="s">
        <v>1185</v>
      </c>
      <c r="N633" s="1616"/>
      <c r="O633" s="1616"/>
      <c r="P633" s="1616"/>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1"/>
        <v/>
      </c>
      <c r="AU633" s="3"/>
      <c r="AV633" s="3"/>
      <c r="AW633" s="3"/>
      <c r="AX633" s="3"/>
      <c r="AY633" s="3"/>
      <c r="AZ633" s="3"/>
      <c r="BA633" s="3"/>
      <c r="BB633" s="3"/>
      <c r="BC633" s="3"/>
      <c r="BD633" s="3"/>
    </row>
    <row r="634" spans="2:157" ht="12.9" customHeight="1" x14ac:dyDescent="0.3">
      <c r="B634" s="52" t="s">
        <v>457</v>
      </c>
      <c r="C634" s="1346"/>
      <c r="D634" s="1346"/>
      <c r="E634" s="1346"/>
      <c r="F634" s="1346"/>
      <c r="G634" s="1346"/>
      <c r="H634" s="1346"/>
      <c r="I634" s="1346"/>
      <c r="J634" s="1346"/>
      <c r="K634" s="1346"/>
      <c r="L634" s="1346"/>
      <c r="M634" s="1616" t="s">
        <v>1185</v>
      </c>
      <c r="N634" s="1616"/>
      <c r="O634" s="1616"/>
      <c r="P634" s="1616"/>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1"/>
        <v/>
      </c>
      <c r="AU634" s="3"/>
      <c r="AV634" s="3"/>
      <c r="AW634" s="3"/>
      <c r="AX634" s="3"/>
      <c r="AY634" s="3"/>
      <c r="AZ634" s="3"/>
      <c r="BA634" s="3" t="s">
        <v>1185</v>
      </c>
      <c r="BB634" s="3"/>
      <c r="BC634" s="3"/>
      <c r="BD634" s="3"/>
    </row>
    <row r="635" spans="2:157" ht="12.9" customHeight="1" x14ac:dyDescent="0.3">
      <c r="B635" s="52" t="s">
        <v>462</v>
      </c>
      <c r="C635" s="1346"/>
      <c r="D635" s="1346"/>
      <c r="E635" s="1346"/>
      <c r="F635" s="1346"/>
      <c r="G635" s="1346"/>
      <c r="H635" s="1346"/>
      <c r="I635" s="1346"/>
      <c r="J635" s="1346"/>
      <c r="K635" s="1346"/>
      <c r="L635" s="1346"/>
      <c r="M635" s="1616" t="s">
        <v>1185</v>
      </c>
      <c r="N635" s="1616"/>
      <c r="O635" s="1616"/>
      <c r="P635" s="1616"/>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350.51546391752572</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 customHeight="1" x14ac:dyDescent="0.3">
      <c r="B636" s="52" t="s">
        <v>647</v>
      </c>
      <c r="C636" s="1346"/>
      <c r="D636" s="1346"/>
      <c r="E636" s="1346"/>
      <c r="F636" s="1346"/>
      <c r="G636" s="1346"/>
      <c r="H636" s="1346"/>
      <c r="I636" s="1346"/>
      <c r="J636" s="1346"/>
      <c r="K636" s="1346"/>
      <c r="L636" s="1346"/>
      <c r="M636" s="1616" t="s">
        <v>1185</v>
      </c>
      <c r="N636" s="1616"/>
      <c r="O636" s="1616"/>
      <c r="P636" s="1616"/>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376.28865979381442</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 customHeight="1" x14ac:dyDescent="0.3">
      <c r="B637" s="52" t="s">
        <v>362</v>
      </c>
      <c r="C637" s="1346"/>
      <c r="D637" s="1346"/>
      <c r="E637" s="1346"/>
      <c r="F637" s="1346"/>
      <c r="G637" s="1346"/>
      <c r="H637" s="1346"/>
      <c r="I637" s="1346"/>
      <c r="J637" s="1346"/>
      <c r="K637" s="1346"/>
      <c r="L637" s="1346"/>
      <c r="M637" s="1616" t="s">
        <v>1185</v>
      </c>
      <c r="N637" s="1616"/>
      <c r="O637" s="1616"/>
      <c r="P637" s="1616"/>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449.07216494845363</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 customHeight="1" x14ac:dyDescent="0.3">
      <c r="B638" s="52" t="s">
        <v>363</v>
      </c>
      <c r="C638" s="1346"/>
      <c r="D638" s="1346"/>
      <c r="E638" s="1346"/>
      <c r="F638" s="1346"/>
      <c r="G638" s="1346"/>
      <c r="H638" s="1346"/>
      <c r="I638" s="1346"/>
      <c r="J638" s="1346"/>
      <c r="K638" s="1346"/>
      <c r="L638" s="1346"/>
      <c r="M638" s="1616" t="s">
        <v>1185</v>
      </c>
      <c r="N638" s="1616"/>
      <c r="O638" s="1616"/>
      <c r="P638" s="1616"/>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2368</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 customHeight="1" x14ac:dyDescent="0.3">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3">
        <f>SUM(AO627:AR638)</f>
        <v>43869124</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 customHeight="1" x14ac:dyDescent="0.3">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33188643</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 customHeight="1" x14ac:dyDescent="0.3">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3">
        <f>AO639+AO640</f>
        <v>77057767</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 customHeight="1" x14ac:dyDescent="0.3">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 customHeight="1" x14ac:dyDescent="0.25">
      <c r="A643" s="55" t="s">
        <v>112</v>
      </c>
      <c r="B643" t="s">
        <v>464</v>
      </c>
      <c r="G643" s="1357" t="str">
        <f>C627</f>
        <v>Citibank</v>
      </c>
      <c r="H643" s="1357"/>
      <c r="I643" s="1357"/>
      <c r="J643" s="1357"/>
      <c r="K643" s="1357"/>
      <c r="L643" s="1357"/>
      <c r="M643" s="1357"/>
      <c r="N643" s="1357"/>
      <c r="O643" s="1357"/>
      <c r="P643" s="1357"/>
      <c r="Q643" s="1357"/>
      <c r="R643" s="1357"/>
      <c r="S643" s="8"/>
      <c r="T643" s="55" t="s">
        <v>113</v>
      </c>
      <c r="U643" t="s">
        <v>464</v>
      </c>
      <c r="Z643" s="1357" t="str">
        <f>C628</f>
        <v>VA Capital Contribution</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 customHeight="1" x14ac:dyDescent="0.25">
      <c r="A644" s="22"/>
      <c r="B644" t="s">
        <v>85</v>
      </c>
      <c r="G644" s="1371" t="s">
        <v>2716</v>
      </c>
      <c r="H644" s="1371"/>
      <c r="I644" s="1371"/>
      <c r="J644" s="1371"/>
      <c r="K644" s="1371"/>
      <c r="L644" s="1371"/>
      <c r="M644" s="1371"/>
      <c r="N644" s="1371"/>
      <c r="O644" s="1371"/>
      <c r="P644" s="1371"/>
      <c r="Q644" s="1371"/>
      <c r="R644" s="1371"/>
      <c r="S644" s="8"/>
      <c r="T644" s="22"/>
      <c r="U644" t="s">
        <v>85</v>
      </c>
      <c r="Z644" s="1371" t="s">
        <v>2735</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 customHeight="1" x14ac:dyDescent="0.25">
      <c r="A645" s="22"/>
      <c r="B645" t="s">
        <v>581</v>
      </c>
      <c r="G645" s="1371" t="s">
        <v>2717</v>
      </c>
      <c r="H645" s="1371"/>
      <c r="I645" s="1371"/>
      <c r="J645" s="1371"/>
      <c r="K645" s="1371"/>
      <c r="L645" s="1371"/>
      <c r="M645" s="1371"/>
      <c r="N645" s="1371"/>
      <c r="O645" s="1371"/>
      <c r="P645" s="1371"/>
      <c r="Q645" s="1371"/>
      <c r="R645" s="1371"/>
      <c r="T645" s="22"/>
      <c r="U645" t="s">
        <v>581</v>
      </c>
      <c r="Z645" s="1347" t="s">
        <v>2736</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 customHeight="1" x14ac:dyDescent="0.25">
      <c r="A646" s="22"/>
      <c r="B646" t="s">
        <v>17</v>
      </c>
      <c r="G646" s="1371" t="s">
        <v>2718</v>
      </c>
      <c r="H646" s="1371"/>
      <c r="I646" s="1371"/>
      <c r="J646" s="1371"/>
      <c r="K646" s="1371"/>
      <c r="L646" s="1371"/>
      <c r="M646" s="1371"/>
      <c r="N646" s="1371"/>
      <c r="O646" s="1371"/>
      <c r="P646" s="1371"/>
      <c r="Q646" s="1371"/>
      <c r="R646" s="1371"/>
      <c r="S646" s="8"/>
      <c r="T646" s="22"/>
      <c r="U646" t="s">
        <v>17</v>
      </c>
      <c r="Z646" s="1347" t="s">
        <v>2737</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 customHeight="1" x14ac:dyDescent="0.25">
      <c r="A647" s="22"/>
      <c r="B647" t="s">
        <v>316</v>
      </c>
      <c r="G647" s="1345" t="s">
        <v>2719</v>
      </c>
      <c r="H647" s="1345"/>
      <c r="I647" s="1345"/>
      <c r="J647" s="1345"/>
      <c r="K647" s="1345"/>
      <c r="L647" s="1345"/>
      <c r="O647" s="33" t="s">
        <v>206</v>
      </c>
      <c r="P647" s="1436"/>
      <c r="Q647" s="1436"/>
      <c r="R647" s="1436"/>
      <c r="S647" s="10"/>
      <c r="T647" s="22"/>
      <c r="U647" t="s">
        <v>316</v>
      </c>
      <c r="Z647" s="1345" t="s">
        <v>2738</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 customHeight="1" x14ac:dyDescent="0.25">
      <c r="A648" s="22"/>
      <c r="B648" t="s">
        <v>18</v>
      </c>
      <c r="H648" s="1371" t="s">
        <v>2734</v>
      </c>
      <c r="I648" s="1371"/>
      <c r="J648" s="1371"/>
      <c r="K648" s="1371"/>
      <c r="L648" s="1371"/>
      <c r="M648" s="1371"/>
      <c r="N648" s="1371"/>
      <c r="O648" s="1371"/>
      <c r="P648" s="1371"/>
      <c r="Q648" s="1371"/>
      <c r="R648" s="1371"/>
      <c r="S648" s="8"/>
      <c r="T648" s="22"/>
      <c r="U648" t="s">
        <v>18</v>
      </c>
      <c r="AA648" s="1371" t="s">
        <v>2739</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 customHeight="1" x14ac:dyDescent="0.25">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 customHeight="1" x14ac:dyDescent="0.25">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 customHeight="1" x14ac:dyDescent="0.25">
      <c r="A651" s="55" t="s">
        <v>119</v>
      </c>
      <c r="B651" t="s">
        <v>464</v>
      </c>
      <c r="G651" s="1357" t="str">
        <f>C629</f>
        <v>Philanthropic Funds (WLAVC)</v>
      </c>
      <c r="H651" s="1357"/>
      <c r="I651" s="1357"/>
      <c r="J651" s="1357"/>
      <c r="K651" s="1357"/>
      <c r="L651" s="1357"/>
      <c r="M651" s="1357"/>
      <c r="N651" s="1357"/>
      <c r="O651" s="1357"/>
      <c r="P651" s="1357"/>
      <c r="Q651" s="1357"/>
      <c r="R651" s="1357"/>
      <c r="T651" s="55" t="s">
        <v>582</v>
      </c>
      <c r="U651" t="s">
        <v>464</v>
      </c>
      <c r="Z651" s="1357" t="str">
        <f>C630</f>
        <v>Deferred Developer Fee Loan</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 customHeight="1" x14ac:dyDescent="0.25">
      <c r="A652" s="22"/>
      <c r="B652" t="s">
        <v>85</v>
      </c>
      <c r="G652" s="1371" t="s">
        <v>2727</v>
      </c>
      <c r="H652" s="1371"/>
      <c r="I652" s="1371"/>
      <c r="J652" s="1371"/>
      <c r="K652" s="1371"/>
      <c r="L652" s="1371"/>
      <c r="M652" s="1371"/>
      <c r="N652" s="1371"/>
      <c r="O652" s="1371"/>
      <c r="P652" s="1371"/>
      <c r="Q652" s="1371"/>
      <c r="R652" s="1371"/>
      <c r="T652" s="22"/>
      <c r="U652" t="s">
        <v>85</v>
      </c>
      <c r="Z652" s="1371" t="s">
        <v>2648</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 customHeight="1" x14ac:dyDescent="0.25">
      <c r="A653" s="22"/>
      <c r="B653" t="s">
        <v>581</v>
      </c>
      <c r="G653" s="1347" t="s">
        <v>2740</v>
      </c>
      <c r="H653" s="1347"/>
      <c r="I653" s="1347"/>
      <c r="J653" s="1347"/>
      <c r="K653" s="1347"/>
      <c r="L653" s="1347"/>
      <c r="M653" s="1347"/>
      <c r="N653" s="1347"/>
      <c r="O653" s="1347"/>
      <c r="P653" s="1347"/>
      <c r="Q653" s="1347"/>
      <c r="R653" s="1347"/>
      <c r="T653" s="22"/>
      <c r="U653" t="s">
        <v>581</v>
      </c>
      <c r="Z653" s="1347" t="s">
        <v>2731</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 customHeight="1" x14ac:dyDescent="0.25">
      <c r="A654" s="22"/>
      <c r="B654" t="s">
        <v>17</v>
      </c>
      <c r="G654" s="1545" t="s">
        <v>2769</v>
      </c>
      <c r="H654" s="1347"/>
      <c r="I654" s="1347"/>
      <c r="J654" s="1347"/>
      <c r="K654" s="1347"/>
      <c r="L654" s="1347"/>
      <c r="M654" s="1347"/>
      <c r="N654" s="1347"/>
      <c r="O654" s="1347"/>
      <c r="P654" s="1347"/>
      <c r="Q654" s="1347"/>
      <c r="R654" s="1347"/>
      <c r="T654" s="22"/>
      <c r="U654" t="s">
        <v>17</v>
      </c>
      <c r="Z654" s="1347" t="s">
        <v>2626</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 customHeight="1" x14ac:dyDescent="0.25">
      <c r="A655" s="22"/>
      <c r="B655" t="s">
        <v>316</v>
      </c>
      <c r="G655" s="1370" t="s">
        <v>2770</v>
      </c>
      <c r="H655" s="1345"/>
      <c r="I655" s="1345"/>
      <c r="J655" s="1345"/>
      <c r="K655" s="1345"/>
      <c r="L655" s="1345"/>
      <c r="O655" s="33" t="s">
        <v>206</v>
      </c>
      <c r="P655" s="1436"/>
      <c r="Q655" s="1436"/>
      <c r="R655" s="1436"/>
      <c r="T655" s="22"/>
      <c r="U655" t="s">
        <v>316</v>
      </c>
      <c r="Z655" s="1345" t="s">
        <v>2627</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 customHeight="1" x14ac:dyDescent="0.25">
      <c r="A656" s="22"/>
      <c r="B656" t="s">
        <v>18</v>
      </c>
      <c r="H656" s="1371" t="s">
        <v>2739</v>
      </c>
      <c r="I656" s="1371"/>
      <c r="J656" s="1371"/>
      <c r="K656" s="1371"/>
      <c r="L656" s="1371"/>
      <c r="M656" s="1371"/>
      <c r="N656" s="1371"/>
      <c r="O656" s="1371"/>
      <c r="P656" s="1371"/>
      <c r="Q656" s="1371"/>
      <c r="R656" s="1371"/>
      <c r="T656" s="22"/>
      <c r="U656" t="s">
        <v>18</v>
      </c>
      <c r="AA656" s="1371" t="s">
        <v>2325</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 customHeight="1" x14ac:dyDescent="0.25">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 customHeight="1" x14ac:dyDescent="0.25">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 customHeight="1" x14ac:dyDescent="0.25">
      <c r="A659" s="55" t="s">
        <v>764</v>
      </c>
      <c r="B659" t="s">
        <v>464</v>
      </c>
      <c r="G659" s="1357">
        <f>C631</f>
        <v>0</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 customHeight="1" x14ac:dyDescent="0.25">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 customHeight="1" x14ac:dyDescent="0.25">
      <c r="A661" s="22"/>
      <c r="B661" t="s">
        <v>581</v>
      </c>
      <c r="G661" s="1371"/>
      <c r="H661" s="1371"/>
      <c r="I661" s="1371"/>
      <c r="J661" s="1371"/>
      <c r="K661" s="1371"/>
      <c r="L661" s="1371"/>
      <c r="M661" s="1371"/>
      <c r="N661" s="1371"/>
      <c r="O661" s="1371"/>
      <c r="P661" s="1371"/>
      <c r="Q661" s="1371"/>
      <c r="R661" s="1371"/>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 customHeight="1" x14ac:dyDescent="0.25">
      <c r="A662" s="22"/>
      <c r="B662" t="s">
        <v>17</v>
      </c>
      <c r="G662" s="1371"/>
      <c r="H662" s="1371"/>
      <c r="I662" s="1371"/>
      <c r="J662" s="1371"/>
      <c r="K662" s="1371"/>
      <c r="L662" s="1371"/>
      <c r="M662" s="1371"/>
      <c r="N662" s="1371"/>
      <c r="O662" s="1371"/>
      <c r="P662" s="1371"/>
      <c r="Q662" s="1371"/>
      <c r="R662" s="1371"/>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 customHeight="1" x14ac:dyDescent="0.25">
      <c r="A663" s="22"/>
      <c r="B663" t="s">
        <v>316</v>
      </c>
      <c r="G663" s="1345"/>
      <c r="H663" s="1345"/>
      <c r="I663" s="1345"/>
      <c r="J663" s="1345"/>
      <c r="K663" s="1345"/>
      <c r="L663" s="1345"/>
      <c r="O663" s="33" t="s">
        <v>206</v>
      </c>
      <c r="P663" s="1436"/>
      <c r="Q663" s="1436"/>
      <c r="R663" s="1436"/>
      <c r="T663" s="22"/>
      <c r="U663" t="s">
        <v>316</v>
      </c>
      <c r="Z663" s="1345"/>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 customHeight="1" x14ac:dyDescent="0.25">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 customHeight="1" x14ac:dyDescent="0.25">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 customHeight="1" x14ac:dyDescent="0.25">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 customHeight="1" x14ac:dyDescent="0.25">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 customHeight="1" x14ac:dyDescent="0.25">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 customHeight="1" x14ac:dyDescent="0.25">
      <c r="A669" s="22"/>
      <c r="B669" t="s">
        <v>581</v>
      </c>
      <c r="G669" s="1371"/>
      <c r="H669" s="1371"/>
      <c r="I669" s="1371"/>
      <c r="J669" s="1371"/>
      <c r="K669" s="1371"/>
      <c r="L669" s="1371"/>
      <c r="M669" s="1371"/>
      <c r="N669" s="1371"/>
      <c r="O669" s="1371"/>
      <c r="P669" s="1371"/>
      <c r="Q669" s="1371"/>
      <c r="R669" s="1371"/>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 customHeight="1" x14ac:dyDescent="0.25">
      <c r="A670" s="22"/>
      <c r="B670" t="s">
        <v>17</v>
      </c>
      <c r="G670" s="1371"/>
      <c r="H670" s="1371"/>
      <c r="I670" s="1371"/>
      <c r="J670" s="1371"/>
      <c r="K670" s="1371"/>
      <c r="L670" s="1371"/>
      <c r="M670" s="1371"/>
      <c r="N670" s="1371"/>
      <c r="O670" s="1371"/>
      <c r="P670" s="1371"/>
      <c r="Q670" s="1371"/>
      <c r="R670" s="1371"/>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1175.8762886597938</v>
      </c>
      <c r="ED670" s="1444"/>
      <c r="EE670" s="1444"/>
      <c r="EF670" s="1444"/>
      <c r="EG670" s="1444"/>
      <c r="EH670" s="1444">
        <f>SUMIF(EH635:EL669,"&gt;0")</f>
        <v>2368</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 customHeight="1" x14ac:dyDescent="0.25">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x14ac:dyDescent="0.25">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x14ac:dyDescent="0.25">
      <c r="A673" s="22"/>
      <c r="B673" t="s">
        <v>20</v>
      </c>
      <c r="N673" s="1331" t="s">
        <v>670</v>
      </c>
      <c r="O673" s="1331"/>
      <c r="T673" s="22"/>
      <c r="U673" t="s">
        <v>20</v>
      </c>
      <c r="AG673" s="1331" t="s">
        <v>670</v>
      </c>
      <c r="AH673" s="1331"/>
      <c r="AZ673" s="3"/>
    </row>
    <row r="674" spans="1:52" ht="12.9" customHeight="1" x14ac:dyDescent="0.25">
      <c r="A674" s="22"/>
      <c r="T674" s="22"/>
      <c r="AZ674" s="3"/>
    </row>
    <row r="675" spans="1:52" ht="12.9" customHeight="1" x14ac:dyDescent="0.25">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 customHeight="1" x14ac:dyDescent="0.25">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 customHeight="1" x14ac:dyDescent="0.25">
      <c r="A677" s="22"/>
      <c r="B677" t="s">
        <v>581</v>
      </c>
      <c r="G677" s="1371"/>
      <c r="H677" s="1371"/>
      <c r="I677" s="1371"/>
      <c r="J677" s="1371"/>
      <c r="K677" s="1371"/>
      <c r="L677" s="1371"/>
      <c r="M677" s="1371"/>
      <c r="N677" s="1371"/>
      <c r="O677" s="1371"/>
      <c r="P677" s="1371"/>
      <c r="Q677" s="1371"/>
      <c r="R677" s="1371"/>
      <c r="T677" s="22"/>
      <c r="U677" t="s">
        <v>581</v>
      </c>
      <c r="Z677" s="1347"/>
      <c r="AA677" s="1347"/>
      <c r="AB677" s="1347"/>
      <c r="AC677" s="1347"/>
      <c r="AD677" s="1347"/>
      <c r="AE677" s="1347"/>
      <c r="AF677" s="1347"/>
      <c r="AG677" s="1347"/>
      <c r="AH677" s="1347"/>
      <c r="AI677" s="1347"/>
      <c r="AJ677" s="1347"/>
      <c r="AK677" s="1347"/>
      <c r="AZ677" s="3"/>
    </row>
    <row r="678" spans="1:52" ht="12.9" customHeight="1" x14ac:dyDescent="0.25">
      <c r="A678" s="22"/>
      <c r="B678" t="s">
        <v>17</v>
      </c>
      <c r="G678" s="1371"/>
      <c r="H678" s="1371"/>
      <c r="I678" s="1371"/>
      <c r="J678" s="1371"/>
      <c r="K678" s="1371"/>
      <c r="L678" s="1371"/>
      <c r="M678" s="1371"/>
      <c r="N678" s="1371"/>
      <c r="O678" s="1371"/>
      <c r="P678" s="1371"/>
      <c r="Q678" s="1371"/>
      <c r="R678" s="1371"/>
      <c r="T678" s="22"/>
      <c r="U678" t="s">
        <v>17</v>
      </c>
      <c r="Z678" s="1347"/>
      <c r="AA678" s="1347"/>
      <c r="AB678" s="1347"/>
      <c r="AC678" s="1347"/>
      <c r="AD678" s="1347"/>
      <c r="AE678" s="1347"/>
      <c r="AF678" s="1347"/>
      <c r="AG678" s="1347"/>
      <c r="AH678" s="1347"/>
      <c r="AI678" s="1347"/>
      <c r="AJ678" s="1347"/>
      <c r="AK678" s="1347"/>
      <c r="AZ678" s="3"/>
    </row>
    <row r="679" spans="1:52" ht="12.9" customHeight="1" x14ac:dyDescent="0.25">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2.9" customHeight="1" x14ac:dyDescent="0.25">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 customHeight="1" x14ac:dyDescent="0.25">
      <c r="A681" s="22"/>
      <c r="B681" t="s">
        <v>20</v>
      </c>
      <c r="N681" s="1331" t="s">
        <v>670</v>
      </c>
      <c r="O681" s="1331"/>
      <c r="T681" s="22"/>
      <c r="U681" t="s">
        <v>20</v>
      </c>
      <c r="AG681" s="1331" t="s">
        <v>670</v>
      </c>
      <c r="AH681" s="1331"/>
      <c r="AZ681" s="3"/>
    </row>
    <row r="682" spans="1:52" ht="12.9" customHeight="1" x14ac:dyDescent="0.25">
      <c r="A682" s="22"/>
      <c r="T682" s="22"/>
      <c r="AZ682" s="3"/>
    </row>
    <row r="683" spans="1:52" ht="12.9" customHeight="1" x14ac:dyDescent="0.25">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 customHeight="1" x14ac:dyDescent="0.25">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 customHeight="1" x14ac:dyDescent="0.25">
      <c r="B685" t="s">
        <v>581</v>
      </c>
      <c r="G685" s="1371"/>
      <c r="H685" s="1371"/>
      <c r="I685" s="1371"/>
      <c r="J685" s="1371"/>
      <c r="K685" s="1371"/>
      <c r="L685" s="1371"/>
      <c r="M685" s="1371"/>
      <c r="N685" s="1371"/>
      <c r="O685" s="1371"/>
      <c r="P685" s="1371"/>
      <c r="Q685" s="1371"/>
      <c r="R685" s="1371"/>
      <c r="U685" t="s">
        <v>581</v>
      </c>
      <c r="Z685" s="1347"/>
      <c r="AA685" s="1347"/>
      <c r="AB685" s="1347"/>
      <c r="AC685" s="1347"/>
      <c r="AD685" s="1347"/>
      <c r="AE685" s="1347"/>
      <c r="AF685" s="1347"/>
      <c r="AG685" s="1347"/>
      <c r="AH685" s="1347"/>
      <c r="AI685" s="1347"/>
      <c r="AJ685" s="1347"/>
      <c r="AK685" s="1347"/>
      <c r="AZ685" s="3"/>
    </row>
    <row r="686" spans="1:52" ht="12.9" customHeight="1" x14ac:dyDescent="0.25">
      <c r="B686" t="s">
        <v>17</v>
      </c>
      <c r="G686" s="1371"/>
      <c r="H686" s="1371"/>
      <c r="I686" s="1371"/>
      <c r="J686" s="1371"/>
      <c r="K686" s="1371"/>
      <c r="L686" s="1371"/>
      <c r="M686" s="1371"/>
      <c r="N686" s="1371"/>
      <c r="O686" s="1371"/>
      <c r="P686" s="1371"/>
      <c r="Q686" s="1371"/>
      <c r="R686" s="1371"/>
      <c r="U686" t="s">
        <v>17</v>
      </c>
      <c r="Z686" s="1347"/>
      <c r="AA686" s="1347"/>
      <c r="AB686" s="1347"/>
      <c r="AC686" s="1347"/>
      <c r="AD686" s="1347"/>
      <c r="AE686" s="1347"/>
      <c r="AF686" s="1347"/>
      <c r="AG686" s="1347"/>
      <c r="AH686" s="1347"/>
      <c r="AI686" s="1347"/>
      <c r="AJ686" s="1347"/>
      <c r="AK686" s="1347"/>
      <c r="AZ686" s="3"/>
    </row>
    <row r="687" spans="1:52" ht="12.9" customHeight="1" x14ac:dyDescent="0.25">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2.9" customHeight="1" x14ac:dyDescent="0.25">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 customHeight="1" x14ac:dyDescent="0.25">
      <c r="B689" t="s">
        <v>20</v>
      </c>
      <c r="N689" s="1331" t="s">
        <v>670</v>
      </c>
      <c r="O689" s="1331"/>
      <c r="U689" t="s">
        <v>20</v>
      </c>
      <c r="AG689" s="1331" t="s">
        <v>670</v>
      </c>
      <c r="AH689" s="1331"/>
      <c r="AZ689" s="3"/>
    </row>
    <row r="690" spans="1:67" ht="12.9" customHeight="1" x14ac:dyDescent="0.25">
      <c r="AZ690" s="3"/>
    </row>
    <row r="691" spans="1:67" ht="12.9" customHeight="1" x14ac:dyDescent="0.3">
      <c r="A691" s="2" t="s">
        <v>577</v>
      </c>
      <c r="C691" s="2" t="s">
        <v>327</v>
      </c>
      <c r="E691" s="130"/>
      <c r="F691" s="130"/>
      <c r="G691" s="130"/>
      <c r="H691" s="130"/>
      <c r="AZ691" s="3"/>
    </row>
    <row r="692" spans="1:67" ht="12.9" customHeight="1" x14ac:dyDescent="0.25">
      <c r="B692" s="135"/>
      <c r="C692" s="135"/>
      <c r="D692" s="136" t="s">
        <v>434</v>
      </c>
      <c r="E692" s="135"/>
      <c r="F692" s="135"/>
      <c r="G692" s="135"/>
      <c r="H692" s="135"/>
      <c r="AZ692" s="3"/>
    </row>
    <row r="693" spans="1:67" ht="12.9" customHeight="1" x14ac:dyDescent="0.25">
      <c r="B693" s="135"/>
      <c r="C693" s="135"/>
      <c r="E693" s="136" t="s">
        <v>435</v>
      </c>
      <c r="F693" s="135"/>
      <c r="G693" s="135"/>
      <c r="H693" s="135"/>
      <c r="AE693" s="1331" t="s">
        <v>546</v>
      </c>
      <c r="AF693" s="1331"/>
      <c r="AZ693" s="3"/>
    </row>
    <row r="694" spans="1:67" ht="12.9" customHeight="1" x14ac:dyDescent="0.25">
      <c r="B694" s="135"/>
      <c r="C694" s="135"/>
      <c r="D694" s="136" t="s">
        <v>438</v>
      </c>
      <c r="E694" s="135"/>
      <c r="F694" s="135"/>
      <c r="G694" s="135"/>
      <c r="H694" s="135"/>
      <c r="AE694" s="1331" t="s">
        <v>546</v>
      </c>
      <c r="AF694" s="1331"/>
      <c r="AZ694" s="3"/>
    </row>
    <row r="695" spans="1:67" ht="12.9" customHeight="1" x14ac:dyDescent="0.25">
      <c r="B695" s="135"/>
      <c r="C695" s="135"/>
      <c r="D695" s="136" t="s">
        <v>921</v>
      </c>
      <c r="E695" s="135"/>
      <c r="F695" s="135"/>
      <c r="G695" s="135"/>
      <c r="H695" s="135"/>
      <c r="AE695" s="1690">
        <v>45685</v>
      </c>
      <c r="AF695" s="1690"/>
      <c r="AG695" s="1690"/>
      <c r="AH695" s="1690"/>
      <c r="AI695" s="1690"/>
    </row>
    <row r="696" spans="1:67" ht="12.9" customHeight="1" x14ac:dyDescent="0.25">
      <c r="B696" s="135"/>
      <c r="C696" s="135"/>
      <c r="D696" s="318" t="s">
        <v>984</v>
      </c>
      <c r="E696" s="135"/>
      <c r="F696" s="135"/>
      <c r="G696" s="135"/>
      <c r="H696" s="135"/>
      <c r="AE696" s="1701">
        <v>45755</v>
      </c>
      <c r="AF696" s="1701"/>
      <c r="AG696" s="1701"/>
      <c r="AH696" s="1701"/>
      <c r="AI696" s="1701"/>
    </row>
    <row r="697" spans="1:67" ht="12.9" customHeight="1" x14ac:dyDescent="0.25">
      <c r="B697" s="135"/>
      <c r="C697" s="135"/>
    </row>
    <row r="698" spans="1:67" ht="12.9" customHeight="1" x14ac:dyDescent="0.25">
      <c r="B698" s="135"/>
      <c r="C698" s="135"/>
      <c r="D698" s="136" t="s">
        <v>817</v>
      </c>
      <c r="E698" s="135"/>
      <c r="F698" s="135"/>
      <c r="G698" s="135"/>
      <c r="H698" s="135"/>
      <c r="AE698" s="1690">
        <v>45931</v>
      </c>
      <c r="AF698" s="1690"/>
      <c r="AG698" s="1690"/>
      <c r="AH698" s="1690"/>
      <c r="AI698" s="1690"/>
    </row>
    <row r="699" spans="1:67" ht="12.9" customHeight="1" x14ac:dyDescent="0.25">
      <c r="B699" s="135"/>
      <c r="C699" s="135"/>
      <c r="D699" s="136" t="s">
        <v>436</v>
      </c>
      <c r="E699" s="135"/>
      <c r="F699" s="135"/>
      <c r="G699" s="135"/>
      <c r="H699" s="135"/>
      <c r="AE699" s="1660">
        <f>AM554/SUM('Sources and Uses Budget'!R4,'Sources and Uses Budget'!R5,'Sources and Uses Budget'!S107,1237050)</f>
        <v>0.54928035366421013</v>
      </c>
      <c r="AF699" s="1660"/>
      <c r="AG699" s="1660"/>
      <c r="AH699" s="1660"/>
      <c r="AI699" s="1660"/>
    </row>
    <row r="700" spans="1:67" ht="12.9" customHeight="1" x14ac:dyDescent="0.25">
      <c r="B700" s="135"/>
      <c r="C700" s="135"/>
      <c r="D700" s="136" t="s">
        <v>437</v>
      </c>
      <c r="E700" s="135"/>
      <c r="F700" s="135"/>
      <c r="G700" s="135"/>
      <c r="H700" s="135"/>
      <c r="W700" s="1357" t="str">
        <f>H335</f>
        <v>CalHFA</v>
      </c>
      <c r="X700" s="1357"/>
      <c r="Y700" s="1357"/>
      <c r="Z700" s="1357"/>
      <c r="AA700" s="1357"/>
      <c r="AB700" s="1357"/>
      <c r="AC700" s="1357"/>
      <c r="AD700" s="1357"/>
      <c r="AE700" s="1357"/>
      <c r="AF700" s="1357"/>
      <c r="AG700" s="1357"/>
      <c r="AH700" s="1357"/>
      <c r="AI700" s="1357"/>
      <c r="AJ700" s="1357"/>
      <c r="AK700" s="1357"/>
    </row>
    <row r="701" spans="1:67" ht="12.9" customHeight="1" x14ac:dyDescent="0.25">
      <c r="B701" s="135"/>
      <c r="C701" s="135"/>
      <c r="D701" s="136"/>
      <c r="E701" s="135"/>
      <c r="F701" s="135"/>
      <c r="G701" s="135"/>
      <c r="H701" s="135"/>
    </row>
    <row r="702" spans="1:67" ht="12.9" customHeight="1" x14ac:dyDescent="0.25">
      <c r="B702" s="135"/>
      <c r="C702" s="135"/>
      <c r="D702" s="136" t="s">
        <v>439</v>
      </c>
      <c r="E702" s="135"/>
      <c r="F702" s="135"/>
      <c r="G702" s="135"/>
      <c r="H702" s="135"/>
      <c r="AE702" s="1331" t="s">
        <v>670</v>
      </c>
      <c r="AF702" s="1331"/>
      <c r="AZ702" s="4" t="s">
        <v>324</v>
      </c>
    </row>
    <row r="703" spans="1:67" ht="12.9" customHeight="1" x14ac:dyDescent="0.25">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 customHeight="1" x14ac:dyDescent="0.25">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 customHeight="1" x14ac:dyDescent="0.25">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x14ac:dyDescent="0.25">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x14ac:dyDescent="0.25">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x14ac:dyDescent="0.25">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x14ac:dyDescent="0.25">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x14ac:dyDescent="0.25">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x14ac:dyDescent="0.25">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x14ac:dyDescent="0.3">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x14ac:dyDescent="0.3">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x14ac:dyDescent="0.25">
      <c r="B714" s="1361" t="s">
        <v>389</v>
      </c>
      <c r="C714" s="1362"/>
      <c r="D714" s="1362"/>
      <c r="E714" s="1362"/>
      <c r="F714" s="1363"/>
      <c r="G714" s="1361" t="s">
        <v>285</v>
      </c>
      <c r="H714" s="1362"/>
      <c r="I714" s="1362"/>
      <c r="J714" s="1363"/>
      <c r="K714" s="1718" t="s">
        <v>1680</v>
      </c>
      <c r="L714" s="1719"/>
      <c r="M714" s="1719"/>
      <c r="N714" s="1720"/>
      <c r="O714" s="1361" t="s">
        <v>448</v>
      </c>
      <c r="P714" s="1362"/>
      <c r="Q714" s="1362"/>
      <c r="R714" s="1362"/>
      <c r="S714" s="1363"/>
      <c r="T714" s="1658" t="s">
        <v>1951</v>
      </c>
      <c r="U714" s="1362"/>
      <c r="V714" s="1362"/>
      <c r="W714" s="1363"/>
      <c r="X714" s="1658" t="s">
        <v>1953</v>
      </c>
      <c r="Y714" s="1362"/>
      <c r="Z714" s="1362"/>
      <c r="AA714" s="1362"/>
      <c r="AB714" s="1363"/>
      <c r="AC714" s="1658" t="s">
        <v>1952</v>
      </c>
      <c r="AD714" s="1362"/>
      <c r="AE714" s="1362"/>
      <c r="AF714" s="1362"/>
      <c r="AG714" s="1363"/>
      <c r="AH714" s="1658" t="s">
        <v>1954</v>
      </c>
      <c r="AI714" s="1362"/>
      <c r="AJ714" s="1363"/>
      <c r="AK714" s="1658"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x14ac:dyDescent="0.25">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x14ac:dyDescent="0.3">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x14ac:dyDescent="0.25">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 customHeight="1" x14ac:dyDescent="0.25">
      <c r="A718" s="4"/>
      <c r="B718" s="1336" t="s">
        <v>325</v>
      </c>
      <c r="C718" s="1337"/>
      <c r="D718" s="1337"/>
      <c r="E718" s="1337"/>
      <c r="F718" s="1338"/>
      <c r="G718" s="1348">
        <v>50</v>
      </c>
      <c r="H718" s="1349"/>
      <c r="I718" s="1349"/>
      <c r="J718" s="1350"/>
      <c r="K718" s="1342">
        <v>521</v>
      </c>
      <c r="L718" s="1343"/>
      <c r="M718" s="1343"/>
      <c r="N718" s="1344"/>
      <c r="O718" s="1339">
        <f>780-T718</f>
        <v>680</v>
      </c>
      <c r="P718" s="1340"/>
      <c r="Q718" s="1340"/>
      <c r="R718" s="1340"/>
      <c r="S718" s="1341"/>
      <c r="T718" s="1339">
        <f>Q832</f>
        <v>100</v>
      </c>
      <c r="U718" s="1340"/>
      <c r="V718" s="1340"/>
      <c r="W718" s="1341"/>
      <c r="X718" s="1351">
        <f t="shared" ref="X718:X741" si="8">O718+T718</f>
        <v>780</v>
      </c>
      <c r="Y718" s="1352"/>
      <c r="Z718" s="1352"/>
      <c r="AA718" s="1352"/>
      <c r="AB718" s="1353"/>
      <c r="AC718" s="1358">
        <v>0.3</v>
      </c>
      <c r="AD718" s="1359"/>
      <c r="AE718" s="1359"/>
      <c r="AF718" s="1359"/>
      <c r="AG718" s="1360"/>
      <c r="AH718" s="1354">
        <f>IF($AC718&gt;0,($X718/$AZ718), "")</f>
        <v>0.3</v>
      </c>
      <c r="AI718" s="1355"/>
      <c r="AJ718" s="1356"/>
      <c r="AK718" s="1336" t="s">
        <v>1044</v>
      </c>
      <c r="AL718" s="1337"/>
      <c r="AM718" s="1337"/>
      <c r="AN718" s="1337"/>
      <c r="AO718" s="1338"/>
      <c r="AP718" s="3"/>
      <c r="AQ718" s="3"/>
      <c r="AR718" s="3"/>
      <c r="AS718" s="3"/>
      <c r="AZ718" s="118">
        <f>IF($G718=0,"N/A",VLOOKUP($T$189,TC_Rent,(MATCH($B718,bedrooms,FALSE)),FALSE))</f>
        <v>2600</v>
      </c>
      <c r="BA718" s="3"/>
      <c r="BB718" s="3"/>
      <c r="BC718" s="3"/>
      <c r="BD718" s="3"/>
      <c r="BE718" s="205"/>
      <c r="BF718" s="294">
        <f t="shared" ref="BF718:BF752" si="9">G718</f>
        <v>50</v>
      </c>
      <c r="BG718" s="298">
        <f t="shared" ref="BG718:BG752" si="10">IF($BF$753=0,0,BF718/$BF$753)</f>
        <v>0.5</v>
      </c>
      <c r="BH718" s="299">
        <f t="shared" ref="BH718:BH752" si="11">IF(BG718=0,"",BG718*AC718)</f>
        <v>0.15</v>
      </c>
      <c r="BI718" s="3"/>
      <c r="BJ718" s="3"/>
      <c r="BK718" s="3"/>
      <c r="BL718" s="3"/>
      <c r="BM718" s="3"/>
      <c r="BN718" s="3"/>
      <c r="BS718" s="294">
        <f t="shared" ref="BS718:BS752" si="12">G718</f>
        <v>50</v>
      </c>
      <c r="BT718" s="298">
        <f t="shared" ref="BT718:BT752" si="13">IF($BS$753=0,0,BS718/$BS$753)</f>
        <v>0.5</v>
      </c>
      <c r="BU718" s="299">
        <f t="shared" ref="BU718:BU752" si="14">IF(BT718=0,"",BT718*AH718)</f>
        <v>0.15</v>
      </c>
      <c r="CC718" s="3"/>
      <c r="CD718" s="3"/>
      <c r="CE718" s="3"/>
      <c r="CF718" s="3"/>
      <c r="CG718" s="1462">
        <f>IF(AND(AC718&lt;=0.5,AC718&gt;=0.36),1,0)</f>
        <v>0</v>
      </c>
      <c r="CH718" s="1463"/>
      <c r="CI718" s="1468">
        <f>IF(CG718=1,G718,0)</f>
        <v>0</v>
      </c>
      <c r="CJ718" s="1469"/>
      <c r="CK718" s="1462">
        <f t="shared" ref="CK718:CK752" si="15">IF(AND(AC718&lt;=0.35,AC718&gt;0),1,0)</f>
        <v>1</v>
      </c>
      <c r="CL718" s="1463"/>
      <c r="CM718" s="1468">
        <f t="shared" ref="CM718:CM752" si="16">IF(CK718=1,G718,0)</f>
        <v>50</v>
      </c>
      <c r="CN718" s="1469"/>
      <c r="CO718" s="3"/>
      <c r="CP718" s="1457">
        <f t="shared" ref="CP718:CP752" si="17">IF(B718="SRO/Studio",G718,0)</f>
        <v>0</v>
      </c>
      <c r="CQ718" s="1458"/>
      <c r="CR718" s="1458"/>
      <c r="CS718" s="1458"/>
      <c r="CT718" s="1459"/>
      <c r="CU718" s="1442">
        <f t="shared" ref="CU718:CU752" si="18">IF(B718="1 Bedroom",G718,0)</f>
        <v>50</v>
      </c>
      <c r="CV718" s="1442"/>
      <c r="CW718" s="1442"/>
      <c r="CX718" s="1442"/>
      <c r="CY718" s="1442"/>
      <c r="CZ718" s="1442">
        <f t="shared" ref="CZ718:CZ752" si="19">IF(B718="2 Bedrooms",G718,0)</f>
        <v>0</v>
      </c>
      <c r="DA718" s="1442"/>
      <c r="DB718" s="1442"/>
      <c r="DC718" s="1442"/>
      <c r="DD718" s="1442"/>
      <c r="DE718" s="1442">
        <f t="shared" ref="DE718:DE752" si="20">IF(B718="3 Bedrooms",G718,0)</f>
        <v>0</v>
      </c>
      <c r="DF718" s="1442"/>
      <c r="DG718" s="1442"/>
      <c r="DH718" s="1442"/>
      <c r="DI718" s="1442"/>
      <c r="DJ718" s="1442">
        <f t="shared" ref="DJ718:DJ752" si="21">IF(B718="4 Bedrooms",G718,0)</f>
        <v>0</v>
      </c>
      <c r="DK718" s="1442"/>
      <c r="DL718" s="1442"/>
      <c r="DM718" s="1442"/>
      <c r="DN718" s="1442"/>
      <c r="DO718" s="1442">
        <f t="shared" ref="DO718:DO752" si="22">IF(B718="5 Bedrooms",G718,0)</f>
        <v>0</v>
      </c>
      <c r="DP718" s="1442"/>
      <c r="DQ718" s="1442"/>
      <c r="DR718" s="1442"/>
      <c r="DS718" s="1442"/>
      <c r="DT718" s="6"/>
      <c r="DU718" s="1443">
        <f t="shared" ref="DU718:DU752" si="23">IF(AND(B718="SRO/Studio",AC718&lt;=0.3),G718,0)</f>
        <v>0</v>
      </c>
      <c r="DV718" s="1443"/>
      <c r="DW718" s="1443"/>
      <c r="DX718" s="1443"/>
      <c r="DY718" s="1443"/>
      <c r="DZ718" s="1443">
        <f t="shared" ref="DZ718:DZ752" si="24">IF(AND(B718="1 Bedroom",AC718&lt;=0.3),G718,0)</f>
        <v>50</v>
      </c>
      <c r="EA718" s="1443"/>
      <c r="EB718" s="1443"/>
      <c r="EC718" s="1443"/>
      <c r="ED718" s="1443"/>
      <c r="EE718" s="1443">
        <f t="shared" ref="EE718:EE752" si="25">IF(AND(B718="2 Bedrooms",AC718&lt;=0.3),G718,0)</f>
        <v>0</v>
      </c>
      <c r="EF718" s="1443"/>
      <c r="EG718" s="1443"/>
      <c r="EH718" s="1443"/>
      <c r="EI718" s="1443"/>
      <c r="EJ718" s="1443">
        <f t="shared" ref="EJ718:EJ752" si="26">IF(AND(B718="3 Bedrooms",AC718&lt;=0.3),G718,0)</f>
        <v>0</v>
      </c>
      <c r="EK718" s="1443"/>
      <c r="EL718" s="1443"/>
      <c r="EM718" s="1443"/>
      <c r="EN718" s="1443"/>
      <c r="EO718" s="1443">
        <f t="shared" ref="EO718:EO752" si="27">IF(AND(B718="4 Bedrooms",AC718&lt;=0.3),G718,0)</f>
        <v>0</v>
      </c>
      <c r="EP718" s="1443"/>
      <c r="EQ718" s="1443"/>
      <c r="ER718" s="1443"/>
      <c r="ES718" s="1443"/>
      <c r="ET718" s="1443">
        <f t="shared" ref="ET718:ET752" si="28">IF(AND(B718="5 Bedrooms",AC718&lt;=0.3),G718,0)</f>
        <v>0</v>
      </c>
      <c r="EU718" s="1443"/>
      <c r="EV718" s="1443"/>
      <c r="EW718" s="1443"/>
      <c r="EX718" s="1443"/>
      <c r="EY718" s="4"/>
      <c r="EZ718" s="1462" t="str">
        <f t="shared" ref="EZ718:EZ752" si="29">IF(CP718&gt;0,O718,"")</f>
        <v/>
      </c>
      <c r="FA718" s="1464"/>
      <c r="FB718" s="1464"/>
      <c r="FC718" s="1464"/>
      <c r="FD718" s="1463"/>
      <c r="FE718" s="1462">
        <f t="shared" ref="FE718:FE752" si="30">IF(CU718&gt;0,O718,"")</f>
        <v>680</v>
      </c>
      <c r="FF718" s="1464"/>
      <c r="FG718" s="1464"/>
      <c r="FH718" s="1464"/>
      <c r="FI718" s="1463"/>
      <c r="FJ718" s="1462" t="str">
        <f t="shared" ref="FJ718:FJ752" si="31">IF(CZ718&gt;0,O718,"")</f>
        <v/>
      </c>
      <c r="FK718" s="1464"/>
      <c r="FL718" s="1464"/>
      <c r="FM718" s="1464"/>
      <c r="FN718" s="1463"/>
      <c r="FO718" s="1462" t="str">
        <f t="shared" ref="FO718:FO752" si="32">IF(DE718&gt;0,O718,"")</f>
        <v/>
      </c>
      <c r="FP718" s="1464"/>
      <c r="FQ718" s="1464"/>
      <c r="FR718" s="1464"/>
      <c r="FS718" s="1463"/>
      <c r="FT718" s="1462" t="str">
        <f t="shared" ref="FT718:FT752" si="33">IF(DJ718&gt;0,O718,"")</f>
        <v/>
      </c>
      <c r="FU718" s="1464"/>
      <c r="FV718" s="1464"/>
      <c r="FW718" s="1464"/>
      <c r="FX718" s="1463"/>
      <c r="FY718" s="1462" t="str">
        <f t="shared" ref="FY718:FY752" si="34">IF(DO718&gt;0,O718,"")</f>
        <v/>
      </c>
      <c r="FZ718" s="1464"/>
      <c r="GA718" s="1464"/>
      <c r="GB718" s="1464"/>
      <c r="GC718" s="1463"/>
    </row>
    <row r="719" spans="1:185" ht="12.9" customHeight="1" x14ac:dyDescent="0.25">
      <c r="A719" s="4"/>
      <c r="B719" s="1336" t="s">
        <v>325</v>
      </c>
      <c r="C719" s="1337"/>
      <c r="D719" s="1337"/>
      <c r="E719" s="1337"/>
      <c r="F719" s="1338"/>
      <c r="G719" s="1348">
        <v>25</v>
      </c>
      <c r="H719" s="1349"/>
      <c r="I719" s="1349"/>
      <c r="J719" s="1350"/>
      <c r="K719" s="1342">
        <v>521</v>
      </c>
      <c r="L719" s="1343"/>
      <c r="M719" s="1343"/>
      <c r="N719" s="1344"/>
      <c r="O719" s="1339">
        <f>1560-T719</f>
        <v>1460</v>
      </c>
      <c r="P719" s="1340"/>
      <c r="Q719" s="1340"/>
      <c r="R719" s="1340"/>
      <c r="S719" s="1341"/>
      <c r="T719" s="1339">
        <f>Q832</f>
        <v>100</v>
      </c>
      <c r="U719" s="1340"/>
      <c r="V719" s="1340"/>
      <c r="W719" s="1341"/>
      <c r="X719" s="1351">
        <f t="shared" si="8"/>
        <v>1560</v>
      </c>
      <c r="Y719" s="1352"/>
      <c r="Z719" s="1352"/>
      <c r="AA719" s="1352"/>
      <c r="AB719" s="1353"/>
      <c r="AC719" s="1358">
        <v>0.6</v>
      </c>
      <c r="AD719" s="1359"/>
      <c r="AE719" s="1359"/>
      <c r="AF719" s="1359"/>
      <c r="AG719" s="1360"/>
      <c r="AH719" s="1354">
        <f t="shared" ref="AH719:AH752" si="35">IF($AC719&gt;0,($X719/$AZ719), "")</f>
        <v>0.6</v>
      </c>
      <c r="AI719" s="1355"/>
      <c r="AJ719" s="1356"/>
      <c r="AK719" s="1336" t="s">
        <v>1044</v>
      </c>
      <c r="AL719" s="1337"/>
      <c r="AM719" s="1337"/>
      <c r="AN719" s="1337"/>
      <c r="AO719" s="1338"/>
      <c r="AP719" s="3"/>
      <c r="AQ719" s="3"/>
      <c r="AR719" s="3"/>
      <c r="AS719" s="3"/>
      <c r="AZ719" s="118">
        <f>IF($G719=0,"N/A",VLOOKUP($T$189,TC_Rent,(MATCH($B719,bedrooms,FALSE)),FALSE))</f>
        <v>2600</v>
      </c>
      <c r="BA719" s="3"/>
      <c r="BB719" s="3"/>
      <c r="BC719" s="3"/>
      <c r="BD719" s="3"/>
      <c r="BE719" s="205"/>
      <c r="BF719" s="295">
        <f t="shared" si="9"/>
        <v>25</v>
      </c>
      <c r="BG719" s="298">
        <f t="shared" si="10"/>
        <v>0.25</v>
      </c>
      <c r="BH719" s="299">
        <f t="shared" si="11"/>
        <v>0.15</v>
      </c>
      <c r="BI719" s="3"/>
      <c r="BJ719" s="3"/>
      <c r="BK719" s="3"/>
      <c r="BL719" s="3"/>
      <c r="BM719" s="3"/>
      <c r="BN719" s="3"/>
      <c r="BS719" s="295">
        <f t="shared" si="12"/>
        <v>25</v>
      </c>
      <c r="BT719" s="298">
        <f t="shared" si="13"/>
        <v>0.25</v>
      </c>
      <c r="BU719" s="299">
        <f t="shared" si="14"/>
        <v>0.15</v>
      </c>
      <c r="CC719" s="3"/>
      <c r="CD719" s="3"/>
      <c r="CE719" s="3"/>
      <c r="CF719" s="3"/>
      <c r="CG719" s="1462">
        <f t="shared" ref="CG719:CG752" si="36">IF(AND(AC719&lt;=0.5,AC719&gt;=0.36),1,0)</f>
        <v>0</v>
      </c>
      <c r="CH719" s="1463"/>
      <c r="CI719" s="1468">
        <f t="shared" ref="CI719:CI752" si="37">IF(CG719=1,G719,0)</f>
        <v>0</v>
      </c>
      <c r="CJ719" s="1469"/>
      <c r="CK719" s="1462">
        <f t="shared" si="15"/>
        <v>0</v>
      </c>
      <c r="CL719" s="1463"/>
      <c r="CM719" s="1468">
        <f t="shared" si="16"/>
        <v>0</v>
      </c>
      <c r="CN719" s="1469"/>
      <c r="CO719" s="3"/>
      <c r="CP719" s="1457">
        <f t="shared" si="17"/>
        <v>0</v>
      </c>
      <c r="CQ719" s="1458"/>
      <c r="CR719" s="1458"/>
      <c r="CS719" s="1458"/>
      <c r="CT719" s="1459"/>
      <c r="CU719" s="1442">
        <f t="shared" si="18"/>
        <v>25</v>
      </c>
      <c r="CV719" s="1442"/>
      <c r="CW719" s="1442"/>
      <c r="CX719" s="1442"/>
      <c r="CY719" s="1442"/>
      <c r="CZ719" s="1442">
        <f t="shared" si="19"/>
        <v>0</v>
      </c>
      <c r="DA719" s="1442"/>
      <c r="DB719" s="1442"/>
      <c r="DC719" s="1442"/>
      <c r="DD719" s="1442"/>
      <c r="DE719" s="1442">
        <f t="shared" si="20"/>
        <v>0</v>
      </c>
      <c r="DF719" s="1442"/>
      <c r="DG719" s="1442"/>
      <c r="DH719" s="1442"/>
      <c r="DI719" s="1442"/>
      <c r="DJ719" s="1442">
        <f t="shared" si="21"/>
        <v>0</v>
      </c>
      <c r="DK719" s="1442"/>
      <c r="DL719" s="1442"/>
      <c r="DM719" s="1442"/>
      <c r="DN719" s="1442"/>
      <c r="DO719" s="1442">
        <f t="shared" si="22"/>
        <v>0</v>
      </c>
      <c r="DP719" s="1442"/>
      <c r="DQ719" s="1442"/>
      <c r="DR719" s="1442"/>
      <c r="DS719" s="1442"/>
      <c r="DT719" s="6"/>
      <c r="DU719" s="1443">
        <f t="shared" si="23"/>
        <v>0</v>
      </c>
      <c r="DV719" s="1443"/>
      <c r="DW719" s="1443"/>
      <c r="DX719" s="1443"/>
      <c r="DY719" s="1443"/>
      <c r="DZ719" s="1443">
        <f t="shared" si="24"/>
        <v>0</v>
      </c>
      <c r="EA719" s="1443"/>
      <c r="EB719" s="1443"/>
      <c r="EC719" s="1443"/>
      <c r="ED719" s="1443"/>
      <c r="EE719" s="1443">
        <f t="shared" si="25"/>
        <v>0</v>
      </c>
      <c r="EF719" s="1443"/>
      <c r="EG719" s="1443"/>
      <c r="EH719" s="1443"/>
      <c r="EI719" s="1443"/>
      <c r="EJ719" s="1443">
        <f t="shared" si="26"/>
        <v>0</v>
      </c>
      <c r="EK719" s="1443"/>
      <c r="EL719" s="1443"/>
      <c r="EM719" s="1443"/>
      <c r="EN719" s="1443"/>
      <c r="EO719" s="1443">
        <f t="shared" si="27"/>
        <v>0</v>
      </c>
      <c r="EP719" s="1443"/>
      <c r="EQ719" s="1443"/>
      <c r="ER719" s="1443"/>
      <c r="ES719" s="1443"/>
      <c r="ET719" s="1443">
        <f t="shared" si="28"/>
        <v>0</v>
      </c>
      <c r="EU719" s="1443"/>
      <c r="EV719" s="1443"/>
      <c r="EW719" s="1443"/>
      <c r="EX719" s="1443"/>
      <c r="EY719" s="4"/>
      <c r="EZ719" s="1462" t="str">
        <f t="shared" si="29"/>
        <v/>
      </c>
      <c r="FA719" s="1464"/>
      <c r="FB719" s="1464"/>
      <c r="FC719" s="1464"/>
      <c r="FD719" s="1463"/>
      <c r="FE719" s="1462">
        <f t="shared" si="30"/>
        <v>1460</v>
      </c>
      <c r="FF719" s="1464"/>
      <c r="FG719" s="1464"/>
      <c r="FH719" s="1464"/>
      <c r="FI719" s="1463"/>
      <c r="FJ719" s="1462" t="str">
        <f t="shared" si="31"/>
        <v/>
      </c>
      <c r="FK719" s="1464"/>
      <c r="FL719" s="1464"/>
      <c r="FM719" s="1464"/>
      <c r="FN719" s="1463"/>
      <c r="FO719" s="1462" t="str">
        <f t="shared" si="32"/>
        <v/>
      </c>
      <c r="FP719" s="1464"/>
      <c r="FQ719" s="1464"/>
      <c r="FR719" s="1464"/>
      <c r="FS719" s="1463"/>
      <c r="FT719" s="1462" t="str">
        <f t="shared" si="33"/>
        <v/>
      </c>
      <c r="FU719" s="1464"/>
      <c r="FV719" s="1464"/>
      <c r="FW719" s="1464"/>
      <c r="FX719" s="1463"/>
      <c r="FY719" s="1462" t="str">
        <f t="shared" si="34"/>
        <v/>
      </c>
      <c r="FZ719" s="1464"/>
      <c r="GA719" s="1464"/>
      <c r="GB719" s="1464"/>
      <c r="GC719" s="1463"/>
    </row>
    <row r="720" spans="1:185" ht="12.9" customHeight="1" x14ac:dyDescent="0.25">
      <c r="A720" s="4"/>
      <c r="B720" s="1336" t="s">
        <v>325</v>
      </c>
      <c r="C720" s="1337"/>
      <c r="D720" s="1337"/>
      <c r="E720" s="1337"/>
      <c r="F720" s="1338"/>
      <c r="G720" s="1348">
        <v>22</v>
      </c>
      <c r="H720" s="1349"/>
      <c r="I720" s="1349"/>
      <c r="J720" s="1350"/>
      <c r="K720" s="1342">
        <v>521</v>
      </c>
      <c r="L720" s="1343"/>
      <c r="M720" s="1343"/>
      <c r="N720" s="1344"/>
      <c r="O720" s="1339">
        <f>2080-T720</f>
        <v>1980</v>
      </c>
      <c r="P720" s="1340"/>
      <c r="Q720" s="1340"/>
      <c r="R720" s="1340"/>
      <c r="S720" s="1341"/>
      <c r="T720" s="1339">
        <f>Q832</f>
        <v>100</v>
      </c>
      <c r="U720" s="1340"/>
      <c r="V720" s="1340"/>
      <c r="W720" s="1341"/>
      <c r="X720" s="1351">
        <f t="shared" si="8"/>
        <v>2080</v>
      </c>
      <c r="Y720" s="1352"/>
      <c r="Z720" s="1352"/>
      <c r="AA720" s="1352"/>
      <c r="AB720" s="1353"/>
      <c r="AC720" s="1358">
        <v>0.8</v>
      </c>
      <c r="AD720" s="1359"/>
      <c r="AE720" s="1359"/>
      <c r="AF720" s="1359"/>
      <c r="AG720" s="1360"/>
      <c r="AH720" s="1354">
        <f t="shared" si="35"/>
        <v>0.8</v>
      </c>
      <c r="AI720" s="1355"/>
      <c r="AJ720" s="1356"/>
      <c r="AK720" s="1336" t="s">
        <v>592</v>
      </c>
      <c r="AL720" s="1337"/>
      <c r="AM720" s="1337"/>
      <c r="AN720" s="1337"/>
      <c r="AO720" s="1338"/>
      <c r="AP720" s="3"/>
      <c r="AQ720" s="3"/>
      <c r="AR720" s="3"/>
      <c r="AS720" s="3"/>
      <c r="AZ720" s="118">
        <f>IF($G720=0,"N/A",VLOOKUP($T$189,TC_Rent,(MATCH($B720,bedrooms,FALSE)),FALSE))</f>
        <v>2600</v>
      </c>
      <c r="BA720" s="3"/>
      <c r="BB720" s="3"/>
      <c r="BC720" s="3"/>
      <c r="BD720" s="3"/>
      <c r="BE720" s="205"/>
      <c r="BF720" s="295">
        <f t="shared" si="9"/>
        <v>22</v>
      </c>
      <c r="BG720" s="298">
        <f t="shared" si="10"/>
        <v>0.22</v>
      </c>
      <c r="BH720" s="299">
        <f t="shared" si="11"/>
        <v>0.17600000000000002</v>
      </c>
      <c r="BI720" s="3"/>
      <c r="BJ720" s="3"/>
      <c r="BK720" s="3"/>
      <c r="BL720" s="3"/>
      <c r="BM720" s="3"/>
      <c r="BN720" s="3"/>
      <c r="BS720" s="295">
        <f t="shared" si="12"/>
        <v>22</v>
      </c>
      <c r="BT720" s="298">
        <f t="shared" si="13"/>
        <v>0.22</v>
      </c>
      <c r="BU720" s="299">
        <f t="shared" si="14"/>
        <v>0.17600000000000002</v>
      </c>
      <c r="CC720" s="3"/>
      <c r="CD720" s="3"/>
      <c r="CE720" s="3"/>
      <c r="CF720" s="3"/>
      <c r="CG720" s="1462">
        <f t="shared" si="36"/>
        <v>0</v>
      </c>
      <c r="CH720" s="1463"/>
      <c r="CI720" s="1468">
        <f t="shared" si="37"/>
        <v>0</v>
      </c>
      <c r="CJ720" s="1469"/>
      <c r="CK720" s="1462">
        <f t="shared" si="15"/>
        <v>0</v>
      </c>
      <c r="CL720" s="1463"/>
      <c r="CM720" s="1468">
        <f t="shared" si="16"/>
        <v>0</v>
      </c>
      <c r="CN720" s="1469"/>
      <c r="CO720" s="3"/>
      <c r="CP720" s="1457">
        <f t="shared" si="17"/>
        <v>0</v>
      </c>
      <c r="CQ720" s="1458"/>
      <c r="CR720" s="1458"/>
      <c r="CS720" s="1458"/>
      <c r="CT720" s="1459"/>
      <c r="CU720" s="1442">
        <f t="shared" si="18"/>
        <v>22</v>
      </c>
      <c r="CV720" s="1442"/>
      <c r="CW720" s="1442"/>
      <c r="CX720" s="1442"/>
      <c r="CY720" s="1442"/>
      <c r="CZ720" s="1442">
        <f t="shared" si="19"/>
        <v>0</v>
      </c>
      <c r="DA720" s="1442"/>
      <c r="DB720" s="1442"/>
      <c r="DC720" s="1442"/>
      <c r="DD720" s="1442"/>
      <c r="DE720" s="1442">
        <f t="shared" si="20"/>
        <v>0</v>
      </c>
      <c r="DF720" s="1442"/>
      <c r="DG720" s="1442"/>
      <c r="DH720" s="1442"/>
      <c r="DI720" s="1442"/>
      <c r="DJ720" s="1442">
        <f t="shared" si="21"/>
        <v>0</v>
      </c>
      <c r="DK720" s="1442"/>
      <c r="DL720" s="1442"/>
      <c r="DM720" s="1442"/>
      <c r="DN720" s="1442"/>
      <c r="DO720" s="1442">
        <f t="shared" si="22"/>
        <v>0</v>
      </c>
      <c r="DP720" s="1442"/>
      <c r="DQ720" s="1442"/>
      <c r="DR720" s="1442"/>
      <c r="DS720" s="1442"/>
      <c r="DT720" s="6"/>
      <c r="DU720" s="1443">
        <f t="shared" si="23"/>
        <v>0</v>
      </c>
      <c r="DV720" s="1443"/>
      <c r="DW720" s="1443"/>
      <c r="DX720" s="1443"/>
      <c r="DY720" s="1443"/>
      <c r="DZ720" s="1443">
        <f t="shared" si="24"/>
        <v>0</v>
      </c>
      <c r="EA720" s="1443"/>
      <c r="EB720" s="1443"/>
      <c r="EC720" s="1443"/>
      <c r="ED720" s="1443"/>
      <c r="EE720" s="1443">
        <f t="shared" si="25"/>
        <v>0</v>
      </c>
      <c r="EF720" s="1443"/>
      <c r="EG720" s="1443"/>
      <c r="EH720" s="1443"/>
      <c r="EI720" s="1443"/>
      <c r="EJ720" s="1443">
        <f t="shared" si="26"/>
        <v>0</v>
      </c>
      <c r="EK720" s="1443"/>
      <c r="EL720" s="1443"/>
      <c r="EM720" s="1443"/>
      <c r="EN720" s="1443"/>
      <c r="EO720" s="1443">
        <f t="shared" si="27"/>
        <v>0</v>
      </c>
      <c r="EP720" s="1443"/>
      <c r="EQ720" s="1443"/>
      <c r="ER720" s="1443"/>
      <c r="ES720" s="1443"/>
      <c r="ET720" s="1443">
        <f t="shared" si="28"/>
        <v>0</v>
      </c>
      <c r="EU720" s="1443"/>
      <c r="EV720" s="1443"/>
      <c r="EW720" s="1443"/>
      <c r="EX720" s="1443"/>
      <c r="EZ720" s="1462" t="str">
        <f t="shared" si="29"/>
        <v/>
      </c>
      <c r="FA720" s="1464"/>
      <c r="FB720" s="1464"/>
      <c r="FC720" s="1464"/>
      <c r="FD720" s="1463"/>
      <c r="FE720" s="1462">
        <f t="shared" si="30"/>
        <v>1980</v>
      </c>
      <c r="FF720" s="1464"/>
      <c r="FG720" s="1464"/>
      <c r="FH720" s="1464"/>
      <c r="FI720" s="1463"/>
      <c r="FJ720" s="1462" t="str">
        <f t="shared" si="31"/>
        <v/>
      </c>
      <c r="FK720" s="1464"/>
      <c r="FL720" s="1464"/>
      <c r="FM720" s="1464"/>
      <c r="FN720" s="1463"/>
      <c r="FO720" s="1462" t="str">
        <f t="shared" si="32"/>
        <v/>
      </c>
      <c r="FP720" s="1464"/>
      <c r="FQ720" s="1464"/>
      <c r="FR720" s="1464"/>
      <c r="FS720" s="1463"/>
      <c r="FT720" s="1462" t="str">
        <f t="shared" si="33"/>
        <v/>
      </c>
      <c r="FU720" s="1464"/>
      <c r="FV720" s="1464"/>
      <c r="FW720" s="1464"/>
      <c r="FX720" s="1463"/>
      <c r="FY720" s="1462" t="str">
        <f t="shared" si="34"/>
        <v/>
      </c>
      <c r="FZ720" s="1464"/>
      <c r="GA720" s="1464"/>
      <c r="GB720" s="1464"/>
      <c r="GC720" s="1463"/>
    </row>
    <row r="721" spans="1:185" ht="12.9" customHeight="1" x14ac:dyDescent="0.25">
      <c r="B721" s="1336" t="s">
        <v>163</v>
      </c>
      <c r="C721" s="1337"/>
      <c r="D721" s="1337"/>
      <c r="E721" s="1337"/>
      <c r="F721" s="1338"/>
      <c r="G721" s="1348">
        <v>3</v>
      </c>
      <c r="H721" s="1349"/>
      <c r="I721" s="1349"/>
      <c r="J721" s="1350"/>
      <c r="K721" s="1342">
        <v>828</v>
      </c>
      <c r="L721" s="1343"/>
      <c r="M721" s="1343"/>
      <c r="N721" s="1344"/>
      <c r="O721" s="1339">
        <f>2496-U832</f>
        <v>2368</v>
      </c>
      <c r="P721" s="1340"/>
      <c r="Q721" s="1340"/>
      <c r="R721" s="1340"/>
      <c r="S721" s="1341"/>
      <c r="T721" s="1339">
        <f>U832</f>
        <v>128</v>
      </c>
      <c r="U721" s="1340"/>
      <c r="V721" s="1340"/>
      <c r="W721" s="1341"/>
      <c r="X721" s="1351">
        <f t="shared" si="8"/>
        <v>2496</v>
      </c>
      <c r="Y721" s="1352"/>
      <c r="Z721" s="1352"/>
      <c r="AA721" s="1352"/>
      <c r="AB721" s="1353"/>
      <c r="AC721" s="1358">
        <v>0.8</v>
      </c>
      <c r="AD721" s="1359"/>
      <c r="AE721" s="1359"/>
      <c r="AF721" s="1359"/>
      <c r="AG721" s="1360"/>
      <c r="AH721" s="1354">
        <f t="shared" si="35"/>
        <v>0.8</v>
      </c>
      <c r="AI721" s="1355"/>
      <c r="AJ721" s="1356"/>
      <c r="AK721" s="1336" t="s">
        <v>592</v>
      </c>
      <c r="AL721" s="1337"/>
      <c r="AM721" s="1337"/>
      <c r="AN721" s="1337"/>
      <c r="AO721" s="1338"/>
      <c r="AP721" s="3"/>
      <c r="AQ721" s="3"/>
      <c r="AR721" s="3"/>
      <c r="AS721" s="3"/>
      <c r="AY721" s="116"/>
      <c r="AZ721" s="118">
        <f>IF($G721=0,"N/A",VLOOKUP($T$189,TC_Rent,(MATCH($B721,bedrooms,FALSE)),FALSE))</f>
        <v>3120</v>
      </c>
      <c r="BA721" s="3"/>
      <c r="BB721" s="3"/>
      <c r="BC721" s="3"/>
      <c r="BD721" s="3"/>
      <c r="BE721" s="205"/>
      <c r="BF721" s="295">
        <f t="shared" si="9"/>
        <v>3</v>
      </c>
      <c r="BG721" s="298">
        <f t="shared" si="10"/>
        <v>0.03</v>
      </c>
      <c r="BH721" s="299">
        <f t="shared" si="11"/>
        <v>2.4E-2</v>
      </c>
      <c r="BI721" s="3"/>
      <c r="BJ721" s="3"/>
      <c r="BK721" s="3"/>
      <c r="BL721" s="3"/>
      <c r="BM721" s="3"/>
      <c r="BN721" s="3"/>
      <c r="BS721" s="295">
        <f t="shared" si="12"/>
        <v>3</v>
      </c>
      <c r="BT721" s="298">
        <f t="shared" si="13"/>
        <v>0.03</v>
      </c>
      <c r="BU721" s="299">
        <f t="shared" si="14"/>
        <v>2.4E-2</v>
      </c>
      <c r="CC721" s="3"/>
      <c r="CD721" s="3"/>
      <c r="CE721" s="3"/>
      <c r="CF721" s="3"/>
      <c r="CG721" s="1462">
        <f t="shared" si="36"/>
        <v>0</v>
      </c>
      <c r="CH721" s="1463"/>
      <c r="CI721" s="1468">
        <f t="shared" si="37"/>
        <v>0</v>
      </c>
      <c r="CJ721" s="1469"/>
      <c r="CK721" s="1462">
        <f t="shared" si="15"/>
        <v>0</v>
      </c>
      <c r="CL721" s="1463"/>
      <c r="CM721" s="1468">
        <f t="shared" si="16"/>
        <v>0</v>
      </c>
      <c r="CN721" s="1469"/>
      <c r="CO721" s="3"/>
      <c r="CP721" s="1457">
        <f t="shared" si="17"/>
        <v>0</v>
      </c>
      <c r="CQ721" s="1458"/>
      <c r="CR721" s="1458"/>
      <c r="CS721" s="1458"/>
      <c r="CT721" s="1459"/>
      <c r="CU721" s="1442">
        <f t="shared" si="18"/>
        <v>0</v>
      </c>
      <c r="CV721" s="1442"/>
      <c r="CW721" s="1442"/>
      <c r="CX721" s="1442"/>
      <c r="CY721" s="1442"/>
      <c r="CZ721" s="1442">
        <f t="shared" si="19"/>
        <v>3</v>
      </c>
      <c r="DA721" s="1442"/>
      <c r="DB721" s="1442"/>
      <c r="DC721" s="1442"/>
      <c r="DD721" s="1442"/>
      <c r="DE721" s="1442">
        <f t="shared" si="20"/>
        <v>0</v>
      </c>
      <c r="DF721" s="1442"/>
      <c r="DG721" s="1442"/>
      <c r="DH721" s="1442"/>
      <c r="DI721" s="1442"/>
      <c r="DJ721" s="1442">
        <f t="shared" si="21"/>
        <v>0</v>
      </c>
      <c r="DK721" s="1442"/>
      <c r="DL721" s="1442"/>
      <c r="DM721" s="1442"/>
      <c r="DN721" s="1442"/>
      <c r="DO721" s="1442">
        <f t="shared" si="22"/>
        <v>0</v>
      </c>
      <c r="DP721" s="1442"/>
      <c r="DQ721" s="1442"/>
      <c r="DR721" s="1442"/>
      <c r="DS721" s="1442"/>
      <c r="DT721" s="6"/>
      <c r="DU721" s="1443">
        <f t="shared" si="23"/>
        <v>0</v>
      </c>
      <c r="DV721" s="1443"/>
      <c r="DW721" s="1443"/>
      <c r="DX721" s="1443"/>
      <c r="DY721" s="1443"/>
      <c r="DZ721" s="1443">
        <f t="shared" si="24"/>
        <v>0</v>
      </c>
      <c r="EA721" s="1443"/>
      <c r="EB721" s="1443"/>
      <c r="EC721" s="1443"/>
      <c r="ED721" s="1443"/>
      <c r="EE721" s="1443">
        <f t="shared" si="25"/>
        <v>0</v>
      </c>
      <c r="EF721" s="1443"/>
      <c r="EG721" s="1443"/>
      <c r="EH721" s="1443"/>
      <c r="EI721" s="1443"/>
      <c r="EJ721" s="1443">
        <f t="shared" si="26"/>
        <v>0</v>
      </c>
      <c r="EK721" s="1443"/>
      <c r="EL721" s="1443"/>
      <c r="EM721" s="1443"/>
      <c r="EN721" s="1443"/>
      <c r="EO721" s="1443">
        <f t="shared" si="27"/>
        <v>0</v>
      </c>
      <c r="EP721" s="1443"/>
      <c r="EQ721" s="1443"/>
      <c r="ER721" s="1443"/>
      <c r="ES721" s="1443"/>
      <c r="ET721" s="1443">
        <f t="shared" si="28"/>
        <v>0</v>
      </c>
      <c r="EU721" s="1443"/>
      <c r="EV721" s="1443"/>
      <c r="EW721" s="1443"/>
      <c r="EX721" s="1443"/>
      <c r="EZ721" s="1462" t="str">
        <f t="shared" si="29"/>
        <v/>
      </c>
      <c r="FA721" s="1464"/>
      <c r="FB721" s="1464"/>
      <c r="FC721" s="1464"/>
      <c r="FD721" s="1463"/>
      <c r="FE721" s="1462" t="str">
        <f t="shared" si="30"/>
        <v/>
      </c>
      <c r="FF721" s="1464"/>
      <c r="FG721" s="1464"/>
      <c r="FH721" s="1464"/>
      <c r="FI721" s="1463"/>
      <c r="FJ721" s="1462">
        <f t="shared" si="31"/>
        <v>2368</v>
      </c>
      <c r="FK721" s="1464"/>
      <c r="FL721" s="1464"/>
      <c r="FM721" s="1464"/>
      <c r="FN721" s="1463"/>
      <c r="FO721" s="1462" t="str">
        <f t="shared" si="32"/>
        <v/>
      </c>
      <c r="FP721" s="1464"/>
      <c r="FQ721" s="1464"/>
      <c r="FR721" s="1464"/>
      <c r="FS721" s="1463"/>
      <c r="FT721" s="1462" t="str">
        <f t="shared" si="33"/>
        <v/>
      </c>
      <c r="FU721" s="1464"/>
      <c r="FV721" s="1464"/>
      <c r="FW721" s="1464"/>
      <c r="FX721" s="1463"/>
      <c r="FY721" s="1462" t="str">
        <f t="shared" si="34"/>
        <v/>
      </c>
      <c r="FZ721" s="1464"/>
      <c r="GA721" s="1464"/>
      <c r="GB721" s="1464"/>
      <c r="GC721" s="1463"/>
    </row>
    <row r="722" spans="1:185" ht="12.9" customHeight="1" x14ac:dyDescent="0.25">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8"/>
        <v>0</v>
      </c>
      <c r="Y722" s="1352"/>
      <c r="Z722" s="1352"/>
      <c r="AA722" s="1352"/>
      <c r="AB722" s="1353"/>
      <c r="AC722" s="1358"/>
      <c r="AD722" s="1359"/>
      <c r="AE722" s="1359"/>
      <c r="AF722" s="1359"/>
      <c r="AG722" s="1360"/>
      <c r="AH722" s="1354" t="str">
        <f t="shared" si="35"/>
        <v/>
      </c>
      <c r="AI722" s="1355"/>
      <c r="AJ722" s="1356"/>
      <c r="AK722" s="1336" t="s">
        <v>592</v>
      </c>
      <c r="AL722" s="1337"/>
      <c r="AM722" s="1337"/>
      <c r="AN722" s="1337"/>
      <c r="AO722" s="1338"/>
      <c r="AP722" s="3"/>
      <c r="AQ722" s="3"/>
      <c r="AR722" s="3"/>
      <c r="AS722" s="3"/>
      <c r="AY722" s="116"/>
      <c r="AZ722" s="118" t="str">
        <f>IF($G722=0,"N/A",VLOOKUP($T$189,TC_Rent,(MATCH($B722,bedrooms,FALSE)),FALSE))</f>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462">
        <f t="shared" si="36"/>
        <v>0</v>
      </c>
      <c r="CH722" s="1463"/>
      <c r="CI722" s="1468">
        <f t="shared" si="37"/>
        <v>0</v>
      </c>
      <c r="CJ722" s="1469"/>
      <c r="CK722" s="1462">
        <f t="shared" si="15"/>
        <v>0</v>
      </c>
      <c r="CL722" s="1463"/>
      <c r="CM722" s="1468">
        <f t="shared" si="16"/>
        <v>0</v>
      </c>
      <c r="CN722" s="1469"/>
      <c r="CO722" s="3"/>
      <c r="CP722" s="1457">
        <f t="shared" si="17"/>
        <v>0</v>
      </c>
      <c r="CQ722" s="1458"/>
      <c r="CR722" s="1458"/>
      <c r="CS722" s="1458"/>
      <c r="CT722" s="1459"/>
      <c r="CU722" s="1442">
        <f t="shared" si="18"/>
        <v>0</v>
      </c>
      <c r="CV722" s="1442"/>
      <c r="CW722" s="1442"/>
      <c r="CX722" s="1442"/>
      <c r="CY722" s="1442"/>
      <c r="CZ722" s="1442">
        <f t="shared" si="19"/>
        <v>0</v>
      </c>
      <c r="DA722" s="1442"/>
      <c r="DB722" s="1442"/>
      <c r="DC722" s="1442"/>
      <c r="DD722" s="1442"/>
      <c r="DE722" s="1442">
        <f t="shared" si="20"/>
        <v>0</v>
      </c>
      <c r="DF722" s="1442"/>
      <c r="DG722" s="1442"/>
      <c r="DH722" s="1442"/>
      <c r="DI722" s="1442"/>
      <c r="DJ722" s="1442">
        <f t="shared" si="21"/>
        <v>0</v>
      </c>
      <c r="DK722" s="1442"/>
      <c r="DL722" s="1442"/>
      <c r="DM722" s="1442"/>
      <c r="DN722" s="1442"/>
      <c r="DO722" s="1442">
        <f t="shared" si="22"/>
        <v>0</v>
      </c>
      <c r="DP722" s="1442"/>
      <c r="DQ722" s="1442"/>
      <c r="DR722" s="1442"/>
      <c r="DS722" s="1442"/>
      <c r="DT722" s="6"/>
      <c r="DU722" s="1443">
        <f t="shared" si="23"/>
        <v>0</v>
      </c>
      <c r="DV722" s="1443"/>
      <c r="DW722" s="1443"/>
      <c r="DX722" s="1443"/>
      <c r="DY722" s="1443"/>
      <c r="DZ722" s="1443">
        <f t="shared" si="24"/>
        <v>0</v>
      </c>
      <c r="EA722" s="1443"/>
      <c r="EB722" s="1443"/>
      <c r="EC722" s="1443"/>
      <c r="ED722" s="1443"/>
      <c r="EE722" s="1443">
        <f t="shared" si="25"/>
        <v>0</v>
      </c>
      <c r="EF722" s="1443"/>
      <c r="EG722" s="1443"/>
      <c r="EH722" s="1443"/>
      <c r="EI722" s="1443"/>
      <c r="EJ722" s="1443">
        <f t="shared" si="26"/>
        <v>0</v>
      </c>
      <c r="EK722" s="1443"/>
      <c r="EL722" s="1443"/>
      <c r="EM722" s="1443"/>
      <c r="EN722" s="1443"/>
      <c r="EO722" s="1443">
        <f t="shared" si="27"/>
        <v>0</v>
      </c>
      <c r="EP722" s="1443"/>
      <c r="EQ722" s="1443"/>
      <c r="ER722" s="1443"/>
      <c r="ES722" s="1443"/>
      <c r="ET722" s="1443">
        <f t="shared" si="28"/>
        <v>0</v>
      </c>
      <c r="EU722" s="1443"/>
      <c r="EV722" s="1443"/>
      <c r="EW722" s="1443"/>
      <c r="EX722" s="1443"/>
      <c r="EZ722" s="1462" t="str">
        <f t="shared" si="29"/>
        <v/>
      </c>
      <c r="FA722" s="1464"/>
      <c r="FB722" s="1464"/>
      <c r="FC722" s="1464"/>
      <c r="FD722" s="1463"/>
      <c r="FE722" s="1462" t="str">
        <f t="shared" si="30"/>
        <v/>
      </c>
      <c r="FF722" s="1464"/>
      <c r="FG722" s="1464"/>
      <c r="FH722" s="1464"/>
      <c r="FI722" s="1463"/>
      <c r="FJ722" s="1462" t="str">
        <f t="shared" si="31"/>
        <v/>
      </c>
      <c r="FK722" s="1464"/>
      <c r="FL722" s="1464"/>
      <c r="FM722" s="1464"/>
      <c r="FN722" s="1463"/>
      <c r="FO722" s="1462" t="str">
        <f t="shared" si="32"/>
        <v/>
      </c>
      <c r="FP722" s="1464"/>
      <c r="FQ722" s="1464"/>
      <c r="FR722" s="1464"/>
      <c r="FS722" s="1463"/>
      <c r="FT722" s="1462" t="str">
        <f t="shared" si="33"/>
        <v/>
      </c>
      <c r="FU722" s="1464"/>
      <c r="FV722" s="1464"/>
      <c r="FW722" s="1464"/>
      <c r="FX722" s="1463"/>
      <c r="FY722" s="1462" t="str">
        <f t="shared" si="34"/>
        <v/>
      </c>
      <c r="FZ722" s="1464"/>
      <c r="GA722" s="1464"/>
      <c r="GB722" s="1464"/>
      <c r="GC722" s="1463"/>
    </row>
    <row r="723" spans="1:185" ht="12.9" customHeight="1" x14ac:dyDescent="0.25">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8"/>
        <v>0</v>
      </c>
      <c r="Y723" s="1352"/>
      <c r="Z723" s="1352"/>
      <c r="AA723" s="1352"/>
      <c r="AB723" s="1353"/>
      <c r="AC723" s="1358"/>
      <c r="AD723" s="1359"/>
      <c r="AE723" s="1359"/>
      <c r="AF723" s="1359"/>
      <c r="AG723" s="1360"/>
      <c r="AH723" s="1354" t="str">
        <f t="shared" si="35"/>
        <v/>
      </c>
      <c r="AI723" s="1355"/>
      <c r="AJ723" s="1356"/>
      <c r="AK723" s="1336" t="s">
        <v>592</v>
      </c>
      <c r="AL723" s="1337"/>
      <c r="AM723" s="1337"/>
      <c r="AN723" s="1337"/>
      <c r="AO723" s="1338"/>
      <c r="AP723" s="3"/>
      <c r="AQ723" s="3"/>
      <c r="AR723" s="3"/>
      <c r="AS723" s="3"/>
      <c r="AY723" s="116"/>
      <c r="AZ723" s="118" t="str">
        <f>IF($G723=0,"N/A",VLOOKUP($T$189,TC_Rent,(MATCH($B723,bedrooms,FALSE)),FALSE))</f>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2">
        <f t="shared" si="36"/>
        <v>0</v>
      </c>
      <c r="CH723" s="1463"/>
      <c r="CI723" s="1468">
        <f t="shared" si="37"/>
        <v>0</v>
      </c>
      <c r="CJ723" s="1469"/>
      <c r="CK723" s="1462">
        <f t="shared" si="15"/>
        <v>0</v>
      </c>
      <c r="CL723" s="1463"/>
      <c r="CM723" s="1468">
        <f t="shared" si="16"/>
        <v>0</v>
      </c>
      <c r="CN723" s="1469"/>
      <c r="CO723" s="3"/>
      <c r="CP723" s="1457">
        <f t="shared" si="17"/>
        <v>0</v>
      </c>
      <c r="CQ723" s="1458"/>
      <c r="CR723" s="1458"/>
      <c r="CS723" s="1458"/>
      <c r="CT723" s="1459"/>
      <c r="CU723" s="1442">
        <f t="shared" si="18"/>
        <v>0</v>
      </c>
      <c r="CV723" s="1442"/>
      <c r="CW723" s="1442"/>
      <c r="CX723" s="1442"/>
      <c r="CY723" s="1442"/>
      <c r="CZ723" s="1442">
        <f t="shared" si="19"/>
        <v>0</v>
      </c>
      <c r="DA723" s="1442"/>
      <c r="DB723" s="1442"/>
      <c r="DC723" s="1442"/>
      <c r="DD723" s="1442"/>
      <c r="DE723" s="1442">
        <f t="shared" si="20"/>
        <v>0</v>
      </c>
      <c r="DF723" s="1442"/>
      <c r="DG723" s="1442"/>
      <c r="DH723" s="1442"/>
      <c r="DI723" s="1442"/>
      <c r="DJ723" s="1442">
        <f t="shared" si="21"/>
        <v>0</v>
      </c>
      <c r="DK723" s="1442"/>
      <c r="DL723" s="1442"/>
      <c r="DM723" s="1442"/>
      <c r="DN723" s="1442"/>
      <c r="DO723" s="1442">
        <f t="shared" si="22"/>
        <v>0</v>
      </c>
      <c r="DP723" s="1442"/>
      <c r="DQ723" s="1442"/>
      <c r="DR723" s="1442"/>
      <c r="DS723" s="1442"/>
      <c r="DT723" s="6"/>
      <c r="DU723" s="1443">
        <f t="shared" si="23"/>
        <v>0</v>
      </c>
      <c r="DV723" s="1443"/>
      <c r="DW723" s="1443"/>
      <c r="DX723" s="1443"/>
      <c r="DY723" s="1443"/>
      <c r="DZ723" s="1443">
        <f t="shared" si="24"/>
        <v>0</v>
      </c>
      <c r="EA723" s="1443"/>
      <c r="EB723" s="1443"/>
      <c r="EC723" s="1443"/>
      <c r="ED723" s="1443"/>
      <c r="EE723" s="1443">
        <f t="shared" si="25"/>
        <v>0</v>
      </c>
      <c r="EF723" s="1443"/>
      <c r="EG723" s="1443"/>
      <c r="EH723" s="1443"/>
      <c r="EI723" s="1443"/>
      <c r="EJ723" s="1443">
        <f t="shared" si="26"/>
        <v>0</v>
      </c>
      <c r="EK723" s="1443"/>
      <c r="EL723" s="1443"/>
      <c r="EM723" s="1443"/>
      <c r="EN723" s="1443"/>
      <c r="EO723" s="1443">
        <f t="shared" si="27"/>
        <v>0</v>
      </c>
      <c r="EP723" s="1443"/>
      <c r="EQ723" s="1443"/>
      <c r="ER723" s="1443"/>
      <c r="ES723" s="1443"/>
      <c r="ET723" s="1443">
        <f t="shared" si="28"/>
        <v>0</v>
      </c>
      <c r="EU723" s="1443"/>
      <c r="EV723" s="1443"/>
      <c r="EW723" s="1443"/>
      <c r="EX723" s="1443"/>
      <c r="EZ723" s="1462" t="str">
        <f t="shared" si="29"/>
        <v/>
      </c>
      <c r="FA723" s="1464"/>
      <c r="FB723" s="1464"/>
      <c r="FC723" s="1464"/>
      <c r="FD723" s="1463"/>
      <c r="FE723" s="1462" t="str">
        <f t="shared" si="30"/>
        <v/>
      </c>
      <c r="FF723" s="1464"/>
      <c r="FG723" s="1464"/>
      <c r="FH723" s="1464"/>
      <c r="FI723" s="1463"/>
      <c r="FJ723" s="1462" t="str">
        <f t="shared" si="31"/>
        <v/>
      </c>
      <c r="FK723" s="1464"/>
      <c r="FL723" s="1464"/>
      <c r="FM723" s="1464"/>
      <c r="FN723" s="1463"/>
      <c r="FO723" s="1462" t="str">
        <f t="shared" si="32"/>
        <v/>
      </c>
      <c r="FP723" s="1464"/>
      <c r="FQ723" s="1464"/>
      <c r="FR723" s="1464"/>
      <c r="FS723" s="1463"/>
      <c r="FT723" s="1462" t="str">
        <f t="shared" si="33"/>
        <v/>
      </c>
      <c r="FU723" s="1464"/>
      <c r="FV723" s="1464"/>
      <c r="FW723" s="1464"/>
      <c r="FX723" s="1463"/>
      <c r="FY723" s="1462" t="str">
        <f t="shared" si="34"/>
        <v/>
      </c>
      <c r="FZ723" s="1464"/>
      <c r="GA723" s="1464"/>
      <c r="GB723" s="1464"/>
      <c r="GC723" s="1463"/>
    </row>
    <row r="724" spans="1:185" ht="12.9" customHeight="1" x14ac:dyDescent="0.25">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8"/>
        <v>0</v>
      </c>
      <c r="Y724" s="1352"/>
      <c r="Z724" s="1352"/>
      <c r="AA724" s="1352"/>
      <c r="AB724" s="1353"/>
      <c r="AC724" s="1358"/>
      <c r="AD724" s="1359"/>
      <c r="AE724" s="1359"/>
      <c r="AF724" s="1359"/>
      <c r="AG724" s="1360"/>
      <c r="AH724" s="1354" t="str">
        <f t="shared" si="35"/>
        <v/>
      </c>
      <c r="AI724" s="1355"/>
      <c r="AJ724" s="1356"/>
      <c r="AK724" s="1336" t="s">
        <v>592</v>
      </c>
      <c r="AL724" s="1337"/>
      <c r="AM724" s="1337"/>
      <c r="AN724" s="1337"/>
      <c r="AO724" s="1338"/>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2">
        <f t="shared" si="36"/>
        <v>0</v>
      </c>
      <c r="CH724" s="1463"/>
      <c r="CI724" s="1468">
        <f t="shared" si="37"/>
        <v>0</v>
      </c>
      <c r="CJ724" s="1469"/>
      <c r="CK724" s="1462">
        <f t="shared" si="15"/>
        <v>0</v>
      </c>
      <c r="CL724" s="1463"/>
      <c r="CM724" s="1468">
        <f t="shared" si="16"/>
        <v>0</v>
      </c>
      <c r="CN724" s="1469"/>
      <c r="CO724" s="3"/>
      <c r="CP724" s="1457">
        <f t="shared" si="17"/>
        <v>0</v>
      </c>
      <c r="CQ724" s="1458"/>
      <c r="CR724" s="1458"/>
      <c r="CS724" s="1458"/>
      <c r="CT724" s="1459"/>
      <c r="CU724" s="1442">
        <f t="shared" si="18"/>
        <v>0</v>
      </c>
      <c r="CV724" s="1442"/>
      <c r="CW724" s="1442"/>
      <c r="CX724" s="1442"/>
      <c r="CY724" s="1442"/>
      <c r="CZ724" s="1442">
        <f t="shared" si="19"/>
        <v>0</v>
      </c>
      <c r="DA724" s="1442"/>
      <c r="DB724" s="1442"/>
      <c r="DC724" s="1442"/>
      <c r="DD724" s="1442"/>
      <c r="DE724" s="1442">
        <f t="shared" si="20"/>
        <v>0</v>
      </c>
      <c r="DF724" s="1442"/>
      <c r="DG724" s="1442"/>
      <c r="DH724" s="1442"/>
      <c r="DI724" s="1442"/>
      <c r="DJ724" s="1442">
        <f t="shared" si="21"/>
        <v>0</v>
      </c>
      <c r="DK724" s="1442"/>
      <c r="DL724" s="1442"/>
      <c r="DM724" s="1442"/>
      <c r="DN724" s="1442"/>
      <c r="DO724" s="1442">
        <f t="shared" si="22"/>
        <v>0</v>
      </c>
      <c r="DP724" s="1442"/>
      <c r="DQ724" s="1442"/>
      <c r="DR724" s="1442"/>
      <c r="DS724" s="1442"/>
      <c r="DT724" s="6"/>
      <c r="DU724" s="1443">
        <f t="shared" si="23"/>
        <v>0</v>
      </c>
      <c r="DV724" s="1443"/>
      <c r="DW724" s="1443"/>
      <c r="DX724" s="1443"/>
      <c r="DY724" s="1443"/>
      <c r="DZ724" s="1443">
        <f t="shared" si="24"/>
        <v>0</v>
      </c>
      <c r="EA724" s="1443"/>
      <c r="EB724" s="1443"/>
      <c r="EC724" s="1443"/>
      <c r="ED724" s="1443"/>
      <c r="EE724" s="1443">
        <f t="shared" si="25"/>
        <v>0</v>
      </c>
      <c r="EF724" s="1443"/>
      <c r="EG724" s="1443"/>
      <c r="EH724" s="1443"/>
      <c r="EI724" s="1443"/>
      <c r="EJ724" s="1443">
        <f t="shared" si="26"/>
        <v>0</v>
      </c>
      <c r="EK724" s="1443"/>
      <c r="EL724" s="1443"/>
      <c r="EM724" s="1443"/>
      <c r="EN724" s="1443"/>
      <c r="EO724" s="1443">
        <f t="shared" si="27"/>
        <v>0</v>
      </c>
      <c r="EP724" s="1443"/>
      <c r="EQ724" s="1443"/>
      <c r="ER724" s="1443"/>
      <c r="ES724" s="1443"/>
      <c r="ET724" s="1443">
        <f t="shared" si="28"/>
        <v>0</v>
      </c>
      <c r="EU724" s="1443"/>
      <c r="EV724" s="1443"/>
      <c r="EW724" s="1443"/>
      <c r="EX724" s="1443"/>
      <c r="EZ724" s="1462" t="str">
        <f t="shared" si="29"/>
        <v/>
      </c>
      <c r="FA724" s="1464"/>
      <c r="FB724" s="1464"/>
      <c r="FC724" s="1464"/>
      <c r="FD724" s="1463"/>
      <c r="FE724" s="1462" t="str">
        <f t="shared" si="30"/>
        <v/>
      </c>
      <c r="FF724" s="1464"/>
      <c r="FG724" s="1464"/>
      <c r="FH724" s="1464"/>
      <c r="FI724" s="1463"/>
      <c r="FJ724" s="1462" t="str">
        <f t="shared" si="31"/>
        <v/>
      </c>
      <c r="FK724" s="1464"/>
      <c r="FL724" s="1464"/>
      <c r="FM724" s="1464"/>
      <c r="FN724" s="1463"/>
      <c r="FO724" s="1462" t="str">
        <f t="shared" si="32"/>
        <v/>
      </c>
      <c r="FP724" s="1464"/>
      <c r="FQ724" s="1464"/>
      <c r="FR724" s="1464"/>
      <c r="FS724" s="1463"/>
      <c r="FT724" s="1462" t="str">
        <f t="shared" si="33"/>
        <v/>
      </c>
      <c r="FU724" s="1464"/>
      <c r="FV724" s="1464"/>
      <c r="FW724" s="1464"/>
      <c r="FX724" s="1463"/>
      <c r="FY724" s="1462" t="str">
        <f t="shared" si="34"/>
        <v/>
      </c>
      <c r="FZ724" s="1464"/>
      <c r="GA724" s="1464"/>
      <c r="GB724" s="1464"/>
      <c r="GC724" s="1463"/>
    </row>
    <row r="725" spans="1:185" ht="12.9" customHeight="1" x14ac:dyDescent="0.25">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8"/>
        <v>0</v>
      </c>
      <c r="Y725" s="1352"/>
      <c r="Z725" s="1352"/>
      <c r="AA725" s="1352"/>
      <c r="AB725" s="1353"/>
      <c r="AC725" s="1358"/>
      <c r="AD725" s="1359"/>
      <c r="AE725" s="1359"/>
      <c r="AF725" s="1359"/>
      <c r="AG725" s="1360"/>
      <c r="AH725" s="1354" t="str">
        <f t="shared" si="35"/>
        <v/>
      </c>
      <c r="AI725" s="1355"/>
      <c r="AJ725" s="1356"/>
      <c r="AK725" s="1336" t="s">
        <v>592</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2">
        <f t="shared" si="36"/>
        <v>0</v>
      </c>
      <c r="CH725" s="1463"/>
      <c r="CI725" s="1468">
        <f t="shared" si="37"/>
        <v>0</v>
      </c>
      <c r="CJ725" s="1469"/>
      <c r="CK725" s="1462">
        <f t="shared" si="15"/>
        <v>0</v>
      </c>
      <c r="CL725" s="1463"/>
      <c r="CM725" s="1468">
        <f t="shared" si="16"/>
        <v>0</v>
      </c>
      <c r="CN725" s="1469"/>
      <c r="CO725" s="3"/>
      <c r="CP725" s="1457">
        <f t="shared" si="17"/>
        <v>0</v>
      </c>
      <c r="CQ725" s="1458"/>
      <c r="CR725" s="1458"/>
      <c r="CS725" s="1458"/>
      <c r="CT725" s="1459"/>
      <c r="CU725" s="1442">
        <f t="shared" si="18"/>
        <v>0</v>
      </c>
      <c r="CV725" s="1442"/>
      <c r="CW725" s="1442"/>
      <c r="CX725" s="1442"/>
      <c r="CY725" s="1442"/>
      <c r="CZ725" s="1442">
        <f t="shared" si="19"/>
        <v>0</v>
      </c>
      <c r="DA725" s="1442"/>
      <c r="DB725" s="1442"/>
      <c r="DC725" s="1442"/>
      <c r="DD725" s="1442"/>
      <c r="DE725" s="1442">
        <f t="shared" si="20"/>
        <v>0</v>
      </c>
      <c r="DF725" s="1442"/>
      <c r="DG725" s="1442"/>
      <c r="DH725" s="1442"/>
      <c r="DI725" s="1442"/>
      <c r="DJ725" s="1442">
        <f t="shared" si="21"/>
        <v>0</v>
      </c>
      <c r="DK725" s="1442"/>
      <c r="DL725" s="1442"/>
      <c r="DM725" s="1442"/>
      <c r="DN725" s="1442"/>
      <c r="DO725" s="1442">
        <f t="shared" si="22"/>
        <v>0</v>
      </c>
      <c r="DP725" s="1442"/>
      <c r="DQ725" s="1442"/>
      <c r="DR725" s="1442"/>
      <c r="DS725" s="1442"/>
      <c r="DT725" s="6"/>
      <c r="DU725" s="1443">
        <f t="shared" si="23"/>
        <v>0</v>
      </c>
      <c r="DV725" s="1443"/>
      <c r="DW725" s="1443"/>
      <c r="DX725" s="1443"/>
      <c r="DY725" s="1443"/>
      <c r="DZ725" s="1443">
        <f t="shared" si="24"/>
        <v>0</v>
      </c>
      <c r="EA725" s="1443"/>
      <c r="EB725" s="1443"/>
      <c r="EC725" s="1443"/>
      <c r="ED725" s="1443"/>
      <c r="EE725" s="1443">
        <f t="shared" si="25"/>
        <v>0</v>
      </c>
      <c r="EF725" s="1443"/>
      <c r="EG725" s="1443"/>
      <c r="EH725" s="1443"/>
      <c r="EI725" s="1443"/>
      <c r="EJ725" s="1443">
        <f t="shared" si="26"/>
        <v>0</v>
      </c>
      <c r="EK725" s="1443"/>
      <c r="EL725" s="1443"/>
      <c r="EM725" s="1443"/>
      <c r="EN725" s="1443"/>
      <c r="EO725" s="1443">
        <f t="shared" si="27"/>
        <v>0</v>
      </c>
      <c r="EP725" s="1443"/>
      <c r="EQ725" s="1443"/>
      <c r="ER725" s="1443"/>
      <c r="ES725" s="1443"/>
      <c r="ET725" s="1443">
        <f t="shared" si="28"/>
        <v>0</v>
      </c>
      <c r="EU725" s="1443"/>
      <c r="EV725" s="1443"/>
      <c r="EW725" s="1443"/>
      <c r="EX725" s="1443"/>
      <c r="EZ725" s="1462" t="str">
        <f t="shared" si="29"/>
        <v/>
      </c>
      <c r="FA725" s="1464"/>
      <c r="FB725" s="1464"/>
      <c r="FC725" s="1464"/>
      <c r="FD725" s="1463"/>
      <c r="FE725" s="1462" t="str">
        <f t="shared" si="30"/>
        <v/>
      </c>
      <c r="FF725" s="1464"/>
      <c r="FG725" s="1464"/>
      <c r="FH725" s="1464"/>
      <c r="FI725" s="1463"/>
      <c r="FJ725" s="1462" t="str">
        <f t="shared" si="31"/>
        <v/>
      </c>
      <c r="FK725" s="1464"/>
      <c r="FL725" s="1464"/>
      <c r="FM725" s="1464"/>
      <c r="FN725" s="1463"/>
      <c r="FO725" s="1462" t="str">
        <f t="shared" si="32"/>
        <v/>
      </c>
      <c r="FP725" s="1464"/>
      <c r="FQ725" s="1464"/>
      <c r="FR725" s="1464"/>
      <c r="FS725" s="1463"/>
      <c r="FT725" s="1462" t="str">
        <f t="shared" si="33"/>
        <v/>
      </c>
      <c r="FU725" s="1464"/>
      <c r="FV725" s="1464"/>
      <c r="FW725" s="1464"/>
      <c r="FX725" s="1463"/>
      <c r="FY725" s="1462" t="str">
        <f t="shared" si="34"/>
        <v/>
      </c>
      <c r="FZ725" s="1464"/>
      <c r="GA725" s="1464"/>
      <c r="GB725" s="1464"/>
      <c r="GC725" s="1463"/>
    </row>
    <row r="726" spans="1:185" ht="12.9" customHeight="1" x14ac:dyDescent="0.25">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8"/>
        <v>0</v>
      </c>
      <c r="Y726" s="1352"/>
      <c r="Z726" s="1352"/>
      <c r="AA726" s="1352"/>
      <c r="AB726" s="1353"/>
      <c r="AC726" s="1358"/>
      <c r="AD726" s="1359"/>
      <c r="AE726" s="1359"/>
      <c r="AF726" s="1359"/>
      <c r="AG726" s="1360"/>
      <c r="AH726" s="1354" t="str">
        <f t="shared" si="35"/>
        <v/>
      </c>
      <c r="AI726" s="1355"/>
      <c r="AJ726" s="1356"/>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2">
        <f t="shared" si="36"/>
        <v>0</v>
      </c>
      <c r="CH726" s="1463"/>
      <c r="CI726" s="1468">
        <f t="shared" si="37"/>
        <v>0</v>
      </c>
      <c r="CJ726" s="1469"/>
      <c r="CK726" s="1462">
        <f t="shared" si="15"/>
        <v>0</v>
      </c>
      <c r="CL726" s="1463"/>
      <c r="CM726" s="1468">
        <f t="shared" si="16"/>
        <v>0</v>
      </c>
      <c r="CN726" s="1469"/>
      <c r="CO726" s="3"/>
      <c r="CP726" s="1457">
        <f t="shared" si="17"/>
        <v>0</v>
      </c>
      <c r="CQ726" s="1458"/>
      <c r="CR726" s="1458"/>
      <c r="CS726" s="1458"/>
      <c r="CT726" s="1459"/>
      <c r="CU726" s="1442">
        <f t="shared" si="18"/>
        <v>0</v>
      </c>
      <c r="CV726" s="1442"/>
      <c r="CW726" s="1442"/>
      <c r="CX726" s="1442"/>
      <c r="CY726" s="1442"/>
      <c r="CZ726" s="1442">
        <f t="shared" si="19"/>
        <v>0</v>
      </c>
      <c r="DA726" s="1442"/>
      <c r="DB726" s="1442"/>
      <c r="DC726" s="1442"/>
      <c r="DD726" s="1442"/>
      <c r="DE726" s="1442">
        <f t="shared" si="20"/>
        <v>0</v>
      </c>
      <c r="DF726" s="1442"/>
      <c r="DG726" s="1442"/>
      <c r="DH726" s="1442"/>
      <c r="DI726" s="1442"/>
      <c r="DJ726" s="1442">
        <f t="shared" si="21"/>
        <v>0</v>
      </c>
      <c r="DK726" s="1442"/>
      <c r="DL726" s="1442"/>
      <c r="DM726" s="1442"/>
      <c r="DN726" s="1442"/>
      <c r="DO726" s="1442">
        <f t="shared" si="22"/>
        <v>0</v>
      </c>
      <c r="DP726" s="1442"/>
      <c r="DQ726" s="1442"/>
      <c r="DR726" s="1442"/>
      <c r="DS726" s="1442"/>
      <c r="DT726" s="6"/>
      <c r="DU726" s="1443">
        <f t="shared" si="23"/>
        <v>0</v>
      </c>
      <c r="DV726" s="1443"/>
      <c r="DW726" s="1443"/>
      <c r="DX726" s="1443"/>
      <c r="DY726" s="1443"/>
      <c r="DZ726" s="1443">
        <f t="shared" si="24"/>
        <v>0</v>
      </c>
      <c r="EA726" s="1443"/>
      <c r="EB726" s="1443"/>
      <c r="EC726" s="1443"/>
      <c r="ED726" s="1443"/>
      <c r="EE726" s="1443">
        <f t="shared" si="25"/>
        <v>0</v>
      </c>
      <c r="EF726" s="1443"/>
      <c r="EG726" s="1443"/>
      <c r="EH726" s="1443"/>
      <c r="EI726" s="1443"/>
      <c r="EJ726" s="1443">
        <f t="shared" si="26"/>
        <v>0</v>
      </c>
      <c r="EK726" s="1443"/>
      <c r="EL726" s="1443"/>
      <c r="EM726" s="1443"/>
      <c r="EN726" s="1443"/>
      <c r="EO726" s="1443">
        <f t="shared" si="27"/>
        <v>0</v>
      </c>
      <c r="EP726" s="1443"/>
      <c r="EQ726" s="1443"/>
      <c r="ER726" s="1443"/>
      <c r="ES726" s="1443"/>
      <c r="ET726" s="1443">
        <f t="shared" si="28"/>
        <v>0</v>
      </c>
      <c r="EU726" s="1443"/>
      <c r="EV726" s="1443"/>
      <c r="EW726" s="1443"/>
      <c r="EX726" s="1443"/>
      <c r="EY726" s="4"/>
      <c r="EZ726" s="1462" t="str">
        <f t="shared" si="29"/>
        <v/>
      </c>
      <c r="FA726" s="1464"/>
      <c r="FB726" s="1464"/>
      <c r="FC726" s="1464"/>
      <c r="FD726" s="1463"/>
      <c r="FE726" s="1462" t="str">
        <f t="shared" si="30"/>
        <v/>
      </c>
      <c r="FF726" s="1464"/>
      <c r="FG726" s="1464"/>
      <c r="FH726" s="1464"/>
      <c r="FI726" s="1463"/>
      <c r="FJ726" s="1462" t="str">
        <f t="shared" si="31"/>
        <v/>
      </c>
      <c r="FK726" s="1464"/>
      <c r="FL726" s="1464"/>
      <c r="FM726" s="1464"/>
      <c r="FN726" s="1463"/>
      <c r="FO726" s="1462" t="str">
        <f t="shared" si="32"/>
        <v/>
      </c>
      <c r="FP726" s="1464"/>
      <c r="FQ726" s="1464"/>
      <c r="FR726" s="1464"/>
      <c r="FS726" s="1463"/>
      <c r="FT726" s="1462" t="str">
        <f t="shared" si="33"/>
        <v/>
      </c>
      <c r="FU726" s="1464"/>
      <c r="FV726" s="1464"/>
      <c r="FW726" s="1464"/>
      <c r="FX726" s="1463"/>
      <c r="FY726" s="1462" t="str">
        <f t="shared" si="34"/>
        <v/>
      </c>
      <c r="FZ726" s="1464"/>
      <c r="GA726" s="1464"/>
      <c r="GB726" s="1464"/>
      <c r="GC726" s="1463"/>
    </row>
    <row r="727" spans="1:185" ht="12.9" customHeight="1" x14ac:dyDescent="0.25">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5"/>
        <v/>
      </c>
      <c r="AI727" s="1355"/>
      <c r="AJ727" s="1356"/>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2">
        <f t="shared" si="36"/>
        <v>0</v>
      </c>
      <c r="CH727" s="1463"/>
      <c r="CI727" s="1468">
        <f t="shared" si="37"/>
        <v>0</v>
      </c>
      <c r="CJ727" s="1469"/>
      <c r="CK727" s="1462">
        <f t="shared" si="15"/>
        <v>0</v>
      </c>
      <c r="CL727" s="1463"/>
      <c r="CM727" s="1468">
        <f t="shared" si="16"/>
        <v>0</v>
      </c>
      <c r="CN727" s="1469"/>
      <c r="CO727" s="3"/>
      <c r="CP727" s="1457">
        <f t="shared" si="17"/>
        <v>0</v>
      </c>
      <c r="CQ727" s="1458"/>
      <c r="CR727" s="1458"/>
      <c r="CS727" s="1458"/>
      <c r="CT727" s="1459"/>
      <c r="CU727" s="1442">
        <f t="shared" si="18"/>
        <v>0</v>
      </c>
      <c r="CV727" s="1442"/>
      <c r="CW727" s="1442"/>
      <c r="CX727" s="1442"/>
      <c r="CY727" s="1442"/>
      <c r="CZ727" s="1442">
        <f t="shared" si="19"/>
        <v>0</v>
      </c>
      <c r="DA727" s="1442"/>
      <c r="DB727" s="1442"/>
      <c r="DC727" s="1442"/>
      <c r="DD727" s="1442"/>
      <c r="DE727" s="1442">
        <f t="shared" si="20"/>
        <v>0</v>
      </c>
      <c r="DF727" s="1442"/>
      <c r="DG727" s="1442"/>
      <c r="DH727" s="1442"/>
      <c r="DI727" s="1442"/>
      <c r="DJ727" s="1442">
        <f t="shared" si="21"/>
        <v>0</v>
      </c>
      <c r="DK727" s="1442"/>
      <c r="DL727" s="1442"/>
      <c r="DM727" s="1442"/>
      <c r="DN727" s="1442"/>
      <c r="DO727" s="1442">
        <f t="shared" si="22"/>
        <v>0</v>
      </c>
      <c r="DP727" s="1442"/>
      <c r="DQ727" s="1442"/>
      <c r="DR727" s="1442"/>
      <c r="DS727" s="1442"/>
      <c r="DT727" s="6"/>
      <c r="DU727" s="1443">
        <f t="shared" si="23"/>
        <v>0</v>
      </c>
      <c r="DV727" s="1443"/>
      <c r="DW727" s="1443"/>
      <c r="DX727" s="1443"/>
      <c r="DY727" s="1443"/>
      <c r="DZ727" s="1443">
        <f t="shared" si="24"/>
        <v>0</v>
      </c>
      <c r="EA727" s="1443"/>
      <c r="EB727" s="1443"/>
      <c r="EC727" s="1443"/>
      <c r="ED727" s="1443"/>
      <c r="EE727" s="1443">
        <f t="shared" si="25"/>
        <v>0</v>
      </c>
      <c r="EF727" s="1443"/>
      <c r="EG727" s="1443"/>
      <c r="EH727" s="1443"/>
      <c r="EI727" s="1443"/>
      <c r="EJ727" s="1443">
        <f t="shared" si="26"/>
        <v>0</v>
      </c>
      <c r="EK727" s="1443"/>
      <c r="EL727" s="1443"/>
      <c r="EM727" s="1443"/>
      <c r="EN727" s="1443"/>
      <c r="EO727" s="1443">
        <f t="shared" si="27"/>
        <v>0</v>
      </c>
      <c r="EP727" s="1443"/>
      <c r="EQ727" s="1443"/>
      <c r="ER727" s="1443"/>
      <c r="ES727" s="1443"/>
      <c r="ET727" s="1443">
        <f t="shared" si="28"/>
        <v>0</v>
      </c>
      <c r="EU727" s="1443"/>
      <c r="EV727" s="1443"/>
      <c r="EW727" s="1443"/>
      <c r="EX727" s="1443"/>
      <c r="EY727" s="4"/>
      <c r="EZ727" s="1462" t="str">
        <f t="shared" si="29"/>
        <v/>
      </c>
      <c r="FA727" s="1464"/>
      <c r="FB727" s="1464"/>
      <c r="FC727" s="1464"/>
      <c r="FD727" s="1463"/>
      <c r="FE727" s="1462" t="str">
        <f t="shared" si="30"/>
        <v/>
      </c>
      <c r="FF727" s="1464"/>
      <c r="FG727" s="1464"/>
      <c r="FH727" s="1464"/>
      <c r="FI727" s="1463"/>
      <c r="FJ727" s="1462" t="str">
        <f t="shared" si="31"/>
        <v/>
      </c>
      <c r="FK727" s="1464"/>
      <c r="FL727" s="1464"/>
      <c r="FM727" s="1464"/>
      <c r="FN727" s="1463"/>
      <c r="FO727" s="1462" t="str">
        <f t="shared" si="32"/>
        <v/>
      </c>
      <c r="FP727" s="1464"/>
      <c r="FQ727" s="1464"/>
      <c r="FR727" s="1464"/>
      <c r="FS727" s="1463"/>
      <c r="FT727" s="1462" t="str">
        <f t="shared" si="33"/>
        <v/>
      </c>
      <c r="FU727" s="1464"/>
      <c r="FV727" s="1464"/>
      <c r="FW727" s="1464"/>
      <c r="FX727" s="1463"/>
      <c r="FY727" s="1462" t="str">
        <f t="shared" si="34"/>
        <v/>
      </c>
      <c r="FZ727" s="1464"/>
      <c r="GA727" s="1464"/>
      <c r="GB727" s="1464"/>
      <c r="GC727" s="1463"/>
    </row>
    <row r="728" spans="1:185" ht="12.9" customHeight="1" x14ac:dyDescent="0.25">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5"/>
        <v/>
      </c>
      <c r="AI728" s="1355"/>
      <c r="AJ728" s="1356"/>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2">
        <f t="shared" si="36"/>
        <v>0</v>
      </c>
      <c r="CH728" s="1463"/>
      <c r="CI728" s="1468">
        <f t="shared" si="37"/>
        <v>0</v>
      </c>
      <c r="CJ728" s="1469"/>
      <c r="CK728" s="1462">
        <f t="shared" si="15"/>
        <v>0</v>
      </c>
      <c r="CL728" s="1463"/>
      <c r="CM728" s="1468">
        <f t="shared" si="16"/>
        <v>0</v>
      </c>
      <c r="CN728" s="1469"/>
      <c r="CO728" s="3"/>
      <c r="CP728" s="1457">
        <f t="shared" si="17"/>
        <v>0</v>
      </c>
      <c r="CQ728" s="1458"/>
      <c r="CR728" s="1458"/>
      <c r="CS728" s="1458"/>
      <c r="CT728" s="1459"/>
      <c r="CU728" s="1442">
        <f t="shared" si="18"/>
        <v>0</v>
      </c>
      <c r="CV728" s="1442"/>
      <c r="CW728" s="1442"/>
      <c r="CX728" s="1442"/>
      <c r="CY728" s="1442"/>
      <c r="CZ728" s="1442">
        <f t="shared" si="19"/>
        <v>0</v>
      </c>
      <c r="DA728" s="1442"/>
      <c r="DB728" s="1442"/>
      <c r="DC728" s="1442"/>
      <c r="DD728" s="1442"/>
      <c r="DE728" s="1442">
        <f t="shared" si="20"/>
        <v>0</v>
      </c>
      <c r="DF728" s="1442"/>
      <c r="DG728" s="1442"/>
      <c r="DH728" s="1442"/>
      <c r="DI728" s="1442"/>
      <c r="DJ728" s="1442">
        <f t="shared" si="21"/>
        <v>0</v>
      </c>
      <c r="DK728" s="1442"/>
      <c r="DL728" s="1442"/>
      <c r="DM728" s="1442"/>
      <c r="DN728" s="1442"/>
      <c r="DO728" s="1442">
        <f t="shared" si="22"/>
        <v>0</v>
      </c>
      <c r="DP728" s="1442"/>
      <c r="DQ728" s="1442"/>
      <c r="DR728" s="1442"/>
      <c r="DS728" s="1442"/>
      <c r="DT728" s="6"/>
      <c r="DU728" s="1443">
        <f t="shared" si="23"/>
        <v>0</v>
      </c>
      <c r="DV728" s="1443"/>
      <c r="DW728" s="1443"/>
      <c r="DX728" s="1443"/>
      <c r="DY728" s="1443"/>
      <c r="DZ728" s="1443">
        <f t="shared" si="24"/>
        <v>0</v>
      </c>
      <c r="EA728" s="1443"/>
      <c r="EB728" s="1443"/>
      <c r="EC728" s="1443"/>
      <c r="ED728" s="1443"/>
      <c r="EE728" s="1443">
        <f t="shared" si="25"/>
        <v>0</v>
      </c>
      <c r="EF728" s="1443"/>
      <c r="EG728" s="1443"/>
      <c r="EH728" s="1443"/>
      <c r="EI728" s="1443"/>
      <c r="EJ728" s="1443">
        <f t="shared" si="26"/>
        <v>0</v>
      </c>
      <c r="EK728" s="1443"/>
      <c r="EL728" s="1443"/>
      <c r="EM728" s="1443"/>
      <c r="EN728" s="1443"/>
      <c r="EO728" s="1443">
        <f t="shared" si="27"/>
        <v>0</v>
      </c>
      <c r="EP728" s="1443"/>
      <c r="EQ728" s="1443"/>
      <c r="ER728" s="1443"/>
      <c r="ES728" s="1443"/>
      <c r="ET728" s="1443">
        <f t="shared" si="28"/>
        <v>0</v>
      </c>
      <c r="EU728" s="1443"/>
      <c r="EV728" s="1443"/>
      <c r="EW728" s="1443"/>
      <c r="EX728" s="1443"/>
      <c r="EY728" s="4"/>
      <c r="EZ728" s="1462" t="str">
        <f t="shared" si="29"/>
        <v/>
      </c>
      <c r="FA728" s="1464"/>
      <c r="FB728" s="1464"/>
      <c r="FC728" s="1464"/>
      <c r="FD728" s="1463"/>
      <c r="FE728" s="1462" t="str">
        <f t="shared" si="30"/>
        <v/>
      </c>
      <c r="FF728" s="1464"/>
      <c r="FG728" s="1464"/>
      <c r="FH728" s="1464"/>
      <c r="FI728" s="1463"/>
      <c r="FJ728" s="1462" t="str">
        <f t="shared" si="31"/>
        <v/>
      </c>
      <c r="FK728" s="1464"/>
      <c r="FL728" s="1464"/>
      <c r="FM728" s="1464"/>
      <c r="FN728" s="1463"/>
      <c r="FO728" s="1462" t="str">
        <f t="shared" si="32"/>
        <v/>
      </c>
      <c r="FP728" s="1464"/>
      <c r="FQ728" s="1464"/>
      <c r="FR728" s="1464"/>
      <c r="FS728" s="1463"/>
      <c r="FT728" s="1462" t="str">
        <f t="shared" si="33"/>
        <v/>
      </c>
      <c r="FU728" s="1464"/>
      <c r="FV728" s="1464"/>
      <c r="FW728" s="1464"/>
      <c r="FX728" s="1463"/>
      <c r="FY728" s="1462" t="str">
        <f t="shared" si="34"/>
        <v/>
      </c>
      <c r="FZ728" s="1464"/>
      <c r="GA728" s="1464"/>
      <c r="GB728" s="1464"/>
      <c r="GC728" s="1463"/>
    </row>
    <row r="729" spans="1:185" ht="12.9" customHeight="1" x14ac:dyDescent="0.25">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5"/>
        <v/>
      </c>
      <c r="AI729" s="1355"/>
      <c r="AJ729" s="1356"/>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2">
        <f t="shared" si="36"/>
        <v>0</v>
      </c>
      <c r="CH729" s="1463"/>
      <c r="CI729" s="1468">
        <f t="shared" si="37"/>
        <v>0</v>
      </c>
      <c r="CJ729" s="1469"/>
      <c r="CK729" s="1462">
        <f t="shared" si="15"/>
        <v>0</v>
      </c>
      <c r="CL729" s="1463"/>
      <c r="CM729" s="1468">
        <f t="shared" si="16"/>
        <v>0</v>
      </c>
      <c r="CN729" s="1469"/>
      <c r="CO729" s="3"/>
      <c r="CP729" s="1457">
        <f t="shared" si="17"/>
        <v>0</v>
      </c>
      <c r="CQ729" s="1458"/>
      <c r="CR729" s="1458"/>
      <c r="CS729" s="1458"/>
      <c r="CT729" s="1459"/>
      <c r="CU729" s="1442">
        <f t="shared" si="18"/>
        <v>0</v>
      </c>
      <c r="CV729" s="1442"/>
      <c r="CW729" s="1442"/>
      <c r="CX729" s="1442"/>
      <c r="CY729" s="1442"/>
      <c r="CZ729" s="1442">
        <f t="shared" si="19"/>
        <v>0</v>
      </c>
      <c r="DA729" s="1442"/>
      <c r="DB729" s="1442"/>
      <c r="DC729" s="1442"/>
      <c r="DD729" s="1442"/>
      <c r="DE729" s="1442">
        <f t="shared" si="20"/>
        <v>0</v>
      </c>
      <c r="DF729" s="1442"/>
      <c r="DG729" s="1442"/>
      <c r="DH729" s="1442"/>
      <c r="DI729" s="1442"/>
      <c r="DJ729" s="1442">
        <f t="shared" si="21"/>
        <v>0</v>
      </c>
      <c r="DK729" s="1442"/>
      <c r="DL729" s="1442"/>
      <c r="DM729" s="1442"/>
      <c r="DN729" s="1442"/>
      <c r="DO729" s="1442">
        <f t="shared" si="22"/>
        <v>0</v>
      </c>
      <c r="DP729" s="1442"/>
      <c r="DQ729" s="1442"/>
      <c r="DR729" s="1442"/>
      <c r="DS729" s="1442"/>
      <c r="DT729" s="6"/>
      <c r="DU729" s="1443">
        <f t="shared" si="23"/>
        <v>0</v>
      </c>
      <c r="DV729" s="1443"/>
      <c r="DW729" s="1443"/>
      <c r="DX729" s="1443"/>
      <c r="DY729" s="1443"/>
      <c r="DZ729" s="1443">
        <f t="shared" si="24"/>
        <v>0</v>
      </c>
      <c r="EA729" s="1443"/>
      <c r="EB729" s="1443"/>
      <c r="EC729" s="1443"/>
      <c r="ED729" s="1443"/>
      <c r="EE729" s="1443">
        <f t="shared" si="25"/>
        <v>0</v>
      </c>
      <c r="EF729" s="1443"/>
      <c r="EG729" s="1443"/>
      <c r="EH729" s="1443"/>
      <c r="EI729" s="1443"/>
      <c r="EJ729" s="1443">
        <f t="shared" si="26"/>
        <v>0</v>
      </c>
      <c r="EK729" s="1443"/>
      <c r="EL729" s="1443"/>
      <c r="EM729" s="1443"/>
      <c r="EN729" s="1443"/>
      <c r="EO729" s="1443">
        <f t="shared" si="27"/>
        <v>0</v>
      </c>
      <c r="EP729" s="1443"/>
      <c r="EQ729" s="1443"/>
      <c r="ER729" s="1443"/>
      <c r="ES729" s="1443"/>
      <c r="ET729" s="1443">
        <f t="shared" si="28"/>
        <v>0</v>
      </c>
      <c r="EU729" s="1443"/>
      <c r="EV729" s="1443"/>
      <c r="EW729" s="1443"/>
      <c r="EX729" s="1443"/>
      <c r="EZ729" s="1462" t="str">
        <f t="shared" si="29"/>
        <v/>
      </c>
      <c r="FA729" s="1464"/>
      <c r="FB729" s="1464"/>
      <c r="FC729" s="1464"/>
      <c r="FD729" s="1463"/>
      <c r="FE729" s="1462" t="str">
        <f t="shared" si="30"/>
        <v/>
      </c>
      <c r="FF729" s="1464"/>
      <c r="FG729" s="1464"/>
      <c r="FH729" s="1464"/>
      <c r="FI729" s="1463"/>
      <c r="FJ729" s="1462" t="str">
        <f t="shared" si="31"/>
        <v/>
      </c>
      <c r="FK729" s="1464"/>
      <c r="FL729" s="1464"/>
      <c r="FM729" s="1464"/>
      <c r="FN729" s="1463"/>
      <c r="FO729" s="1462" t="str">
        <f t="shared" si="32"/>
        <v/>
      </c>
      <c r="FP729" s="1464"/>
      <c r="FQ729" s="1464"/>
      <c r="FR729" s="1464"/>
      <c r="FS729" s="1463"/>
      <c r="FT729" s="1462" t="str">
        <f t="shared" si="33"/>
        <v/>
      </c>
      <c r="FU729" s="1464"/>
      <c r="FV729" s="1464"/>
      <c r="FW729" s="1464"/>
      <c r="FX729" s="1463"/>
      <c r="FY729" s="1462" t="str">
        <f t="shared" si="34"/>
        <v/>
      </c>
      <c r="FZ729" s="1464"/>
      <c r="GA729" s="1464"/>
      <c r="GB729" s="1464"/>
      <c r="GC729" s="1463"/>
    </row>
    <row r="730" spans="1:185" ht="12.9" customHeight="1" x14ac:dyDescent="0.25">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2">
        <f t="shared" si="36"/>
        <v>0</v>
      </c>
      <c r="CH730" s="1463"/>
      <c r="CI730" s="1468">
        <f t="shared" si="37"/>
        <v>0</v>
      </c>
      <c r="CJ730" s="1469"/>
      <c r="CK730" s="1462">
        <f t="shared" si="15"/>
        <v>0</v>
      </c>
      <c r="CL730" s="1463"/>
      <c r="CM730" s="1468">
        <f t="shared" si="16"/>
        <v>0</v>
      </c>
      <c r="CN730" s="1469"/>
      <c r="CO730" s="3"/>
      <c r="CP730" s="1457">
        <f t="shared" si="17"/>
        <v>0</v>
      </c>
      <c r="CQ730" s="1458"/>
      <c r="CR730" s="1458"/>
      <c r="CS730" s="1458"/>
      <c r="CT730" s="1459"/>
      <c r="CU730" s="1442">
        <f t="shared" si="18"/>
        <v>0</v>
      </c>
      <c r="CV730" s="1442"/>
      <c r="CW730" s="1442"/>
      <c r="CX730" s="1442"/>
      <c r="CY730" s="1442"/>
      <c r="CZ730" s="1442">
        <f t="shared" si="19"/>
        <v>0</v>
      </c>
      <c r="DA730" s="1442"/>
      <c r="DB730" s="1442"/>
      <c r="DC730" s="1442"/>
      <c r="DD730" s="1442"/>
      <c r="DE730" s="1442">
        <f t="shared" si="20"/>
        <v>0</v>
      </c>
      <c r="DF730" s="1442"/>
      <c r="DG730" s="1442"/>
      <c r="DH730" s="1442"/>
      <c r="DI730" s="1442"/>
      <c r="DJ730" s="1442">
        <f t="shared" si="21"/>
        <v>0</v>
      </c>
      <c r="DK730" s="1442"/>
      <c r="DL730" s="1442"/>
      <c r="DM730" s="1442"/>
      <c r="DN730" s="1442"/>
      <c r="DO730" s="1442">
        <f t="shared" si="22"/>
        <v>0</v>
      </c>
      <c r="DP730" s="1442"/>
      <c r="DQ730" s="1442"/>
      <c r="DR730" s="1442"/>
      <c r="DS730" s="1442"/>
      <c r="DT730" s="6"/>
      <c r="DU730" s="1443">
        <f t="shared" si="23"/>
        <v>0</v>
      </c>
      <c r="DV730" s="1443"/>
      <c r="DW730" s="1443"/>
      <c r="DX730" s="1443"/>
      <c r="DY730" s="1443"/>
      <c r="DZ730" s="1443">
        <f t="shared" si="24"/>
        <v>0</v>
      </c>
      <c r="EA730" s="1443"/>
      <c r="EB730" s="1443"/>
      <c r="EC730" s="1443"/>
      <c r="ED730" s="1443"/>
      <c r="EE730" s="1443">
        <f t="shared" si="25"/>
        <v>0</v>
      </c>
      <c r="EF730" s="1443"/>
      <c r="EG730" s="1443"/>
      <c r="EH730" s="1443"/>
      <c r="EI730" s="1443"/>
      <c r="EJ730" s="1443">
        <f t="shared" si="26"/>
        <v>0</v>
      </c>
      <c r="EK730" s="1443"/>
      <c r="EL730" s="1443"/>
      <c r="EM730" s="1443"/>
      <c r="EN730" s="1443"/>
      <c r="EO730" s="1443">
        <f t="shared" si="27"/>
        <v>0</v>
      </c>
      <c r="EP730" s="1443"/>
      <c r="EQ730" s="1443"/>
      <c r="ER730" s="1443"/>
      <c r="ES730" s="1443"/>
      <c r="ET730" s="1443">
        <f t="shared" si="28"/>
        <v>0</v>
      </c>
      <c r="EU730" s="1443"/>
      <c r="EV730" s="1443"/>
      <c r="EW730" s="1443"/>
      <c r="EX730" s="1443"/>
      <c r="EZ730" s="1462" t="str">
        <f t="shared" si="29"/>
        <v/>
      </c>
      <c r="FA730" s="1464"/>
      <c r="FB730" s="1464"/>
      <c r="FC730" s="1464"/>
      <c r="FD730" s="1463"/>
      <c r="FE730" s="1462" t="str">
        <f t="shared" si="30"/>
        <v/>
      </c>
      <c r="FF730" s="1464"/>
      <c r="FG730" s="1464"/>
      <c r="FH730" s="1464"/>
      <c r="FI730" s="1463"/>
      <c r="FJ730" s="1462" t="str">
        <f t="shared" si="31"/>
        <v/>
      </c>
      <c r="FK730" s="1464"/>
      <c r="FL730" s="1464"/>
      <c r="FM730" s="1464"/>
      <c r="FN730" s="1463"/>
      <c r="FO730" s="1462" t="str">
        <f t="shared" si="32"/>
        <v/>
      </c>
      <c r="FP730" s="1464"/>
      <c r="FQ730" s="1464"/>
      <c r="FR730" s="1464"/>
      <c r="FS730" s="1463"/>
      <c r="FT730" s="1462" t="str">
        <f t="shared" si="33"/>
        <v/>
      </c>
      <c r="FU730" s="1464"/>
      <c r="FV730" s="1464"/>
      <c r="FW730" s="1464"/>
      <c r="FX730" s="1463"/>
      <c r="FY730" s="1462" t="str">
        <f t="shared" si="34"/>
        <v/>
      </c>
      <c r="FZ730" s="1464"/>
      <c r="GA730" s="1464"/>
      <c r="GB730" s="1464"/>
      <c r="GC730" s="1463"/>
    </row>
    <row r="731" spans="1:185" ht="12.9" customHeight="1" x14ac:dyDescent="0.25">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2">
        <f t="shared" si="36"/>
        <v>0</v>
      </c>
      <c r="CH731" s="1463"/>
      <c r="CI731" s="1468">
        <f t="shared" si="37"/>
        <v>0</v>
      </c>
      <c r="CJ731" s="1469"/>
      <c r="CK731" s="1462">
        <f t="shared" si="15"/>
        <v>0</v>
      </c>
      <c r="CL731" s="1463"/>
      <c r="CM731" s="1468">
        <f t="shared" si="16"/>
        <v>0</v>
      </c>
      <c r="CN731" s="1469"/>
      <c r="CO731" s="3"/>
      <c r="CP731" s="1457">
        <f t="shared" si="17"/>
        <v>0</v>
      </c>
      <c r="CQ731" s="1458"/>
      <c r="CR731" s="1458"/>
      <c r="CS731" s="1458"/>
      <c r="CT731" s="1459"/>
      <c r="CU731" s="1442">
        <f t="shared" si="18"/>
        <v>0</v>
      </c>
      <c r="CV731" s="1442"/>
      <c r="CW731" s="1442"/>
      <c r="CX731" s="1442"/>
      <c r="CY731" s="1442"/>
      <c r="CZ731" s="1442">
        <f t="shared" si="19"/>
        <v>0</v>
      </c>
      <c r="DA731" s="1442"/>
      <c r="DB731" s="1442"/>
      <c r="DC731" s="1442"/>
      <c r="DD731" s="1442"/>
      <c r="DE731" s="1442">
        <f t="shared" si="20"/>
        <v>0</v>
      </c>
      <c r="DF731" s="1442"/>
      <c r="DG731" s="1442"/>
      <c r="DH731" s="1442"/>
      <c r="DI731" s="1442"/>
      <c r="DJ731" s="1442">
        <f t="shared" si="21"/>
        <v>0</v>
      </c>
      <c r="DK731" s="1442"/>
      <c r="DL731" s="1442"/>
      <c r="DM731" s="1442"/>
      <c r="DN731" s="1442"/>
      <c r="DO731" s="1442">
        <f t="shared" si="22"/>
        <v>0</v>
      </c>
      <c r="DP731" s="1442"/>
      <c r="DQ731" s="1442"/>
      <c r="DR731" s="1442"/>
      <c r="DS731" s="1442"/>
      <c r="DT731" s="6"/>
      <c r="DU731" s="1443">
        <f t="shared" si="23"/>
        <v>0</v>
      </c>
      <c r="DV731" s="1443"/>
      <c r="DW731" s="1443"/>
      <c r="DX731" s="1443"/>
      <c r="DY731" s="1443"/>
      <c r="DZ731" s="1443">
        <f t="shared" si="24"/>
        <v>0</v>
      </c>
      <c r="EA731" s="1443"/>
      <c r="EB731" s="1443"/>
      <c r="EC731" s="1443"/>
      <c r="ED731" s="1443"/>
      <c r="EE731" s="1443">
        <f t="shared" si="25"/>
        <v>0</v>
      </c>
      <c r="EF731" s="1443"/>
      <c r="EG731" s="1443"/>
      <c r="EH731" s="1443"/>
      <c r="EI731" s="1443"/>
      <c r="EJ731" s="1443">
        <f t="shared" si="26"/>
        <v>0</v>
      </c>
      <c r="EK731" s="1443"/>
      <c r="EL731" s="1443"/>
      <c r="EM731" s="1443"/>
      <c r="EN731" s="1443"/>
      <c r="EO731" s="1443">
        <f t="shared" si="27"/>
        <v>0</v>
      </c>
      <c r="EP731" s="1443"/>
      <c r="EQ731" s="1443"/>
      <c r="ER731" s="1443"/>
      <c r="ES731" s="1443"/>
      <c r="ET731" s="1443">
        <f t="shared" si="28"/>
        <v>0</v>
      </c>
      <c r="EU731" s="1443"/>
      <c r="EV731" s="1443"/>
      <c r="EW731" s="1443"/>
      <c r="EX731" s="1443"/>
      <c r="EZ731" s="1462" t="str">
        <f t="shared" si="29"/>
        <v/>
      </c>
      <c r="FA731" s="1464"/>
      <c r="FB731" s="1464"/>
      <c r="FC731" s="1464"/>
      <c r="FD731" s="1463"/>
      <c r="FE731" s="1462" t="str">
        <f t="shared" si="30"/>
        <v/>
      </c>
      <c r="FF731" s="1464"/>
      <c r="FG731" s="1464"/>
      <c r="FH731" s="1464"/>
      <c r="FI731" s="1463"/>
      <c r="FJ731" s="1462" t="str">
        <f t="shared" si="31"/>
        <v/>
      </c>
      <c r="FK731" s="1464"/>
      <c r="FL731" s="1464"/>
      <c r="FM731" s="1464"/>
      <c r="FN731" s="1463"/>
      <c r="FO731" s="1462" t="str">
        <f t="shared" si="32"/>
        <v/>
      </c>
      <c r="FP731" s="1464"/>
      <c r="FQ731" s="1464"/>
      <c r="FR731" s="1464"/>
      <c r="FS731" s="1463"/>
      <c r="FT731" s="1462" t="str">
        <f t="shared" si="33"/>
        <v/>
      </c>
      <c r="FU731" s="1464"/>
      <c r="FV731" s="1464"/>
      <c r="FW731" s="1464"/>
      <c r="FX731" s="1463"/>
      <c r="FY731" s="1462" t="str">
        <f t="shared" si="34"/>
        <v/>
      </c>
      <c r="FZ731" s="1464"/>
      <c r="GA731" s="1464"/>
      <c r="GB731" s="1464"/>
      <c r="GC731" s="1463"/>
    </row>
    <row r="732" spans="1:185" ht="12.9" customHeight="1" x14ac:dyDescent="0.25">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2">
        <f t="shared" si="36"/>
        <v>0</v>
      </c>
      <c r="CH732" s="1463"/>
      <c r="CI732" s="1468">
        <f t="shared" si="37"/>
        <v>0</v>
      </c>
      <c r="CJ732" s="1469"/>
      <c r="CK732" s="1462">
        <f t="shared" si="15"/>
        <v>0</v>
      </c>
      <c r="CL732" s="1463"/>
      <c r="CM732" s="1468">
        <f t="shared" si="16"/>
        <v>0</v>
      </c>
      <c r="CN732" s="1469"/>
      <c r="CO732" s="3"/>
      <c r="CP732" s="1457">
        <f t="shared" si="17"/>
        <v>0</v>
      </c>
      <c r="CQ732" s="1458"/>
      <c r="CR732" s="1458"/>
      <c r="CS732" s="1458"/>
      <c r="CT732" s="1459"/>
      <c r="CU732" s="1442">
        <f t="shared" si="18"/>
        <v>0</v>
      </c>
      <c r="CV732" s="1442"/>
      <c r="CW732" s="1442"/>
      <c r="CX732" s="1442"/>
      <c r="CY732" s="1442"/>
      <c r="CZ732" s="1442">
        <f t="shared" si="19"/>
        <v>0</v>
      </c>
      <c r="DA732" s="1442"/>
      <c r="DB732" s="1442"/>
      <c r="DC732" s="1442"/>
      <c r="DD732" s="1442"/>
      <c r="DE732" s="1442">
        <f t="shared" si="20"/>
        <v>0</v>
      </c>
      <c r="DF732" s="1442"/>
      <c r="DG732" s="1442"/>
      <c r="DH732" s="1442"/>
      <c r="DI732" s="1442"/>
      <c r="DJ732" s="1442">
        <f t="shared" si="21"/>
        <v>0</v>
      </c>
      <c r="DK732" s="1442"/>
      <c r="DL732" s="1442"/>
      <c r="DM732" s="1442"/>
      <c r="DN732" s="1442"/>
      <c r="DO732" s="1442">
        <f t="shared" si="22"/>
        <v>0</v>
      </c>
      <c r="DP732" s="1442"/>
      <c r="DQ732" s="1442"/>
      <c r="DR732" s="1442"/>
      <c r="DS732" s="1442"/>
      <c r="DT732" s="6"/>
      <c r="DU732" s="1443">
        <f t="shared" si="23"/>
        <v>0</v>
      </c>
      <c r="DV732" s="1443"/>
      <c r="DW732" s="1443"/>
      <c r="DX732" s="1443"/>
      <c r="DY732" s="1443"/>
      <c r="DZ732" s="1443">
        <f t="shared" si="24"/>
        <v>0</v>
      </c>
      <c r="EA732" s="1443"/>
      <c r="EB732" s="1443"/>
      <c r="EC732" s="1443"/>
      <c r="ED732" s="1443"/>
      <c r="EE732" s="1443">
        <f t="shared" si="25"/>
        <v>0</v>
      </c>
      <c r="EF732" s="1443"/>
      <c r="EG732" s="1443"/>
      <c r="EH732" s="1443"/>
      <c r="EI732" s="1443"/>
      <c r="EJ732" s="1443">
        <f t="shared" si="26"/>
        <v>0</v>
      </c>
      <c r="EK732" s="1443"/>
      <c r="EL732" s="1443"/>
      <c r="EM732" s="1443"/>
      <c r="EN732" s="1443"/>
      <c r="EO732" s="1443">
        <f t="shared" si="27"/>
        <v>0</v>
      </c>
      <c r="EP732" s="1443"/>
      <c r="EQ732" s="1443"/>
      <c r="ER732" s="1443"/>
      <c r="ES732" s="1443"/>
      <c r="ET732" s="1443">
        <f t="shared" si="28"/>
        <v>0</v>
      </c>
      <c r="EU732" s="1443"/>
      <c r="EV732" s="1443"/>
      <c r="EW732" s="1443"/>
      <c r="EX732" s="1443"/>
      <c r="EZ732" s="1462" t="str">
        <f t="shared" si="29"/>
        <v/>
      </c>
      <c r="FA732" s="1464"/>
      <c r="FB732" s="1464"/>
      <c r="FC732" s="1464"/>
      <c r="FD732" s="1463"/>
      <c r="FE732" s="1462" t="str">
        <f t="shared" si="30"/>
        <v/>
      </c>
      <c r="FF732" s="1464"/>
      <c r="FG732" s="1464"/>
      <c r="FH732" s="1464"/>
      <c r="FI732" s="1463"/>
      <c r="FJ732" s="1462" t="str">
        <f t="shared" si="31"/>
        <v/>
      </c>
      <c r="FK732" s="1464"/>
      <c r="FL732" s="1464"/>
      <c r="FM732" s="1464"/>
      <c r="FN732" s="1463"/>
      <c r="FO732" s="1462" t="str">
        <f t="shared" si="32"/>
        <v/>
      </c>
      <c r="FP732" s="1464"/>
      <c r="FQ732" s="1464"/>
      <c r="FR732" s="1464"/>
      <c r="FS732" s="1463"/>
      <c r="FT732" s="1462" t="str">
        <f t="shared" si="33"/>
        <v/>
      </c>
      <c r="FU732" s="1464"/>
      <c r="FV732" s="1464"/>
      <c r="FW732" s="1464"/>
      <c r="FX732" s="1463"/>
      <c r="FY732" s="1462" t="str">
        <f t="shared" si="34"/>
        <v/>
      </c>
      <c r="FZ732" s="1464"/>
      <c r="GA732" s="1464"/>
      <c r="GB732" s="1464"/>
      <c r="GC732" s="1463"/>
    </row>
    <row r="733" spans="1:185" ht="12.9" customHeight="1" x14ac:dyDescent="0.25">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2">
        <f t="shared" si="36"/>
        <v>0</v>
      </c>
      <c r="CH733" s="1463"/>
      <c r="CI733" s="1468">
        <f t="shared" si="37"/>
        <v>0</v>
      </c>
      <c r="CJ733" s="1469"/>
      <c r="CK733" s="1462">
        <f t="shared" si="15"/>
        <v>0</v>
      </c>
      <c r="CL733" s="1463"/>
      <c r="CM733" s="1468">
        <f t="shared" si="16"/>
        <v>0</v>
      </c>
      <c r="CN733" s="1469"/>
      <c r="CO733" s="3"/>
      <c r="CP733" s="1457">
        <f t="shared" si="17"/>
        <v>0</v>
      </c>
      <c r="CQ733" s="1458"/>
      <c r="CR733" s="1458"/>
      <c r="CS733" s="1458"/>
      <c r="CT733" s="1459"/>
      <c r="CU733" s="1442">
        <f t="shared" si="18"/>
        <v>0</v>
      </c>
      <c r="CV733" s="1442"/>
      <c r="CW733" s="1442"/>
      <c r="CX733" s="1442"/>
      <c r="CY733" s="1442"/>
      <c r="CZ733" s="1442">
        <f t="shared" si="19"/>
        <v>0</v>
      </c>
      <c r="DA733" s="1442"/>
      <c r="DB733" s="1442"/>
      <c r="DC733" s="1442"/>
      <c r="DD733" s="1442"/>
      <c r="DE733" s="1442">
        <f t="shared" si="20"/>
        <v>0</v>
      </c>
      <c r="DF733" s="1442"/>
      <c r="DG733" s="1442"/>
      <c r="DH733" s="1442"/>
      <c r="DI733" s="1442"/>
      <c r="DJ733" s="1442">
        <f t="shared" si="21"/>
        <v>0</v>
      </c>
      <c r="DK733" s="1442"/>
      <c r="DL733" s="1442"/>
      <c r="DM733" s="1442"/>
      <c r="DN733" s="1442"/>
      <c r="DO733" s="1442">
        <f t="shared" si="22"/>
        <v>0</v>
      </c>
      <c r="DP733" s="1442"/>
      <c r="DQ733" s="1442"/>
      <c r="DR733" s="1442"/>
      <c r="DS733" s="1442"/>
      <c r="DT733" s="6"/>
      <c r="DU733" s="1443">
        <f t="shared" si="23"/>
        <v>0</v>
      </c>
      <c r="DV733" s="1443"/>
      <c r="DW733" s="1443"/>
      <c r="DX733" s="1443"/>
      <c r="DY733" s="1443"/>
      <c r="DZ733" s="1443">
        <f t="shared" si="24"/>
        <v>0</v>
      </c>
      <c r="EA733" s="1443"/>
      <c r="EB733" s="1443"/>
      <c r="EC733" s="1443"/>
      <c r="ED733" s="1443"/>
      <c r="EE733" s="1443">
        <f t="shared" si="25"/>
        <v>0</v>
      </c>
      <c r="EF733" s="1443"/>
      <c r="EG733" s="1443"/>
      <c r="EH733" s="1443"/>
      <c r="EI733" s="1443"/>
      <c r="EJ733" s="1443">
        <f t="shared" si="26"/>
        <v>0</v>
      </c>
      <c r="EK733" s="1443"/>
      <c r="EL733" s="1443"/>
      <c r="EM733" s="1443"/>
      <c r="EN733" s="1443"/>
      <c r="EO733" s="1443">
        <f t="shared" si="27"/>
        <v>0</v>
      </c>
      <c r="EP733" s="1443"/>
      <c r="EQ733" s="1443"/>
      <c r="ER733" s="1443"/>
      <c r="ES733" s="1443"/>
      <c r="ET733" s="1443">
        <f t="shared" si="28"/>
        <v>0</v>
      </c>
      <c r="EU733" s="1443"/>
      <c r="EV733" s="1443"/>
      <c r="EW733" s="1443"/>
      <c r="EX733" s="1443"/>
      <c r="EZ733" s="1462" t="str">
        <f t="shared" si="29"/>
        <v/>
      </c>
      <c r="FA733" s="1464"/>
      <c r="FB733" s="1464"/>
      <c r="FC733" s="1464"/>
      <c r="FD733" s="1463"/>
      <c r="FE733" s="1462" t="str">
        <f t="shared" si="30"/>
        <v/>
      </c>
      <c r="FF733" s="1464"/>
      <c r="FG733" s="1464"/>
      <c r="FH733" s="1464"/>
      <c r="FI733" s="1463"/>
      <c r="FJ733" s="1462" t="str">
        <f t="shared" si="31"/>
        <v/>
      </c>
      <c r="FK733" s="1464"/>
      <c r="FL733" s="1464"/>
      <c r="FM733" s="1464"/>
      <c r="FN733" s="1463"/>
      <c r="FO733" s="1462" t="str">
        <f t="shared" si="32"/>
        <v/>
      </c>
      <c r="FP733" s="1464"/>
      <c r="FQ733" s="1464"/>
      <c r="FR733" s="1464"/>
      <c r="FS733" s="1463"/>
      <c r="FT733" s="1462" t="str">
        <f t="shared" si="33"/>
        <v/>
      </c>
      <c r="FU733" s="1464"/>
      <c r="FV733" s="1464"/>
      <c r="FW733" s="1464"/>
      <c r="FX733" s="1463"/>
      <c r="FY733" s="1462" t="str">
        <f t="shared" si="34"/>
        <v/>
      </c>
      <c r="FZ733" s="1464"/>
      <c r="GA733" s="1464"/>
      <c r="GB733" s="1464"/>
      <c r="GC733" s="1463"/>
    </row>
    <row r="734" spans="1:185" ht="12.9" customHeight="1" x14ac:dyDescent="0.25">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2">
        <f t="shared" si="36"/>
        <v>0</v>
      </c>
      <c r="CH734" s="1463"/>
      <c r="CI734" s="1468">
        <f t="shared" si="37"/>
        <v>0</v>
      </c>
      <c r="CJ734" s="1469"/>
      <c r="CK734" s="1462">
        <f t="shared" si="15"/>
        <v>0</v>
      </c>
      <c r="CL734" s="1463"/>
      <c r="CM734" s="1468">
        <f t="shared" si="16"/>
        <v>0</v>
      </c>
      <c r="CN734" s="1469"/>
      <c r="CO734" s="3"/>
      <c r="CP734" s="1457">
        <f t="shared" si="17"/>
        <v>0</v>
      </c>
      <c r="CQ734" s="1458"/>
      <c r="CR734" s="1458"/>
      <c r="CS734" s="1458"/>
      <c r="CT734" s="1459"/>
      <c r="CU734" s="1442">
        <f t="shared" si="18"/>
        <v>0</v>
      </c>
      <c r="CV734" s="1442"/>
      <c r="CW734" s="1442"/>
      <c r="CX734" s="1442"/>
      <c r="CY734" s="1442"/>
      <c r="CZ734" s="1442">
        <f t="shared" si="19"/>
        <v>0</v>
      </c>
      <c r="DA734" s="1442"/>
      <c r="DB734" s="1442"/>
      <c r="DC734" s="1442"/>
      <c r="DD734" s="1442"/>
      <c r="DE734" s="1442">
        <f t="shared" si="20"/>
        <v>0</v>
      </c>
      <c r="DF734" s="1442"/>
      <c r="DG734" s="1442"/>
      <c r="DH734" s="1442"/>
      <c r="DI734" s="1442"/>
      <c r="DJ734" s="1442">
        <f t="shared" si="21"/>
        <v>0</v>
      </c>
      <c r="DK734" s="1442"/>
      <c r="DL734" s="1442"/>
      <c r="DM734" s="1442"/>
      <c r="DN734" s="1442"/>
      <c r="DO734" s="1442">
        <f t="shared" si="22"/>
        <v>0</v>
      </c>
      <c r="DP734" s="1442"/>
      <c r="DQ734" s="1442"/>
      <c r="DR734" s="1442"/>
      <c r="DS734" s="1442"/>
      <c r="DT734" s="6"/>
      <c r="DU734" s="1443">
        <f t="shared" si="23"/>
        <v>0</v>
      </c>
      <c r="DV734" s="1443"/>
      <c r="DW734" s="1443"/>
      <c r="DX734" s="1443"/>
      <c r="DY734" s="1443"/>
      <c r="DZ734" s="1443">
        <f t="shared" si="24"/>
        <v>0</v>
      </c>
      <c r="EA734" s="1443"/>
      <c r="EB734" s="1443"/>
      <c r="EC734" s="1443"/>
      <c r="ED734" s="1443"/>
      <c r="EE734" s="1443">
        <f t="shared" si="25"/>
        <v>0</v>
      </c>
      <c r="EF734" s="1443"/>
      <c r="EG734" s="1443"/>
      <c r="EH734" s="1443"/>
      <c r="EI734" s="1443"/>
      <c r="EJ734" s="1443">
        <f t="shared" si="26"/>
        <v>0</v>
      </c>
      <c r="EK734" s="1443"/>
      <c r="EL734" s="1443"/>
      <c r="EM734" s="1443"/>
      <c r="EN734" s="1443"/>
      <c r="EO734" s="1443">
        <f t="shared" si="27"/>
        <v>0</v>
      </c>
      <c r="EP734" s="1443"/>
      <c r="EQ734" s="1443"/>
      <c r="ER734" s="1443"/>
      <c r="ES734" s="1443"/>
      <c r="ET734" s="1443">
        <f t="shared" si="28"/>
        <v>0</v>
      </c>
      <c r="EU734" s="1443"/>
      <c r="EV734" s="1443"/>
      <c r="EW734" s="1443"/>
      <c r="EX734" s="1443"/>
      <c r="EZ734" s="1462" t="str">
        <f t="shared" si="29"/>
        <v/>
      </c>
      <c r="FA734" s="1464"/>
      <c r="FB734" s="1464"/>
      <c r="FC734" s="1464"/>
      <c r="FD734" s="1463"/>
      <c r="FE734" s="1462" t="str">
        <f t="shared" si="30"/>
        <v/>
      </c>
      <c r="FF734" s="1464"/>
      <c r="FG734" s="1464"/>
      <c r="FH734" s="1464"/>
      <c r="FI734" s="1463"/>
      <c r="FJ734" s="1462" t="str">
        <f t="shared" si="31"/>
        <v/>
      </c>
      <c r="FK734" s="1464"/>
      <c r="FL734" s="1464"/>
      <c r="FM734" s="1464"/>
      <c r="FN734" s="1463"/>
      <c r="FO734" s="1462" t="str">
        <f t="shared" si="32"/>
        <v/>
      </c>
      <c r="FP734" s="1464"/>
      <c r="FQ734" s="1464"/>
      <c r="FR734" s="1464"/>
      <c r="FS734" s="1463"/>
      <c r="FT734" s="1462" t="str">
        <f t="shared" si="33"/>
        <v/>
      </c>
      <c r="FU734" s="1464"/>
      <c r="FV734" s="1464"/>
      <c r="FW734" s="1464"/>
      <c r="FX734" s="1463"/>
      <c r="FY734" s="1462" t="str">
        <f t="shared" si="34"/>
        <v/>
      </c>
      <c r="FZ734" s="1464"/>
      <c r="GA734" s="1464"/>
      <c r="GB734" s="1464"/>
      <c r="GC734" s="1463"/>
    </row>
    <row r="735" spans="1:185" ht="12.9" customHeight="1" x14ac:dyDescent="0.25">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2">
        <f t="shared" si="36"/>
        <v>0</v>
      </c>
      <c r="CH735" s="1463"/>
      <c r="CI735" s="1468">
        <f t="shared" si="37"/>
        <v>0</v>
      </c>
      <c r="CJ735" s="1469"/>
      <c r="CK735" s="1462">
        <f t="shared" si="15"/>
        <v>0</v>
      </c>
      <c r="CL735" s="1463"/>
      <c r="CM735" s="1468">
        <f t="shared" si="16"/>
        <v>0</v>
      </c>
      <c r="CN735" s="1469"/>
      <c r="CO735" s="3"/>
      <c r="CP735" s="1457">
        <f t="shared" si="17"/>
        <v>0</v>
      </c>
      <c r="CQ735" s="1458"/>
      <c r="CR735" s="1458"/>
      <c r="CS735" s="1458"/>
      <c r="CT735" s="1459"/>
      <c r="CU735" s="1442">
        <f t="shared" si="18"/>
        <v>0</v>
      </c>
      <c r="CV735" s="1442"/>
      <c r="CW735" s="1442"/>
      <c r="CX735" s="1442"/>
      <c r="CY735" s="1442"/>
      <c r="CZ735" s="1442">
        <f t="shared" si="19"/>
        <v>0</v>
      </c>
      <c r="DA735" s="1442"/>
      <c r="DB735" s="1442"/>
      <c r="DC735" s="1442"/>
      <c r="DD735" s="1442"/>
      <c r="DE735" s="1442">
        <f t="shared" si="20"/>
        <v>0</v>
      </c>
      <c r="DF735" s="1442"/>
      <c r="DG735" s="1442"/>
      <c r="DH735" s="1442"/>
      <c r="DI735" s="1442"/>
      <c r="DJ735" s="1442">
        <f t="shared" si="21"/>
        <v>0</v>
      </c>
      <c r="DK735" s="1442"/>
      <c r="DL735" s="1442"/>
      <c r="DM735" s="1442"/>
      <c r="DN735" s="1442"/>
      <c r="DO735" s="1442">
        <f t="shared" si="22"/>
        <v>0</v>
      </c>
      <c r="DP735" s="1442"/>
      <c r="DQ735" s="1442"/>
      <c r="DR735" s="1442"/>
      <c r="DS735" s="1442"/>
      <c r="DT735" s="6"/>
      <c r="DU735" s="1443">
        <f t="shared" si="23"/>
        <v>0</v>
      </c>
      <c r="DV735" s="1443"/>
      <c r="DW735" s="1443"/>
      <c r="DX735" s="1443"/>
      <c r="DY735" s="1443"/>
      <c r="DZ735" s="1443">
        <f t="shared" si="24"/>
        <v>0</v>
      </c>
      <c r="EA735" s="1443"/>
      <c r="EB735" s="1443"/>
      <c r="EC735" s="1443"/>
      <c r="ED735" s="1443"/>
      <c r="EE735" s="1443">
        <f t="shared" si="25"/>
        <v>0</v>
      </c>
      <c r="EF735" s="1443"/>
      <c r="EG735" s="1443"/>
      <c r="EH735" s="1443"/>
      <c r="EI735" s="1443"/>
      <c r="EJ735" s="1443">
        <f t="shared" si="26"/>
        <v>0</v>
      </c>
      <c r="EK735" s="1443"/>
      <c r="EL735" s="1443"/>
      <c r="EM735" s="1443"/>
      <c r="EN735" s="1443"/>
      <c r="EO735" s="1443">
        <f t="shared" si="27"/>
        <v>0</v>
      </c>
      <c r="EP735" s="1443"/>
      <c r="EQ735" s="1443"/>
      <c r="ER735" s="1443"/>
      <c r="ES735" s="1443"/>
      <c r="ET735" s="1443">
        <f t="shared" si="28"/>
        <v>0</v>
      </c>
      <c r="EU735" s="1443"/>
      <c r="EV735" s="1443"/>
      <c r="EW735" s="1443"/>
      <c r="EX735" s="1443"/>
      <c r="EZ735" s="1462" t="str">
        <f t="shared" si="29"/>
        <v/>
      </c>
      <c r="FA735" s="1464"/>
      <c r="FB735" s="1464"/>
      <c r="FC735" s="1464"/>
      <c r="FD735" s="1463"/>
      <c r="FE735" s="1462" t="str">
        <f t="shared" si="30"/>
        <v/>
      </c>
      <c r="FF735" s="1464"/>
      <c r="FG735" s="1464"/>
      <c r="FH735" s="1464"/>
      <c r="FI735" s="1463"/>
      <c r="FJ735" s="1462" t="str">
        <f t="shared" si="31"/>
        <v/>
      </c>
      <c r="FK735" s="1464"/>
      <c r="FL735" s="1464"/>
      <c r="FM735" s="1464"/>
      <c r="FN735" s="1463"/>
      <c r="FO735" s="1462" t="str">
        <f t="shared" si="32"/>
        <v/>
      </c>
      <c r="FP735" s="1464"/>
      <c r="FQ735" s="1464"/>
      <c r="FR735" s="1464"/>
      <c r="FS735" s="1463"/>
      <c r="FT735" s="1462" t="str">
        <f t="shared" si="33"/>
        <v/>
      </c>
      <c r="FU735" s="1464"/>
      <c r="FV735" s="1464"/>
      <c r="FW735" s="1464"/>
      <c r="FX735" s="1463"/>
      <c r="FY735" s="1462" t="str">
        <f t="shared" si="34"/>
        <v/>
      </c>
      <c r="FZ735" s="1464"/>
      <c r="GA735" s="1464"/>
      <c r="GB735" s="1464"/>
      <c r="GC735" s="1463"/>
    </row>
    <row r="736" spans="1:185" ht="12.9" customHeight="1" x14ac:dyDescent="0.25">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2">
        <f t="shared" si="36"/>
        <v>0</v>
      </c>
      <c r="CH736" s="1463"/>
      <c r="CI736" s="1468">
        <f t="shared" si="37"/>
        <v>0</v>
      </c>
      <c r="CJ736" s="1469"/>
      <c r="CK736" s="1462">
        <f t="shared" si="15"/>
        <v>0</v>
      </c>
      <c r="CL736" s="1463"/>
      <c r="CM736" s="1468">
        <f t="shared" si="16"/>
        <v>0</v>
      </c>
      <c r="CN736" s="1469"/>
      <c r="CO736" s="3"/>
      <c r="CP736" s="1457">
        <f t="shared" si="17"/>
        <v>0</v>
      </c>
      <c r="CQ736" s="1458"/>
      <c r="CR736" s="1458"/>
      <c r="CS736" s="1458"/>
      <c r="CT736" s="1459"/>
      <c r="CU736" s="1442">
        <f t="shared" si="18"/>
        <v>0</v>
      </c>
      <c r="CV736" s="1442"/>
      <c r="CW736" s="1442"/>
      <c r="CX736" s="1442"/>
      <c r="CY736" s="1442"/>
      <c r="CZ736" s="1442">
        <f t="shared" si="19"/>
        <v>0</v>
      </c>
      <c r="DA736" s="1442"/>
      <c r="DB736" s="1442"/>
      <c r="DC736" s="1442"/>
      <c r="DD736" s="1442"/>
      <c r="DE736" s="1442">
        <f t="shared" si="20"/>
        <v>0</v>
      </c>
      <c r="DF736" s="1442"/>
      <c r="DG736" s="1442"/>
      <c r="DH736" s="1442"/>
      <c r="DI736" s="1442"/>
      <c r="DJ736" s="1442">
        <f t="shared" si="21"/>
        <v>0</v>
      </c>
      <c r="DK736" s="1442"/>
      <c r="DL736" s="1442"/>
      <c r="DM736" s="1442"/>
      <c r="DN736" s="1442"/>
      <c r="DO736" s="1442">
        <f t="shared" si="22"/>
        <v>0</v>
      </c>
      <c r="DP736" s="1442"/>
      <c r="DQ736" s="1442"/>
      <c r="DR736" s="1442"/>
      <c r="DS736" s="1442"/>
      <c r="DT736" s="6"/>
      <c r="DU736" s="1443">
        <f t="shared" si="23"/>
        <v>0</v>
      </c>
      <c r="DV736" s="1443"/>
      <c r="DW736" s="1443"/>
      <c r="DX736" s="1443"/>
      <c r="DY736" s="1443"/>
      <c r="DZ736" s="1443">
        <f t="shared" si="24"/>
        <v>0</v>
      </c>
      <c r="EA736" s="1443"/>
      <c r="EB736" s="1443"/>
      <c r="EC736" s="1443"/>
      <c r="ED736" s="1443"/>
      <c r="EE736" s="1443">
        <f t="shared" si="25"/>
        <v>0</v>
      </c>
      <c r="EF736" s="1443"/>
      <c r="EG736" s="1443"/>
      <c r="EH736" s="1443"/>
      <c r="EI736" s="1443"/>
      <c r="EJ736" s="1443">
        <f t="shared" si="26"/>
        <v>0</v>
      </c>
      <c r="EK736" s="1443"/>
      <c r="EL736" s="1443"/>
      <c r="EM736" s="1443"/>
      <c r="EN736" s="1443"/>
      <c r="EO736" s="1443">
        <f t="shared" si="27"/>
        <v>0</v>
      </c>
      <c r="EP736" s="1443"/>
      <c r="EQ736" s="1443"/>
      <c r="ER736" s="1443"/>
      <c r="ES736" s="1443"/>
      <c r="ET736" s="1443">
        <f t="shared" si="28"/>
        <v>0</v>
      </c>
      <c r="EU736" s="1443"/>
      <c r="EV736" s="1443"/>
      <c r="EW736" s="1443"/>
      <c r="EX736" s="1443"/>
      <c r="EZ736" s="1462" t="str">
        <f t="shared" si="29"/>
        <v/>
      </c>
      <c r="FA736" s="1464"/>
      <c r="FB736" s="1464"/>
      <c r="FC736" s="1464"/>
      <c r="FD736" s="1463"/>
      <c r="FE736" s="1462" t="str">
        <f t="shared" si="30"/>
        <v/>
      </c>
      <c r="FF736" s="1464"/>
      <c r="FG736" s="1464"/>
      <c r="FH736" s="1464"/>
      <c r="FI736" s="1463"/>
      <c r="FJ736" s="1462" t="str">
        <f t="shared" si="31"/>
        <v/>
      </c>
      <c r="FK736" s="1464"/>
      <c r="FL736" s="1464"/>
      <c r="FM736" s="1464"/>
      <c r="FN736" s="1463"/>
      <c r="FO736" s="1462" t="str">
        <f t="shared" si="32"/>
        <v/>
      </c>
      <c r="FP736" s="1464"/>
      <c r="FQ736" s="1464"/>
      <c r="FR736" s="1464"/>
      <c r="FS736" s="1463"/>
      <c r="FT736" s="1462" t="str">
        <f t="shared" si="33"/>
        <v/>
      </c>
      <c r="FU736" s="1464"/>
      <c r="FV736" s="1464"/>
      <c r="FW736" s="1464"/>
      <c r="FX736" s="1463"/>
      <c r="FY736" s="1462" t="str">
        <f t="shared" si="34"/>
        <v/>
      </c>
      <c r="FZ736" s="1464"/>
      <c r="GA736" s="1464"/>
      <c r="GB736" s="1464"/>
      <c r="GC736" s="1463"/>
    </row>
    <row r="737" spans="1:185" ht="12.9" customHeight="1" x14ac:dyDescent="0.25">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2">
        <f t="shared" si="36"/>
        <v>0</v>
      </c>
      <c r="CH737" s="1463"/>
      <c r="CI737" s="1468">
        <f t="shared" si="37"/>
        <v>0</v>
      </c>
      <c r="CJ737" s="1469"/>
      <c r="CK737" s="1462">
        <f t="shared" si="15"/>
        <v>0</v>
      </c>
      <c r="CL737" s="1463"/>
      <c r="CM737" s="1468">
        <f t="shared" si="16"/>
        <v>0</v>
      </c>
      <c r="CN737" s="1469"/>
      <c r="CO737" s="3"/>
      <c r="CP737" s="1457">
        <f t="shared" si="17"/>
        <v>0</v>
      </c>
      <c r="CQ737" s="1458"/>
      <c r="CR737" s="1458"/>
      <c r="CS737" s="1458"/>
      <c r="CT737" s="1459"/>
      <c r="CU737" s="1442">
        <f t="shared" si="18"/>
        <v>0</v>
      </c>
      <c r="CV737" s="1442"/>
      <c r="CW737" s="1442"/>
      <c r="CX737" s="1442"/>
      <c r="CY737" s="1442"/>
      <c r="CZ737" s="1442">
        <f t="shared" si="19"/>
        <v>0</v>
      </c>
      <c r="DA737" s="1442"/>
      <c r="DB737" s="1442"/>
      <c r="DC737" s="1442"/>
      <c r="DD737" s="1442"/>
      <c r="DE737" s="1442">
        <f t="shared" si="20"/>
        <v>0</v>
      </c>
      <c r="DF737" s="1442"/>
      <c r="DG737" s="1442"/>
      <c r="DH737" s="1442"/>
      <c r="DI737" s="1442"/>
      <c r="DJ737" s="1442">
        <f t="shared" si="21"/>
        <v>0</v>
      </c>
      <c r="DK737" s="1442"/>
      <c r="DL737" s="1442"/>
      <c r="DM737" s="1442"/>
      <c r="DN737" s="1442"/>
      <c r="DO737" s="1442">
        <f t="shared" si="22"/>
        <v>0</v>
      </c>
      <c r="DP737" s="1442"/>
      <c r="DQ737" s="1442"/>
      <c r="DR737" s="1442"/>
      <c r="DS737" s="1442"/>
      <c r="DT737" s="6"/>
      <c r="DU737" s="1443">
        <f t="shared" si="23"/>
        <v>0</v>
      </c>
      <c r="DV737" s="1443"/>
      <c r="DW737" s="1443"/>
      <c r="DX737" s="1443"/>
      <c r="DY737" s="1443"/>
      <c r="DZ737" s="1443">
        <f t="shared" si="24"/>
        <v>0</v>
      </c>
      <c r="EA737" s="1443"/>
      <c r="EB737" s="1443"/>
      <c r="EC737" s="1443"/>
      <c r="ED737" s="1443"/>
      <c r="EE737" s="1443">
        <f t="shared" si="25"/>
        <v>0</v>
      </c>
      <c r="EF737" s="1443"/>
      <c r="EG737" s="1443"/>
      <c r="EH737" s="1443"/>
      <c r="EI737" s="1443"/>
      <c r="EJ737" s="1443">
        <f t="shared" si="26"/>
        <v>0</v>
      </c>
      <c r="EK737" s="1443"/>
      <c r="EL737" s="1443"/>
      <c r="EM737" s="1443"/>
      <c r="EN737" s="1443"/>
      <c r="EO737" s="1443">
        <f t="shared" si="27"/>
        <v>0</v>
      </c>
      <c r="EP737" s="1443"/>
      <c r="EQ737" s="1443"/>
      <c r="ER737" s="1443"/>
      <c r="ES737" s="1443"/>
      <c r="ET737" s="1443">
        <f t="shared" si="28"/>
        <v>0</v>
      </c>
      <c r="EU737" s="1443"/>
      <c r="EV737" s="1443"/>
      <c r="EW737" s="1443"/>
      <c r="EX737" s="1443"/>
      <c r="EZ737" s="1462" t="str">
        <f t="shared" si="29"/>
        <v/>
      </c>
      <c r="FA737" s="1464"/>
      <c r="FB737" s="1464"/>
      <c r="FC737" s="1464"/>
      <c r="FD737" s="1463"/>
      <c r="FE737" s="1462" t="str">
        <f t="shared" si="30"/>
        <v/>
      </c>
      <c r="FF737" s="1464"/>
      <c r="FG737" s="1464"/>
      <c r="FH737" s="1464"/>
      <c r="FI737" s="1463"/>
      <c r="FJ737" s="1462" t="str">
        <f t="shared" si="31"/>
        <v/>
      </c>
      <c r="FK737" s="1464"/>
      <c r="FL737" s="1464"/>
      <c r="FM737" s="1464"/>
      <c r="FN737" s="1463"/>
      <c r="FO737" s="1462" t="str">
        <f t="shared" si="32"/>
        <v/>
      </c>
      <c r="FP737" s="1464"/>
      <c r="FQ737" s="1464"/>
      <c r="FR737" s="1464"/>
      <c r="FS737" s="1463"/>
      <c r="FT737" s="1462" t="str">
        <f t="shared" si="33"/>
        <v/>
      </c>
      <c r="FU737" s="1464"/>
      <c r="FV737" s="1464"/>
      <c r="FW737" s="1464"/>
      <c r="FX737" s="1463"/>
      <c r="FY737" s="1462" t="str">
        <f t="shared" si="34"/>
        <v/>
      </c>
      <c r="FZ737" s="1464"/>
      <c r="GA737" s="1464"/>
      <c r="GB737" s="1464"/>
      <c r="GC737" s="1463"/>
    </row>
    <row r="738" spans="1:185" ht="12.9" customHeight="1" x14ac:dyDescent="0.25">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2">
        <f t="shared" si="36"/>
        <v>0</v>
      </c>
      <c r="CH738" s="1463"/>
      <c r="CI738" s="1468">
        <f t="shared" si="37"/>
        <v>0</v>
      </c>
      <c r="CJ738" s="1469"/>
      <c r="CK738" s="1462">
        <f t="shared" si="15"/>
        <v>0</v>
      </c>
      <c r="CL738" s="1463"/>
      <c r="CM738" s="1468">
        <f t="shared" si="16"/>
        <v>0</v>
      </c>
      <c r="CN738" s="1469"/>
      <c r="CO738" s="3"/>
      <c r="CP738" s="1457">
        <f t="shared" si="17"/>
        <v>0</v>
      </c>
      <c r="CQ738" s="1458"/>
      <c r="CR738" s="1458"/>
      <c r="CS738" s="1458"/>
      <c r="CT738" s="1459"/>
      <c r="CU738" s="1442">
        <f t="shared" si="18"/>
        <v>0</v>
      </c>
      <c r="CV738" s="1442"/>
      <c r="CW738" s="1442"/>
      <c r="CX738" s="1442"/>
      <c r="CY738" s="1442"/>
      <c r="CZ738" s="1442">
        <f t="shared" si="19"/>
        <v>0</v>
      </c>
      <c r="DA738" s="1442"/>
      <c r="DB738" s="1442"/>
      <c r="DC738" s="1442"/>
      <c r="DD738" s="1442"/>
      <c r="DE738" s="1442">
        <f t="shared" si="20"/>
        <v>0</v>
      </c>
      <c r="DF738" s="1442"/>
      <c r="DG738" s="1442"/>
      <c r="DH738" s="1442"/>
      <c r="DI738" s="1442"/>
      <c r="DJ738" s="1442">
        <f t="shared" si="21"/>
        <v>0</v>
      </c>
      <c r="DK738" s="1442"/>
      <c r="DL738" s="1442"/>
      <c r="DM738" s="1442"/>
      <c r="DN738" s="1442"/>
      <c r="DO738" s="1442">
        <f t="shared" si="22"/>
        <v>0</v>
      </c>
      <c r="DP738" s="1442"/>
      <c r="DQ738" s="1442"/>
      <c r="DR738" s="1442"/>
      <c r="DS738" s="1442"/>
      <c r="DT738" s="6"/>
      <c r="DU738" s="1443">
        <f t="shared" si="23"/>
        <v>0</v>
      </c>
      <c r="DV738" s="1443"/>
      <c r="DW738" s="1443"/>
      <c r="DX738" s="1443"/>
      <c r="DY738" s="1443"/>
      <c r="DZ738" s="1443">
        <f t="shared" si="24"/>
        <v>0</v>
      </c>
      <c r="EA738" s="1443"/>
      <c r="EB738" s="1443"/>
      <c r="EC738" s="1443"/>
      <c r="ED738" s="1443"/>
      <c r="EE738" s="1443">
        <f t="shared" si="25"/>
        <v>0</v>
      </c>
      <c r="EF738" s="1443"/>
      <c r="EG738" s="1443"/>
      <c r="EH738" s="1443"/>
      <c r="EI738" s="1443"/>
      <c r="EJ738" s="1443">
        <f t="shared" si="26"/>
        <v>0</v>
      </c>
      <c r="EK738" s="1443"/>
      <c r="EL738" s="1443"/>
      <c r="EM738" s="1443"/>
      <c r="EN738" s="1443"/>
      <c r="EO738" s="1443">
        <f t="shared" si="27"/>
        <v>0</v>
      </c>
      <c r="EP738" s="1443"/>
      <c r="EQ738" s="1443"/>
      <c r="ER738" s="1443"/>
      <c r="ES738" s="1443"/>
      <c r="ET738" s="1443">
        <f t="shared" si="28"/>
        <v>0</v>
      </c>
      <c r="EU738" s="1443"/>
      <c r="EV738" s="1443"/>
      <c r="EW738" s="1443"/>
      <c r="EX738" s="1443"/>
      <c r="EZ738" s="1462" t="str">
        <f t="shared" si="29"/>
        <v/>
      </c>
      <c r="FA738" s="1464"/>
      <c r="FB738" s="1464"/>
      <c r="FC738" s="1464"/>
      <c r="FD738" s="1463"/>
      <c r="FE738" s="1462" t="str">
        <f t="shared" si="30"/>
        <v/>
      </c>
      <c r="FF738" s="1464"/>
      <c r="FG738" s="1464"/>
      <c r="FH738" s="1464"/>
      <c r="FI738" s="1463"/>
      <c r="FJ738" s="1462" t="str">
        <f t="shared" si="31"/>
        <v/>
      </c>
      <c r="FK738" s="1464"/>
      <c r="FL738" s="1464"/>
      <c r="FM738" s="1464"/>
      <c r="FN738" s="1463"/>
      <c r="FO738" s="1462" t="str">
        <f t="shared" si="32"/>
        <v/>
      </c>
      <c r="FP738" s="1464"/>
      <c r="FQ738" s="1464"/>
      <c r="FR738" s="1464"/>
      <c r="FS738" s="1463"/>
      <c r="FT738" s="1462" t="str">
        <f t="shared" si="33"/>
        <v/>
      </c>
      <c r="FU738" s="1464"/>
      <c r="FV738" s="1464"/>
      <c r="FW738" s="1464"/>
      <c r="FX738" s="1463"/>
      <c r="FY738" s="1462" t="str">
        <f t="shared" si="34"/>
        <v/>
      </c>
      <c r="FZ738" s="1464"/>
      <c r="GA738" s="1464"/>
      <c r="GB738" s="1464"/>
      <c r="GC738" s="1463"/>
    </row>
    <row r="739" spans="1:185" ht="12.9" customHeight="1" x14ac:dyDescent="0.25">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2">
        <f t="shared" si="36"/>
        <v>0</v>
      </c>
      <c r="CH739" s="1463"/>
      <c r="CI739" s="1468">
        <f t="shared" si="37"/>
        <v>0</v>
      </c>
      <c r="CJ739" s="1469"/>
      <c r="CK739" s="1462">
        <f t="shared" si="15"/>
        <v>0</v>
      </c>
      <c r="CL739" s="1463"/>
      <c r="CM739" s="1468">
        <f t="shared" si="16"/>
        <v>0</v>
      </c>
      <c r="CN739" s="1469"/>
      <c r="CO739" s="3"/>
      <c r="CP739" s="1457">
        <f t="shared" si="17"/>
        <v>0</v>
      </c>
      <c r="CQ739" s="1458"/>
      <c r="CR739" s="1458"/>
      <c r="CS739" s="1458"/>
      <c r="CT739" s="1459"/>
      <c r="CU739" s="1442">
        <f t="shared" si="18"/>
        <v>0</v>
      </c>
      <c r="CV739" s="1442"/>
      <c r="CW739" s="1442"/>
      <c r="CX739" s="1442"/>
      <c r="CY739" s="1442"/>
      <c r="CZ739" s="1442">
        <f t="shared" si="19"/>
        <v>0</v>
      </c>
      <c r="DA739" s="1442"/>
      <c r="DB739" s="1442"/>
      <c r="DC739" s="1442"/>
      <c r="DD739" s="1442"/>
      <c r="DE739" s="1442">
        <f t="shared" si="20"/>
        <v>0</v>
      </c>
      <c r="DF739" s="1442"/>
      <c r="DG739" s="1442"/>
      <c r="DH739" s="1442"/>
      <c r="DI739" s="1442"/>
      <c r="DJ739" s="1442">
        <f t="shared" si="21"/>
        <v>0</v>
      </c>
      <c r="DK739" s="1442"/>
      <c r="DL739" s="1442"/>
      <c r="DM739" s="1442"/>
      <c r="DN739" s="1442"/>
      <c r="DO739" s="1442">
        <f t="shared" si="22"/>
        <v>0</v>
      </c>
      <c r="DP739" s="1442"/>
      <c r="DQ739" s="1442"/>
      <c r="DR739" s="1442"/>
      <c r="DS739" s="1442"/>
      <c r="DT739" s="6"/>
      <c r="DU739" s="1443">
        <f t="shared" si="23"/>
        <v>0</v>
      </c>
      <c r="DV739" s="1443"/>
      <c r="DW739" s="1443"/>
      <c r="DX739" s="1443"/>
      <c r="DY739" s="1443"/>
      <c r="DZ739" s="1443">
        <f t="shared" si="24"/>
        <v>0</v>
      </c>
      <c r="EA739" s="1443"/>
      <c r="EB739" s="1443"/>
      <c r="EC739" s="1443"/>
      <c r="ED739" s="1443"/>
      <c r="EE739" s="1443">
        <f t="shared" si="25"/>
        <v>0</v>
      </c>
      <c r="EF739" s="1443"/>
      <c r="EG739" s="1443"/>
      <c r="EH739" s="1443"/>
      <c r="EI739" s="1443"/>
      <c r="EJ739" s="1443">
        <f t="shared" si="26"/>
        <v>0</v>
      </c>
      <c r="EK739" s="1443"/>
      <c r="EL739" s="1443"/>
      <c r="EM739" s="1443"/>
      <c r="EN739" s="1443"/>
      <c r="EO739" s="1443">
        <f t="shared" si="27"/>
        <v>0</v>
      </c>
      <c r="EP739" s="1443"/>
      <c r="EQ739" s="1443"/>
      <c r="ER739" s="1443"/>
      <c r="ES739" s="1443"/>
      <c r="ET739" s="1443">
        <f t="shared" si="28"/>
        <v>0</v>
      </c>
      <c r="EU739" s="1443"/>
      <c r="EV739" s="1443"/>
      <c r="EW739" s="1443"/>
      <c r="EX739" s="1443"/>
      <c r="EZ739" s="1462" t="str">
        <f t="shared" si="29"/>
        <v/>
      </c>
      <c r="FA739" s="1464"/>
      <c r="FB739" s="1464"/>
      <c r="FC739" s="1464"/>
      <c r="FD739" s="1463"/>
      <c r="FE739" s="1462" t="str">
        <f t="shared" si="30"/>
        <v/>
      </c>
      <c r="FF739" s="1464"/>
      <c r="FG739" s="1464"/>
      <c r="FH739" s="1464"/>
      <c r="FI739" s="1463"/>
      <c r="FJ739" s="1462" t="str">
        <f t="shared" si="31"/>
        <v/>
      </c>
      <c r="FK739" s="1464"/>
      <c r="FL739" s="1464"/>
      <c r="FM739" s="1464"/>
      <c r="FN739" s="1463"/>
      <c r="FO739" s="1462" t="str">
        <f t="shared" si="32"/>
        <v/>
      </c>
      <c r="FP739" s="1464"/>
      <c r="FQ739" s="1464"/>
      <c r="FR739" s="1464"/>
      <c r="FS739" s="1463"/>
      <c r="FT739" s="1462" t="str">
        <f t="shared" si="33"/>
        <v/>
      </c>
      <c r="FU739" s="1464"/>
      <c r="FV739" s="1464"/>
      <c r="FW739" s="1464"/>
      <c r="FX739" s="1463"/>
      <c r="FY739" s="1462" t="str">
        <f t="shared" si="34"/>
        <v/>
      </c>
      <c r="FZ739" s="1464"/>
      <c r="GA739" s="1464"/>
      <c r="GB739" s="1464"/>
      <c r="GC739" s="1463"/>
    </row>
    <row r="740" spans="1:185" ht="12.9" customHeight="1" x14ac:dyDescent="0.25">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2">
        <f t="shared" si="36"/>
        <v>0</v>
      </c>
      <c r="CH740" s="1463"/>
      <c r="CI740" s="1468">
        <f t="shared" si="37"/>
        <v>0</v>
      </c>
      <c r="CJ740" s="1469"/>
      <c r="CK740" s="1462">
        <f t="shared" si="15"/>
        <v>0</v>
      </c>
      <c r="CL740" s="1463"/>
      <c r="CM740" s="1468">
        <f t="shared" si="16"/>
        <v>0</v>
      </c>
      <c r="CN740" s="1469"/>
      <c r="CO740" s="3"/>
      <c r="CP740" s="1457">
        <f t="shared" si="17"/>
        <v>0</v>
      </c>
      <c r="CQ740" s="1458"/>
      <c r="CR740" s="1458"/>
      <c r="CS740" s="1458"/>
      <c r="CT740" s="1459"/>
      <c r="CU740" s="1442">
        <f t="shared" si="18"/>
        <v>0</v>
      </c>
      <c r="CV740" s="1442"/>
      <c r="CW740" s="1442"/>
      <c r="CX740" s="1442"/>
      <c r="CY740" s="1442"/>
      <c r="CZ740" s="1442">
        <f t="shared" si="19"/>
        <v>0</v>
      </c>
      <c r="DA740" s="1442"/>
      <c r="DB740" s="1442"/>
      <c r="DC740" s="1442"/>
      <c r="DD740" s="1442"/>
      <c r="DE740" s="1442">
        <f t="shared" si="20"/>
        <v>0</v>
      </c>
      <c r="DF740" s="1442"/>
      <c r="DG740" s="1442"/>
      <c r="DH740" s="1442"/>
      <c r="DI740" s="1442"/>
      <c r="DJ740" s="1442">
        <f t="shared" si="21"/>
        <v>0</v>
      </c>
      <c r="DK740" s="1442"/>
      <c r="DL740" s="1442"/>
      <c r="DM740" s="1442"/>
      <c r="DN740" s="1442"/>
      <c r="DO740" s="1442">
        <f t="shared" si="22"/>
        <v>0</v>
      </c>
      <c r="DP740" s="1442"/>
      <c r="DQ740" s="1442"/>
      <c r="DR740" s="1442"/>
      <c r="DS740" s="1442"/>
      <c r="DT740" s="6"/>
      <c r="DU740" s="1443">
        <f t="shared" si="23"/>
        <v>0</v>
      </c>
      <c r="DV740" s="1443"/>
      <c r="DW740" s="1443"/>
      <c r="DX740" s="1443"/>
      <c r="DY740" s="1443"/>
      <c r="DZ740" s="1443">
        <f t="shared" si="24"/>
        <v>0</v>
      </c>
      <c r="EA740" s="1443"/>
      <c r="EB740" s="1443"/>
      <c r="EC740" s="1443"/>
      <c r="ED740" s="1443"/>
      <c r="EE740" s="1443">
        <f t="shared" si="25"/>
        <v>0</v>
      </c>
      <c r="EF740" s="1443"/>
      <c r="EG740" s="1443"/>
      <c r="EH740" s="1443"/>
      <c r="EI740" s="1443"/>
      <c r="EJ740" s="1443">
        <f t="shared" si="26"/>
        <v>0</v>
      </c>
      <c r="EK740" s="1443"/>
      <c r="EL740" s="1443"/>
      <c r="EM740" s="1443"/>
      <c r="EN740" s="1443"/>
      <c r="EO740" s="1443">
        <f t="shared" si="27"/>
        <v>0</v>
      </c>
      <c r="EP740" s="1443"/>
      <c r="EQ740" s="1443"/>
      <c r="ER740" s="1443"/>
      <c r="ES740" s="1443"/>
      <c r="ET740" s="1443">
        <f t="shared" si="28"/>
        <v>0</v>
      </c>
      <c r="EU740" s="1443"/>
      <c r="EV740" s="1443"/>
      <c r="EW740" s="1443"/>
      <c r="EX740" s="1443"/>
      <c r="EZ740" s="1462" t="str">
        <f t="shared" si="29"/>
        <v/>
      </c>
      <c r="FA740" s="1464"/>
      <c r="FB740" s="1464"/>
      <c r="FC740" s="1464"/>
      <c r="FD740" s="1463"/>
      <c r="FE740" s="1462" t="str">
        <f t="shared" si="30"/>
        <v/>
      </c>
      <c r="FF740" s="1464"/>
      <c r="FG740" s="1464"/>
      <c r="FH740" s="1464"/>
      <c r="FI740" s="1463"/>
      <c r="FJ740" s="1462" t="str">
        <f t="shared" si="31"/>
        <v/>
      </c>
      <c r="FK740" s="1464"/>
      <c r="FL740" s="1464"/>
      <c r="FM740" s="1464"/>
      <c r="FN740" s="1463"/>
      <c r="FO740" s="1462" t="str">
        <f t="shared" si="32"/>
        <v/>
      </c>
      <c r="FP740" s="1464"/>
      <c r="FQ740" s="1464"/>
      <c r="FR740" s="1464"/>
      <c r="FS740" s="1463"/>
      <c r="FT740" s="1462" t="str">
        <f t="shared" si="33"/>
        <v/>
      </c>
      <c r="FU740" s="1464"/>
      <c r="FV740" s="1464"/>
      <c r="FW740" s="1464"/>
      <c r="FX740" s="1463"/>
      <c r="FY740" s="1462" t="str">
        <f t="shared" si="34"/>
        <v/>
      </c>
      <c r="FZ740" s="1464"/>
      <c r="GA740" s="1464"/>
      <c r="GB740" s="1464"/>
      <c r="GC740" s="1463"/>
    </row>
    <row r="741" spans="1:185" ht="12.9" customHeight="1" x14ac:dyDescent="0.25">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2">
        <f t="shared" si="36"/>
        <v>0</v>
      </c>
      <c r="CH741" s="1463"/>
      <c r="CI741" s="1468">
        <f t="shared" si="37"/>
        <v>0</v>
      </c>
      <c r="CJ741" s="1469"/>
      <c r="CK741" s="1462">
        <f t="shared" si="15"/>
        <v>0</v>
      </c>
      <c r="CL741" s="1463"/>
      <c r="CM741" s="1468">
        <f t="shared" si="16"/>
        <v>0</v>
      </c>
      <c r="CN741" s="1469"/>
      <c r="CO741" s="3"/>
      <c r="CP741" s="1457">
        <f t="shared" si="17"/>
        <v>0</v>
      </c>
      <c r="CQ741" s="1458"/>
      <c r="CR741" s="1458"/>
      <c r="CS741" s="1458"/>
      <c r="CT741" s="1459"/>
      <c r="CU741" s="1442">
        <f t="shared" si="18"/>
        <v>0</v>
      </c>
      <c r="CV741" s="1442"/>
      <c r="CW741" s="1442"/>
      <c r="CX741" s="1442"/>
      <c r="CY741" s="1442"/>
      <c r="CZ741" s="1442">
        <f t="shared" si="19"/>
        <v>0</v>
      </c>
      <c r="DA741" s="1442"/>
      <c r="DB741" s="1442"/>
      <c r="DC741" s="1442"/>
      <c r="DD741" s="1442"/>
      <c r="DE741" s="1442">
        <f t="shared" si="20"/>
        <v>0</v>
      </c>
      <c r="DF741" s="1442"/>
      <c r="DG741" s="1442"/>
      <c r="DH741" s="1442"/>
      <c r="DI741" s="1442"/>
      <c r="DJ741" s="1442">
        <f t="shared" si="21"/>
        <v>0</v>
      </c>
      <c r="DK741" s="1442"/>
      <c r="DL741" s="1442"/>
      <c r="DM741" s="1442"/>
      <c r="DN741" s="1442"/>
      <c r="DO741" s="1442">
        <f t="shared" si="22"/>
        <v>0</v>
      </c>
      <c r="DP741" s="1442"/>
      <c r="DQ741" s="1442"/>
      <c r="DR741" s="1442"/>
      <c r="DS741" s="1442"/>
      <c r="DT741" s="6"/>
      <c r="DU741" s="1443">
        <f t="shared" si="23"/>
        <v>0</v>
      </c>
      <c r="DV741" s="1443"/>
      <c r="DW741" s="1443"/>
      <c r="DX741" s="1443"/>
      <c r="DY741" s="1443"/>
      <c r="DZ741" s="1443">
        <f t="shared" si="24"/>
        <v>0</v>
      </c>
      <c r="EA741" s="1443"/>
      <c r="EB741" s="1443"/>
      <c r="EC741" s="1443"/>
      <c r="ED741" s="1443"/>
      <c r="EE741" s="1443">
        <f t="shared" si="25"/>
        <v>0</v>
      </c>
      <c r="EF741" s="1443"/>
      <c r="EG741" s="1443"/>
      <c r="EH741" s="1443"/>
      <c r="EI741" s="1443"/>
      <c r="EJ741" s="1443">
        <f t="shared" si="26"/>
        <v>0</v>
      </c>
      <c r="EK741" s="1443"/>
      <c r="EL741" s="1443"/>
      <c r="EM741" s="1443"/>
      <c r="EN741" s="1443"/>
      <c r="EO741" s="1443">
        <f t="shared" si="27"/>
        <v>0</v>
      </c>
      <c r="EP741" s="1443"/>
      <c r="EQ741" s="1443"/>
      <c r="ER741" s="1443"/>
      <c r="ES741" s="1443"/>
      <c r="ET741" s="1443">
        <f t="shared" si="28"/>
        <v>0</v>
      </c>
      <c r="EU741" s="1443"/>
      <c r="EV741" s="1443"/>
      <c r="EW741" s="1443"/>
      <c r="EX741" s="1443"/>
      <c r="EZ741" s="1462" t="str">
        <f t="shared" si="29"/>
        <v/>
      </c>
      <c r="FA741" s="1464"/>
      <c r="FB741" s="1464"/>
      <c r="FC741" s="1464"/>
      <c r="FD741" s="1463"/>
      <c r="FE741" s="1462" t="str">
        <f t="shared" si="30"/>
        <v/>
      </c>
      <c r="FF741" s="1464"/>
      <c r="FG741" s="1464"/>
      <c r="FH741" s="1464"/>
      <c r="FI741" s="1463"/>
      <c r="FJ741" s="1462" t="str">
        <f t="shared" si="31"/>
        <v/>
      </c>
      <c r="FK741" s="1464"/>
      <c r="FL741" s="1464"/>
      <c r="FM741" s="1464"/>
      <c r="FN741" s="1463"/>
      <c r="FO741" s="1462" t="str">
        <f t="shared" si="32"/>
        <v/>
      </c>
      <c r="FP741" s="1464"/>
      <c r="FQ741" s="1464"/>
      <c r="FR741" s="1464"/>
      <c r="FS741" s="1463"/>
      <c r="FT741" s="1462" t="str">
        <f t="shared" si="33"/>
        <v/>
      </c>
      <c r="FU741" s="1464"/>
      <c r="FV741" s="1464"/>
      <c r="FW741" s="1464"/>
      <c r="FX741" s="1463"/>
      <c r="FY741" s="1462" t="str">
        <f t="shared" si="34"/>
        <v/>
      </c>
      <c r="FZ741" s="1464"/>
      <c r="GA741" s="1464"/>
      <c r="GB741" s="1464"/>
      <c r="GC741" s="1463"/>
    </row>
    <row r="742" spans="1:185" ht="12.9" customHeight="1" x14ac:dyDescent="0.25">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8">O742+T742</f>
        <v>0</v>
      </c>
      <c r="Y742" s="1352"/>
      <c r="Z742" s="1352"/>
      <c r="AA742" s="1352"/>
      <c r="AB742" s="1353"/>
      <c r="AC742" s="1358"/>
      <c r="AD742" s="1359"/>
      <c r="AE742" s="1359"/>
      <c r="AF742" s="1359"/>
      <c r="AG742" s="1360"/>
      <c r="AH742" s="1354" t="str">
        <f t="shared" si="35"/>
        <v/>
      </c>
      <c r="AI742" s="1355"/>
      <c r="AJ742" s="1356"/>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2">
        <f t="shared" si="36"/>
        <v>0</v>
      </c>
      <c r="CH742" s="1463"/>
      <c r="CI742" s="1468">
        <f t="shared" si="37"/>
        <v>0</v>
      </c>
      <c r="CJ742" s="1469"/>
      <c r="CK742" s="1462">
        <f t="shared" si="15"/>
        <v>0</v>
      </c>
      <c r="CL742" s="1463"/>
      <c r="CM742" s="1468">
        <f t="shared" si="16"/>
        <v>0</v>
      </c>
      <c r="CN742" s="1469"/>
      <c r="CO742" s="3"/>
      <c r="CP742" s="1457">
        <f t="shared" si="17"/>
        <v>0</v>
      </c>
      <c r="CQ742" s="1458"/>
      <c r="CR742" s="1458"/>
      <c r="CS742" s="1458"/>
      <c r="CT742" s="1459"/>
      <c r="CU742" s="1442">
        <f t="shared" si="18"/>
        <v>0</v>
      </c>
      <c r="CV742" s="1442"/>
      <c r="CW742" s="1442"/>
      <c r="CX742" s="1442"/>
      <c r="CY742" s="1442"/>
      <c r="CZ742" s="1442">
        <f t="shared" si="19"/>
        <v>0</v>
      </c>
      <c r="DA742" s="1442"/>
      <c r="DB742" s="1442"/>
      <c r="DC742" s="1442"/>
      <c r="DD742" s="1442"/>
      <c r="DE742" s="1442">
        <f t="shared" si="20"/>
        <v>0</v>
      </c>
      <c r="DF742" s="1442"/>
      <c r="DG742" s="1442"/>
      <c r="DH742" s="1442"/>
      <c r="DI742" s="1442"/>
      <c r="DJ742" s="1442">
        <f t="shared" si="21"/>
        <v>0</v>
      </c>
      <c r="DK742" s="1442"/>
      <c r="DL742" s="1442"/>
      <c r="DM742" s="1442"/>
      <c r="DN742" s="1442"/>
      <c r="DO742" s="1442">
        <f t="shared" si="22"/>
        <v>0</v>
      </c>
      <c r="DP742" s="1442"/>
      <c r="DQ742" s="1442"/>
      <c r="DR742" s="1442"/>
      <c r="DS742" s="1442"/>
      <c r="DT742" s="6"/>
      <c r="DU742" s="1443">
        <f t="shared" si="23"/>
        <v>0</v>
      </c>
      <c r="DV742" s="1443"/>
      <c r="DW742" s="1443"/>
      <c r="DX742" s="1443"/>
      <c r="DY742" s="1443"/>
      <c r="DZ742" s="1443">
        <f t="shared" si="24"/>
        <v>0</v>
      </c>
      <c r="EA742" s="1443"/>
      <c r="EB742" s="1443"/>
      <c r="EC742" s="1443"/>
      <c r="ED742" s="1443"/>
      <c r="EE742" s="1443">
        <f t="shared" si="25"/>
        <v>0</v>
      </c>
      <c r="EF742" s="1443"/>
      <c r="EG742" s="1443"/>
      <c r="EH742" s="1443"/>
      <c r="EI742" s="1443"/>
      <c r="EJ742" s="1443">
        <f t="shared" si="26"/>
        <v>0</v>
      </c>
      <c r="EK742" s="1443"/>
      <c r="EL742" s="1443"/>
      <c r="EM742" s="1443"/>
      <c r="EN742" s="1443"/>
      <c r="EO742" s="1443">
        <f t="shared" si="27"/>
        <v>0</v>
      </c>
      <c r="EP742" s="1443"/>
      <c r="EQ742" s="1443"/>
      <c r="ER742" s="1443"/>
      <c r="ES742" s="1443"/>
      <c r="ET742" s="1443">
        <f t="shared" si="28"/>
        <v>0</v>
      </c>
      <c r="EU742" s="1443"/>
      <c r="EV742" s="1443"/>
      <c r="EW742" s="1443"/>
      <c r="EX742" s="1443"/>
      <c r="EZ742" s="1462" t="str">
        <f t="shared" si="29"/>
        <v/>
      </c>
      <c r="FA742" s="1464"/>
      <c r="FB742" s="1464"/>
      <c r="FC742" s="1464"/>
      <c r="FD742" s="1463"/>
      <c r="FE742" s="1462" t="str">
        <f t="shared" si="30"/>
        <v/>
      </c>
      <c r="FF742" s="1464"/>
      <c r="FG742" s="1464"/>
      <c r="FH742" s="1464"/>
      <c r="FI742" s="1463"/>
      <c r="FJ742" s="1462" t="str">
        <f t="shared" si="31"/>
        <v/>
      </c>
      <c r="FK742" s="1464"/>
      <c r="FL742" s="1464"/>
      <c r="FM742" s="1464"/>
      <c r="FN742" s="1463"/>
      <c r="FO742" s="1462" t="str">
        <f t="shared" si="32"/>
        <v/>
      </c>
      <c r="FP742" s="1464"/>
      <c r="FQ742" s="1464"/>
      <c r="FR742" s="1464"/>
      <c r="FS742" s="1463"/>
      <c r="FT742" s="1462" t="str">
        <f t="shared" si="33"/>
        <v/>
      </c>
      <c r="FU742" s="1464"/>
      <c r="FV742" s="1464"/>
      <c r="FW742" s="1464"/>
      <c r="FX742" s="1463"/>
      <c r="FY742" s="1462" t="str">
        <f t="shared" si="34"/>
        <v/>
      </c>
      <c r="FZ742" s="1464"/>
      <c r="GA742" s="1464"/>
      <c r="GB742" s="1464"/>
      <c r="GC742" s="1463"/>
    </row>
    <row r="743" spans="1:185" s="3" customFormat="1" ht="12.9" customHeight="1" x14ac:dyDescent="0.25">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8"/>
        <v>0</v>
      </c>
      <c r="Y743" s="1352"/>
      <c r="Z743" s="1352"/>
      <c r="AA743" s="1352"/>
      <c r="AB743" s="1353"/>
      <c r="AC743" s="1358"/>
      <c r="AD743" s="1359"/>
      <c r="AE743" s="1359"/>
      <c r="AF743" s="1359"/>
      <c r="AG743" s="1360"/>
      <c r="AH743" s="1354" t="str">
        <f t="shared" si="35"/>
        <v/>
      </c>
      <c r="AI743" s="1355"/>
      <c r="AJ743" s="1356"/>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2">
        <f t="shared" si="36"/>
        <v>0</v>
      </c>
      <c r="CH743" s="1463"/>
      <c r="CI743" s="1468">
        <f t="shared" si="37"/>
        <v>0</v>
      </c>
      <c r="CJ743" s="1469"/>
      <c r="CK743" s="1462">
        <f t="shared" si="15"/>
        <v>0</v>
      </c>
      <c r="CL743" s="1463"/>
      <c r="CM743" s="1468">
        <f t="shared" si="16"/>
        <v>0</v>
      </c>
      <c r="CN743" s="1469"/>
      <c r="CP743" s="1457">
        <f t="shared" si="17"/>
        <v>0</v>
      </c>
      <c r="CQ743" s="1458"/>
      <c r="CR743" s="1458"/>
      <c r="CS743" s="1458"/>
      <c r="CT743" s="1459"/>
      <c r="CU743" s="1442">
        <f t="shared" si="18"/>
        <v>0</v>
      </c>
      <c r="CV743" s="1442"/>
      <c r="CW743" s="1442"/>
      <c r="CX743" s="1442"/>
      <c r="CY743" s="1442"/>
      <c r="CZ743" s="1442">
        <f t="shared" si="19"/>
        <v>0</v>
      </c>
      <c r="DA743" s="1442"/>
      <c r="DB743" s="1442"/>
      <c r="DC743" s="1442"/>
      <c r="DD743" s="1442"/>
      <c r="DE743" s="1442">
        <f t="shared" si="20"/>
        <v>0</v>
      </c>
      <c r="DF743" s="1442"/>
      <c r="DG743" s="1442"/>
      <c r="DH743" s="1442"/>
      <c r="DI743" s="1442"/>
      <c r="DJ743" s="1442">
        <f t="shared" si="21"/>
        <v>0</v>
      </c>
      <c r="DK743" s="1442"/>
      <c r="DL743" s="1442"/>
      <c r="DM743" s="1442"/>
      <c r="DN743" s="1442"/>
      <c r="DO743" s="1442">
        <f t="shared" si="22"/>
        <v>0</v>
      </c>
      <c r="DP743" s="1442"/>
      <c r="DQ743" s="1442"/>
      <c r="DR743" s="1442"/>
      <c r="DS743" s="1442"/>
      <c r="DT743" s="6"/>
      <c r="DU743" s="1443">
        <f t="shared" si="23"/>
        <v>0</v>
      </c>
      <c r="DV743" s="1443"/>
      <c r="DW743" s="1443"/>
      <c r="DX743" s="1443"/>
      <c r="DY743" s="1443"/>
      <c r="DZ743" s="1443">
        <f t="shared" si="24"/>
        <v>0</v>
      </c>
      <c r="EA743" s="1443"/>
      <c r="EB743" s="1443"/>
      <c r="EC743" s="1443"/>
      <c r="ED743" s="1443"/>
      <c r="EE743" s="1443">
        <f t="shared" si="25"/>
        <v>0</v>
      </c>
      <c r="EF743" s="1443"/>
      <c r="EG743" s="1443"/>
      <c r="EH743" s="1443"/>
      <c r="EI743" s="1443"/>
      <c r="EJ743" s="1443">
        <f t="shared" si="26"/>
        <v>0</v>
      </c>
      <c r="EK743" s="1443"/>
      <c r="EL743" s="1443"/>
      <c r="EM743" s="1443"/>
      <c r="EN743" s="1443"/>
      <c r="EO743" s="1443">
        <f t="shared" si="27"/>
        <v>0</v>
      </c>
      <c r="EP743" s="1443"/>
      <c r="EQ743" s="1443"/>
      <c r="ER743" s="1443"/>
      <c r="ES743" s="1443"/>
      <c r="ET743" s="1443">
        <f t="shared" si="28"/>
        <v>0</v>
      </c>
      <c r="EU743" s="1443"/>
      <c r="EV743" s="1443"/>
      <c r="EW743" s="1443"/>
      <c r="EX743" s="1443"/>
      <c r="EY743"/>
      <c r="EZ743" s="1462" t="str">
        <f t="shared" si="29"/>
        <v/>
      </c>
      <c r="FA743" s="1464"/>
      <c r="FB743" s="1464"/>
      <c r="FC743" s="1464"/>
      <c r="FD743" s="1463"/>
      <c r="FE743" s="1462" t="str">
        <f t="shared" si="30"/>
        <v/>
      </c>
      <c r="FF743" s="1464"/>
      <c r="FG743" s="1464"/>
      <c r="FH743" s="1464"/>
      <c r="FI743" s="1463"/>
      <c r="FJ743" s="1462" t="str">
        <f t="shared" si="31"/>
        <v/>
      </c>
      <c r="FK743" s="1464"/>
      <c r="FL743" s="1464"/>
      <c r="FM743" s="1464"/>
      <c r="FN743" s="1463"/>
      <c r="FO743" s="1462" t="str">
        <f t="shared" si="32"/>
        <v/>
      </c>
      <c r="FP743" s="1464"/>
      <c r="FQ743" s="1464"/>
      <c r="FR743" s="1464"/>
      <c r="FS743" s="1463"/>
      <c r="FT743" s="1462" t="str">
        <f t="shared" si="33"/>
        <v/>
      </c>
      <c r="FU743" s="1464"/>
      <c r="FV743" s="1464"/>
      <c r="FW743" s="1464"/>
      <c r="FX743" s="1463"/>
      <c r="FY743" s="1462" t="str">
        <f t="shared" si="34"/>
        <v/>
      </c>
      <c r="FZ743" s="1464"/>
      <c r="GA743" s="1464"/>
      <c r="GB743" s="1464"/>
      <c r="GC743" s="1463"/>
    </row>
    <row r="744" spans="1:185" ht="12.9" customHeight="1" x14ac:dyDescent="0.25">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8"/>
        <v>0</v>
      </c>
      <c r="Y744" s="1352"/>
      <c r="Z744" s="1352"/>
      <c r="AA744" s="1352"/>
      <c r="AB744" s="1353"/>
      <c r="AC744" s="1358"/>
      <c r="AD744" s="1359"/>
      <c r="AE744" s="1359"/>
      <c r="AF744" s="1359"/>
      <c r="AG744" s="1360"/>
      <c r="AH744" s="1354" t="str">
        <f t="shared" si="35"/>
        <v/>
      </c>
      <c r="AI744" s="1355"/>
      <c r="AJ744" s="1356"/>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2">
        <f t="shared" si="36"/>
        <v>0</v>
      </c>
      <c r="CH744" s="1463"/>
      <c r="CI744" s="1468">
        <f t="shared" si="37"/>
        <v>0</v>
      </c>
      <c r="CJ744" s="1469"/>
      <c r="CK744" s="1462">
        <f t="shared" si="15"/>
        <v>0</v>
      </c>
      <c r="CL744" s="1463"/>
      <c r="CM744" s="1468">
        <f t="shared" si="16"/>
        <v>0</v>
      </c>
      <c r="CN744" s="1469"/>
      <c r="CO744" s="3"/>
      <c r="CP744" s="1457">
        <f t="shared" si="17"/>
        <v>0</v>
      </c>
      <c r="CQ744" s="1458"/>
      <c r="CR744" s="1458"/>
      <c r="CS744" s="1458"/>
      <c r="CT744" s="1459"/>
      <c r="CU744" s="1442">
        <f t="shared" si="18"/>
        <v>0</v>
      </c>
      <c r="CV744" s="1442"/>
      <c r="CW744" s="1442"/>
      <c r="CX744" s="1442"/>
      <c r="CY744" s="1442"/>
      <c r="CZ744" s="1442">
        <f t="shared" si="19"/>
        <v>0</v>
      </c>
      <c r="DA744" s="1442"/>
      <c r="DB744" s="1442"/>
      <c r="DC744" s="1442"/>
      <c r="DD744" s="1442"/>
      <c r="DE744" s="1442">
        <f t="shared" si="20"/>
        <v>0</v>
      </c>
      <c r="DF744" s="1442"/>
      <c r="DG744" s="1442"/>
      <c r="DH744" s="1442"/>
      <c r="DI744" s="1442"/>
      <c r="DJ744" s="1442">
        <f t="shared" si="21"/>
        <v>0</v>
      </c>
      <c r="DK744" s="1442"/>
      <c r="DL744" s="1442"/>
      <c r="DM744" s="1442"/>
      <c r="DN744" s="1442"/>
      <c r="DO744" s="1442">
        <f t="shared" si="22"/>
        <v>0</v>
      </c>
      <c r="DP744" s="1442"/>
      <c r="DQ744" s="1442"/>
      <c r="DR744" s="1442"/>
      <c r="DS744" s="1442"/>
      <c r="DT744" s="6"/>
      <c r="DU744" s="1443">
        <f t="shared" si="23"/>
        <v>0</v>
      </c>
      <c r="DV744" s="1443"/>
      <c r="DW744" s="1443"/>
      <c r="DX744" s="1443"/>
      <c r="DY744" s="1443"/>
      <c r="DZ744" s="1443">
        <f t="shared" si="24"/>
        <v>0</v>
      </c>
      <c r="EA744" s="1443"/>
      <c r="EB744" s="1443"/>
      <c r="EC744" s="1443"/>
      <c r="ED744" s="1443"/>
      <c r="EE744" s="1443">
        <f t="shared" si="25"/>
        <v>0</v>
      </c>
      <c r="EF744" s="1443"/>
      <c r="EG744" s="1443"/>
      <c r="EH744" s="1443"/>
      <c r="EI744" s="1443"/>
      <c r="EJ744" s="1443">
        <f t="shared" si="26"/>
        <v>0</v>
      </c>
      <c r="EK744" s="1443"/>
      <c r="EL744" s="1443"/>
      <c r="EM744" s="1443"/>
      <c r="EN744" s="1443"/>
      <c r="EO744" s="1443">
        <f t="shared" si="27"/>
        <v>0</v>
      </c>
      <c r="EP744" s="1443"/>
      <c r="EQ744" s="1443"/>
      <c r="ER744" s="1443"/>
      <c r="ES744" s="1443"/>
      <c r="ET744" s="1443">
        <f t="shared" si="28"/>
        <v>0</v>
      </c>
      <c r="EU744" s="1443"/>
      <c r="EV744" s="1443"/>
      <c r="EW744" s="1443"/>
      <c r="EX744" s="1443"/>
      <c r="EZ744" s="1462" t="str">
        <f t="shared" si="29"/>
        <v/>
      </c>
      <c r="FA744" s="1464"/>
      <c r="FB744" s="1464"/>
      <c r="FC744" s="1464"/>
      <c r="FD744" s="1463"/>
      <c r="FE744" s="1462" t="str">
        <f t="shared" si="30"/>
        <v/>
      </c>
      <c r="FF744" s="1464"/>
      <c r="FG744" s="1464"/>
      <c r="FH744" s="1464"/>
      <c r="FI744" s="1463"/>
      <c r="FJ744" s="1462" t="str">
        <f t="shared" si="31"/>
        <v/>
      </c>
      <c r="FK744" s="1464"/>
      <c r="FL744" s="1464"/>
      <c r="FM744" s="1464"/>
      <c r="FN744" s="1463"/>
      <c r="FO744" s="1462" t="str">
        <f t="shared" si="32"/>
        <v/>
      </c>
      <c r="FP744" s="1464"/>
      <c r="FQ744" s="1464"/>
      <c r="FR744" s="1464"/>
      <c r="FS744" s="1463"/>
      <c r="FT744" s="1462" t="str">
        <f t="shared" si="33"/>
        <v/>
      </c>
      <c r="FU744" s="1464"/>
      <c r="FV744" s="1464"/>
      <c r="FW744" s="1464"/>
      <c r="FX744" s="1463"/>
      <c r="FY744" s="1462" t="str">
        <f t="shared" si="34"/>
        <v/>
      </c>
      <c r="FZ744" s="1464"/>
      <c r="GA744" s="1464"/>
      <c r="GB744" s="1464"/>
      <c r="GC744" s="1463"/>
    </row>
    <row r="745" spans="1:185" ht="12.9" customHeight="1" x14ac:dyDescent="0.25">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8"/>
        <v>0</v>
      </c>
      <c r="Y745" s="1352"/>
      <c r="Z745" s="1352"/>
      <c r="AA745" s="1352"/>
      <c r="AB745" s="1353"/>
      <c r="AC745" s="1358"/>
      <c r="AD745" s="1359"/>
      <c r="AE745" s="1359"/>
      <c r="AF745" s="1359"/>
      <c r="AG745" s="1360"/>
      <c r="AH745" s="1354" t="str">
        <f t="shared" si="35"/>
        <v/>
      </c>
      <c r="AI745" s="1355"/>
      <c r="AJ745" s="1356"/>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2">
        <f t="shared" si="36"/>
        <v>0</v>
      </c>
      <c r="CH745" s="1463"/>
      <c r="CI745" s="1468">
        <f t="shared" si="37"/>
        <v>0</v>
      </c>
      <c r="CJ745" s="1469"/>
      <c r="CK745" s="1462">
        <f t="shared" si="15"/>
        <v>0</v>
      </c>
      <c r="CL745" s="1463"/>
      <c r="CM745" s="1468">
        <f t="shared" si="16"/>
        <v>0</v>
      </c>
      <c r="CN745" s="1469"/>
      <c r="CO745" s="3"/>
      <c r="CP745" s="1457">
        <f t="shared" si="17"/>
        <v>0</v>
      </c>
      <c r="CQ745" s="1458"/>
      <c r="CR745" s="1458"/>
      <c r="CS745" s="1458"/>
      <c r="CT745" s="1459"/>
      <c r="CU745" s="1442">
        <f t="shared" si="18"/>
        <v>0</v>
      </c>
      <c r="CV745" s="1442"/>
      <c r="CW745" s="1442"/>
      <c r="CX745" s="1442"/>
      <c r="CY745" s="1442"/>
      <c r="CZ745" s="1442">
        <f t="shared" si="19"/>
        <v>0</v>
      </c>
      <c r="DA745" s="1442"/>
      <c r="DB745" s="1442"/>
      <c r="DC745" s="1442"/>
      <c r="DD745" s="1442"/>
      <c r="DE745" s="1442">
        <f t="shared" si="20"/>
        <v>0</v>
      </c>
      <c r="DF745" s="1442"/>
      <c r="DG745" s="1442"/>
      <c r="DH745" s="1442"/>
      <c r="DI745" s="1442"/>
      <c r="DJ745" s="1442">
        <f t="shared" si="21"/>
        <v>0</v>
      </c>
      <c r="DK745" s="1442"/>
      <c r="DL745" s="1442"/>
      <c r="DM745" s="1442"/>
      <c r="DN745" s="1442"/>
      <c r="DO745" s="1442">
        <f t="shared" si="22"/>
        <v>0</v>
      </c>
      <c r="DP745" s="1442"/>
      <c r="DQ745" s="1442"/>
      <c r="DR745" s="1442"/>
      <c r="DS745" s="1442"/>
      <c r="DT745" s="6"/>
      <c r="DU745" s="1443">
        <f t="shared" si="23"/>
        <v>0</v>
      </c>
      <c r="DV745" s="1443"/>
      <c r="DW745" s="1443"/>
      <c r="DX745" s="1443"/>
      <c r="DY745" s="1443"/>
      <c r="DZ745" s="1443">
        <f t="shared" si="24"/>
        <v>0</v>
      </c>
      <c r="EA745" s="1443"/>
      <c r="EB745" s="1443"/>
      <c r="EC745" s="1443"/>
      <c r="ED745" s="1443"/>
      <c r="EE745" s="1443">
        <f t="shared" si="25"/>
        <v>0</v>
      </c>
      <c r="EF745" s="1443"/>
      <c r="EG745" s="1443"/>
      <c r="EH745" s="1443"/>
      <c r="EI745" s="1443"/>
      <c r="EJ745" s="1443">
        <f t="shared" si="26"/>
        <v>0</v>
      </c>
      <c r="EK745" s="1443"/>
      <c r="EL745" s="1443"/>
      <c r="EM745" s="1443"/>
      <c r="EN745" s="1443"/>
      <c r="EO745" s="1443">
        <f t="shared" si="27"/>
        <v>0</v>
      </c>
      <c r="EP745" s="1443"/>
      <c r="EQ745" s="1443"/>
      <c r="ER745" s="1443"/>
      <c r="ES745" s="1443"/>
      <c r="ET745" s="1443">
        <f t="shared" si="28"/>
        <v>0</v>
      </c>
      <c r="EU745" s="1443"/>
      <c r="EV745" s="1443"/>
      <c r="EW745" s="1443"/>
      <c r="EX745" s="1443"/>
      <c r="EZ745" s="1462" t="str">
        <f t="shared" si="29"/>
        <v/>
      </c>
      <c r="FA745" s="1464"/>
      <c r="FB745" s="1464"/>
      <c r="FC745" s="1464"/>
      <c r="FD745" s="1463"/>
      <c r="FE745" s="1462" t="str">
        <f t="shared" si="30"/>
        <v/>
      </c>
      <c r="FF745" s="1464"/>
      <c r="FG745" s="1464"/>
      <c r="FH745" s="1464"/>
      <c r="FI745" s="1463"/>
      <c r="FJ745" s="1462" t="str">
        <f t="shared" si="31"/>
        <v/>
      </c>
      <c r="FK745" s="1464"/>
      <c r="FL745" s="1464"/>
      <c r="FM745" s="1464"/>
      <c r="FN745" s="1463"/>
      <c r="FO745" s="1462" t="str">
        <f t="shared" si="32"/>
        <v/>
      </c>
      <c r="FP745" s="1464"/>
      <c r="FQ745" s="1464"/>
      <c r="FR745" s="1464"/>
      <c r="FS745" s="1463"/>
      <c r="FT745" s="1462" t="str">
        <f t="shared" si="33"/>
        <v/>
      </c>
      <c r="FU745" s="1464"/>
      <c r="FV745" s="1464"/>
      <c r="FW745" s="1464"/>
      <c r="FX745" s="1463"/>
      <c r="FY745" s="1462" t="str">
        <f t="shared" si="34"/>
        <v/>
      </c>
      <c r="FZ745" s="1464"/>
      <c r="GA745" s="1464"/>
      <c r="GB745" s="1464"/>
      <c r="GC745" s="1463"/>
    </row>
    <row r="746" spans="1:185" ht="12.9" customHeight="1" x14ac:dyDescent="0.25">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8"/>
        <v>0</v>
      </c>
      <c r="Y746" s="1352"/>
      <c r="Z746" s="1352"/>
      <c r="AA746" s="1352"/>
      <c r="AB746" s="1353"/>
      <c r="AC746" s="1358"/>
      <c r="AD746" s="1359"/>
      <c r="AE746" s="1359"/>
      <c r="AF746" s="1359"/>
      <c r="AG746" s="1360"/>
      <c r="AH746" s="1354" t="str">
        <f t="shared" si="35"/>
        <v/>
      </c>
      <c r="AI746" s="1355"/>
      <c r="AJ746" s="1356"/>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2">
        <f t="shared" si="36"/>
        <v>0</v>
      </c>
      <c r="CH746" s="1463"/>
      <c r="CI746" s="1468">
        <f t="shared" si="37"/>
        <v>0</v>
      </c>
      <c r="CJ746" s="1469"/>
      <c r="CK746" s="1462">
        <f t="shared" si="15"/>
        <v>0</v>
      </c>
      <c r="CL746" s="1463"/>
      <c r="CM746" s="1468">
        <f t="shared" si="16"/>
        <v>0</v>
      </c>
      <c r="CN746" s="1469"/>
      <c r="CO746" s="3"/>
      <c r="CP746" s="1457">
        <f t="shared" si="17"/>
        <v>0</v>
      </c>
      <c r="CQ746" s="1458"/>
      <c r="CR746" s="1458"/>
      <c r="CS746" s="1458"/>
      <c r="CT746" s="1459"/>
      <c r="CU746" s="1442">
        <f t="shared" si="18"/>
        <v>0</v>
      </c>
      <c r="CV746" s="1442"/>
      <c r="CW746" s="1442"/>
      <c r="CX746" s="1442"/>
      <c r="CY746" s="1442"/>
      <c r="CZ746" s="1442">
        <f t="shared" si="19"/>
        <v>0</v>
      </c>
      <c r="DA746" s="1442"/>
      <c r="DB746" s="1442"/>
      <c r="DC746" s="1442"/>
      <c r="DD746" s="1442"/>
      <c r="DE746" s="1442">
        <f t="shared" si="20"/>
        <v>0</v>
      </c>
      <c r="DF746" s="1442"/>
      <c r="DG746" s="1442"/>
      <c r="DH746" s="1442"/>
      <c r="DI746" s="1442"/>
      <c r="DJ746" s="1442">
        <f t="shared" si="21"/>
        <v>0</v>
      </c>
      <c r="DK746" s="1442"/>
      <c r="DL746" s="1442"/>
      <c r="DM746" s="1442"/>
      <c r="DN746" s="1442"/>
      <c r="DO746" s="1442">
        <f t="shared" si="22"/>
        <v>0</v>
      </c>
      <c r="DP746" s="1442"/>
      <c r="DQ746" s="1442"/>
      <c r="DR746" s="1442"/>
      <c r="DS746" s="1442"/>
      <c r="DT746" s="6"/>
      <c r="DU746" s="1443">
        <f t="shared" si="23"/>
        <v>0</v>
      </c>
      <c r="DV746" s="1443"/>
      <c r="DW746" s="1443"/>
      <c r="DX746" s="1443"/>
      <c r="DY746" s="1443"/>
      <c r="DZ746" s="1443">
        <f t="shared" si="24"/>
        <v>0</v>
      </c>
      <c r="EA746" s="1443"/>
      <c r="EB746" s="1443"/>
      <c r="EC746" s="1443"/>
      <c r="ED746" s="1443"/>
      <c r="EE746" s="1443">
        <f t="shared" si="25"/>
        <v>0</v>
      </c>
      <c r="EF746" s="1443"/>
      <c r="EG746" s="1443"/>
      <c r="EH746" s="1443"/>
      <c r="EI746" s="1443"/>
      <c r="EJ746" s="1443">
        <f t="shared" si="26"/>
        <v>0</v>
      </c>
      <c r="EK746" s="1443"/>
      <c r="EL746" s="1443"/>
      <c r="EM746" s="1443"/>
      <c r="EN746" s="1443"/>
      <c r="EO746" s="1443">
        <f t="shared" si="27"/>
        <v>0</v>
      </c>
      <c r="EP746" s="1443"/>
      <c r="EQ746" s="1443"/>
      <c r="ER746" s="1443"/>
      <c r="ES746" s="1443"/>
      <c r="ET746" s="1443">
        <f t="shared" si="28"/>
        <v>0</v>
      </c>
      <c r="EU746" s="1443"/>
      <c r="EV746" s="1443"/>
      <c r="EW746" s="1443"/>
      <c r="EX746" s="1443"/>
      <c r="EZ746" s="1462" t="str">
        <f t="shared" si="29"/>
        <v/>
      </c>
      <c r="FA746" s="1464"/>
      <c r="FB746" s="1464"/>
      <c r="FC746" s="1464"/>
      <c r="FD746" s="1463"/>
      <c r="FE746" s="1462" t="str">
        <f t="shared" si="30"/>
        <v/>
      </c>
      <c r="FF746" s="1464"/>
      <c r="FG746" s="1464"/>
      <c r="FH746" s="1464"/>
      <c r="FI746" s="1463"/>
      <c r="FJ746" s="1462" t="str">
        <f t="shared" si="31"/>
        <v/>
      </c>
      <c r="FK746" s="1464"/>
      <c r="FL746" s="1464"/>
      <c r="FM746" s="1464"/>
      <c r="FN746" s="1463"/>
      <c r="FO746" s="1462" t="str">
        <f t="shared" si="32"/>
        <v/>
      </c>
      <c r="FP746" s="1464"/>
      <c r="FQ746" s="1464"/>
      <c r="FR746" s="1464"/>
      <c r="FS746" s="1463"/>
      <c r="FT746" s="1462" t="str">
        <f t="shared" si="33"/>
        <v/>
      </c>
      <c r="FU746" s="1464"/>
      <c r="FV746" s="1464"/>
      <c r="FW746" s="1464"/>
      <c r="FX746" s="1463"/>
      <c r="FY746" s="1462" t="str">
        <f t="shared" si="34"/>
        <v/>
      </c>
      <c r="FZ746" s="1464"/>
      <c r="GA746" s="1464"/>
      <c r="GB746" s="1464"/>
      <c r="GC746" s="1463"/>
    </row>
    <row r="747" spans="1:185" ht="12.9" customHeight="1" x14ac:dyDescent="0.25">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8"/>
        <v>0</v>
      </c>
      <c r="Y747" s="1352"/>
      <c r="Z747" s="1352"/>
      <c r="AA747" s="1352"/>
      <c r="AB747" s="1353"/>
      <c r="AC747" s="1358"/>
      <c r="AD747" s="1359"/>
      <c r="AE747" s="1359"/>
      <c r="AF747" s="1359"/>
      <c r="AG747" s="1360"/>
      <c r="AH747" s="1354" t="str">
        <f t="shared" si="35"/>
        <v/>
      </c>
      <c r="AI747" s="1355"/>
      <c r="AJ747" s="1356"/>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2">
        <f t="shared" si="36"/>
        <v>0</v>
      </c>
      <c r="CH747" s="1463"/>
      <c r="CI747" s="1468">
        <f t="shared" si="37"/>
        <v>0</v>
      </c>
      <c r="CJ747" s="1469"/>
      <c r="CK747" s="1462">
        <f t="shared" si="15"/>
        <v>0</v>
      </c>
      <c r="CL747" s="1463"/>
      <c r="CM747" s="1468">
        <f t="shared" si="16"/>
        <v>0</v>
      </c>
      <c r="CN747" s="1469"/>
      <c r="CO747" s="3"/>
      <c r="CP747" s="1457">
        <f t="shared" si="17"/>
        <v>0</v>
      </c>
      <c r="CQ747" s="1458"/>
      <c r="CR747" s="1458"/>
      <c r="CS747" s="1458"/>
      <c r="CT747" s="1459"/>
      <c r="CU747" s="1442">
        <f t="shared" si="18"/>
        <v>0</v>
      </c>
      <c r="CV747" s="1442"/>
      <c r="CW747" s="1442"/>
      <c r="CX747" s="1442"/>
      <c r="CY747" s="1442"/>
      <c r="CZ747" s="1442">
        <f t="shared" si="19"/>
        <v>0</v>
      </c>
      <c r="DA747" s="1442"/>
      <c r="DB747" s="1442"/>
      <c r="DC747" s="1442"/>
      <c r="DD747" s="1442"/>
      <c r="DE747" s="1442">
        <f t="shared" si="20"/>
        <v>0</v>
      </c>
      <c r="DF747" s="1442"/>
      <c r="DG747" s="1442"/>
      <c r="DH747" s="1442"/>
      <c r="DI747" s="1442"/>
      <c r="DJ747" s="1442">
        <f t="shared" si="21"/>
        <v>0</v>
      </c>
      <c r="DK747" s="1442"/>
      <c r="DL747" s="1442"/>
      <c r="DM747" s="1442"/>
      <c r="DN747" s="1442"/>
      <c r="DO747" s="1442">
        <f t="shared" si="22"/>
        <v>0</v>
      </c>
      <c r="DP747" s="1442"/>
      <c r="DQ747" s="1442"/>
      <c r="DR747" s="1442"/>
      <c r="DS747" s="1442"/>
      <c r="DT747" s="6"/>
      <c r="DU747" s="1443">
        <f t="shared" si="23"/>
        <v>0</v>
      </c>
      <c r="DV747" s="1443"/>
      <c r="DW747" s="1443"/>
      <c r="DX747" s="1443"/>
      <c r="DY747" s="1443"/>
      <c r="DZ747" s="1443">
        <f t="shared" si="24"/>
        <v>0</v>
      </c>
      <c r="EA747" s="1443"/>
      <c r="EB747" s="1443"/>
      <c r="EC747" s="1443"/>
      <c r="ED747" s="1443"/>
      <c r="EE747" s="1443">
        <f t="shared" si="25"/>
        <v>0</v>
      </c>
      <c r="EF747" s="1443"/>
      <c r="EG747" s="1443"/>
      <c r="EH747" s="1443"/>
      <c r="EI747" s="1443"/>
      <c r="EJ747" s="1443">
        <f t="shared" si="26"/>
        <v>0</v>
      </c>
      <c r="EK747" s="1443"/>
      <c r="EL747" s="1443"/>
      <c r="EM747" s="1443"/>
      <c r="EN747" s="1443"/>
      <c r="EO747" s="1443">
        <f t="shared" si="27"/>
        <v>0</v>
      </c>
      <c r="EP747" s="1443"/>
      <c r="EQ747" s="1443"/>
      <c r="ER747" s="1443"/>
      <c r="ES747" s="1443"/>
      <c r="ET747" s="1443">
        <f t="shared" si="28"/>
        <v>0</v>
      </c>
      <c r="EU747" s="1443"/>
      <c r="EV747" s="1443"/>
      <c r="EW747" s="1443"/>
      <c r="EX747" s="1443"/>
      <c r="EZ747" s="1462" t="str">
        <f t="shared" si="29"/>
        <v/>
      </c>
      <c r="FA747" s="1464"/>
      <c r="FB747" s="1464"/>
      <c r="FC747" s="1464"/>
      <c r="FD747" s="1463"/>
      <c r="FE747" s="1462" t="str">
        <f t="shared" si="30"/>
        <v/>
      </c>
      <c r="FF747" s="1464"/>
      <c r="FG747" s="1464"/>
      <c r="FH747" s="1464"/>
      <c r="FI747" s="1463"/>
      <c r="FJ747" s="1462" t="str">
        <f t="shared" si="31"/>
        <v/>
      </c>
      <c r="FK747" s="1464"/>
      <c r="FL747" s="1464"/>
      <c r="FM747" s="1464"/>
      <c r="FN747" s="1463"/>
      <c r="FO747" s="1462" t="str">
        <f t="shared" si="32"/>
        <v/>
      </c>
      <c r="FP747" s="1464"/>
      <c r="FQ747" s="1464"/>
      <c r="FR747" s="1464"/>
      <c r="FS747" s="1463"/>
      <c r="FT747" s="1462" t="str">
        <f t="shared" si="33"/>
        <v/>
      </c>
      <c r="FU747" s="1464"/>
      <c r="FV747" s="1464"/>
      <c r="FW747" s="1464"/>
      <c r="FX747" s="1463"/>
      <c r="FY747" s="1462" t="str">
        <f t="shared" si="34"/>
        <v/>
      </c>
      <c r="FZ747" s="1464"/>
      <c r="GA747" s="1464"/>
      <c r="GB747" s="1464"/>
      <c r="GC747" s="1463"/>
    </row>
    <row r="748" spans="1:185" s="3" customFormat="1" ht="12.9" customHeight="1" x14ac:dyDescent="0.25">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8"/>
        <v>0</v>
      </c>
      <c r="Y748" s="1352"/>
      <c r="Z748" s="1352"/>
      <c r="AA748" s="1352"/>
      <c r="AB748" s="1353"/>
      <c r="AC748" s="1358"/>
      <c r="AD748" s="1359"/>
      <c r="AE748" s="1359"/>
      <c r="AF748" s="1359"/>
      <c r="AG748" s="1360"/>
      <c r="AH748" s="1354" t="str">
        <f t="shared" si="35"/>
        <v/>
      </c>
      <c r="AI748" s="1355"/>
      <c r="AJ748" s="1356"/>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2">
        <f t="shared" si="36"/>
        <v>0</v>
      </c>
      <c r="CH748" s="1463"/>
      <c r="CI748" s="1468">
        <f t="shared" si="37"/>
        <v>0</v>
      </c>
      <c r="CJ748" s="1469"/>
      <c r="CK748" s="1462">
        <f t="shared" si="15"/>
        <v>0</v>
      </c>
      <c r="CL748" s="1463"/>
      <c r="CM748" s="1468">
        <f t="shared" si="16"/>
        <v>0</v>
      </c>
      <c r="CN748" s="1469"/>
      <c r="CP748" s="1457">
        <f t="shared" si="17"/>
        <v>0</v>
      </c>
      <c r="CQ748" s="1458"/>
      <c r="CR748" s="1458"/>
      <c r="CS748" s="1458"/>
      <c r="CT748" s="1459"/>
      <c r="CU748" s="1442">
        <f t="shared" si="18"/>
        <v>0</v>
      </c>
      <c r="CV748" s="1442"/>
      <c r="CW748" s="1442"/>
      <c r="CX748" s="1442"/>
      <c r="CY748" s="1442"/>
      <c r="CZ748" s="1442">
        <f t="shared" si="19"/>
        <v>0</v>
      </c>
      <c r="DA748" s="1442"/>
      <c r="DB748" s="1442"/>
      <c r="DC748" s="1442"/>
      <c r="DD748" s="1442"/>
      <c r="DE748" s="1442">
        <f t="shared" si="20"/>
        <v>0</v>
      </c>
      <c r="DF748" s="1442"/>
      <c r="DG748" s="1442"/>
      <c r="DH748" s="1442"/>
      <c r="DI748" s="1442"/>
      <c r="DJ748" s="1442">
        <f t="shared" si="21"/>
        <v>0</v>
      </c>
      <c r="DK748" s="1442"/>
      <c r="DL748" s="1442"/>
      <c r="DM748" s="1442"/>
      <c r="DN748" s="1442"/>
      <c r="DO748" s="1442">
        <f t="shared" si="22"/>
        <v>0</v>
      </c>
      <c r="DP748" s="1442"/>
      <c r="DQ748" s="1442"/>
      <c r="DR748" s="1442"/>
      <c r="DS748" s="1442"/>
      <c r="DT748" s="6"/>
      <c r="DU748" s="1443">
        <f t="shared" si="23"/>
        <v>0</v>
      </c>
      <c r="DV748" s="1443"/>
      <c r="DW748" s="1443"/>
      <c r="DX748" s="1443"/>
      <c r="DY748" s="1443"/>
      <c r="DZ748" s="1443">
        <f t="shared" si="24"/>
        <v>0</v>
      </c>
      <c r="EA748" s="1443"/>
      <c r="EB748" s="1443"/>
      <c r="EC748" s="1443"/>
      <c r="ED748" s="1443"/>
      <c r="EE748" s="1443">
        <f t="shared" si="25"/>
        <v>0</v>
      </c>
      <c r="EF748" s="1443"/>
      <c r="EG748" s="1443"/>
      <c r="EH748" s="1443"/>
      <c r="EI748" s="1443"/>
      <c r="EJ748" s="1443">
        <f t="shared" si="26"/>
        <v>0</v>
      </c>
      <c r="EK748" s="1443"/>
      <c r="EL748" s="1443"/>
      <c r="EM748" s="1443"/>
      <c r="EN748" s="1443"/>
      <c r="EO748" s="1443">
        <f t="shared" si="27"/>
        <v>0</v>
      </c>
      <c r="EP748" s="1443"/>
      <c r="EQ748" s="1443"/>
      <c r="ER748" s="1443"/>
      <c r="ES748" s="1443"/>
      <c r="ET748" s="1443">
        <f t="shared" si="28"/>
        <v>0</v>
      </c>
      <c r="EU748" s="1443"/>
      <c r="EV748" s="1443"/>
      <c r="EW748" s="1443"/>
      <c r="EX748" s="1443"/>
      <c r="EY748"/>
      <c r="EZ748" s="1462" t="str">
        <f t="shared" si="29"/>
        <v/>
      </c>
      <c r="FA748" s="1464"/>
      <c r="FB748" s="1464"/>
      <c r="FC748" s="1464"/>
      <c r="FD748" s="1463"/>
      <c r="FE748" s="1462" t="str">
        <f t="shared" si="30"/>
        <v/>
      </c>
      <c r="FF748" s="1464"/>
      <c r="FG748" s="1464"/>
      <c r="FH748" s="1464"/>
      <c r="FI748" s="1463"/>
      <c r="FJ748" s="1462" t="str">
        <f t="shared" si="31"/>
        <v/>
      </c>
      <c r="FK748" s="1464"/>
      <c r="FL748" s="1464"/>
      <c r="FM748" s="1464"/>
      <c r="FN748" s="1463"/>
      <c r="FO748" s="1462" t="str">
        <f t="shared" si="32"/>
        <v/>
      </c>
      <c r="FP748" s="1464"/>
      <c r="FQ748" s="1464"/>
      <c r="FR748" s="1464"/>
      <c r="FS748" s="1463"/>
      <c r="FT748" s="1462" t="str">
        <f t="shared" si="33"/>
        <v/>
      </c>
      <c r="FU748" s="1464"/>
      <c r="FV748" s="1464"/>
      <c r="FW748" s="1464"/>
      <c r="FX748" s="1463"/>
      <c r="FY748" s="1462" t="str">
        <f t="shared" si="34"/>
        <v/>
      </c>
      <c r="FZ748" s="1464"/>
      <c r="GA748" s="1464"/>
      <c r="GB748" s="1464"/>
      <c r="GC748" s="1463"/>
    </row>
    <row r="749" spans="1:185" s="3" customFormat="1" ht="12.9" customHeight="1" x14ac:dyDescent="0.25">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8"/>
        <v>0</v>
      </c>
      <c r="Y749" s="1352"/>
      <c r="Z749" s="1352"/>
      <c r="AA749" s="1352"/>
      <c r="AB749" s="1353"/>
      <c r="AC749" s="1358"/>
      <c r="AD749" s="1359"/>
      <c r="AE749" s="1359"/>
      <c r="AF749" s="1359"/>
      <c r="AG749" s="1360"/>
      <c r="AH749" s="1354" t="str">
        <f t="shared" si="35"/>
        <v/>
      </c>
      <c r="AI749" s="1355"/>
      <c r="AJ749" s="1356"/>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2">
        <f t="shared" si="36"/>
        <v>0</v>
      </c>
      <c r="CH749" s="1463"/>
      <c r="CI749" s="1468">
        <f t="shared" si="37"/>
        <v>0</v>
      </c>
      <c r="CJ749" s="1469"/>
      <c r="CK749" s="1462">
        <f t="shared" si="15"/>
        <v>0</v>
      </c>
      <c r="CL749" s="1463"/>
      <c r="CM749" s="1468">
        <f t="shared" si="16"/>
        <v>0</v>
      </c>
      <c r="CN749" s="1469"/>
      <c r="CP749" s="1457">
        <f t="shared" si="17"/>
        <v>0</v>
      </c>
      <c r="CQ749" s="1458"/>
      <c r="CR749" s="1458"/>
      <c r="CS749" s="1458"/>
      <c r="CT749" s="1459"/>
      <c r="CU749" s="1442">
        <f t="shared" si="18"/>
        <v>0</v>
      </c>
      <c r="CV749" s="1442"/>
      <c r="CW749" s="1442"/>
      <c r="CX749" s="1442"/>
      <c r="CY749" s="1442"/>
      <c r="CZ749" s="1442">
        <f t="shared" si="19"/>
        <v>0</v>
      </c>
      <c r="DA749" s="1442"/>
      <c r="DB749" s="1442"/>
      <c r="DC749" s="1442"/>
      <c r="DD749" s="1442"/>
      <c r="DE749" s="1442">
        <f t="shared" si="20"/>
        <v>0</v>
      </c>
      <c r="DF749" s="1442"/>
      <c r="DG749" s="1442"/>
      <c r="DH749" s="1442"/>
      <c r="DI749" s="1442"/>
      <c r="DJ749" s="1442">
        <f t="shared" si="21"/>
        <v>0</v>
      </c>
      <c r="DK749" s="1442"/>
      <c r="DL749" s="1442"/>
      <c r="DM749" s="1442"/>
      <c r="DN749" s="1442"/>
      <c r="DO749" s="1442">
        <f t="shared" si="22"/>
        <v>0</v>
      </c>
      <c r="DP749" s="1442"/>
      <c r="DQ749" s="1442"/>
      <c r="DR749" s="1442"/>
      <c r="DS749" s="1442"/>
      <c r="DT749" s="6"/>
      <c r="DU749" s="1443">
        <f t="shared" si="23"/>
        <v>0</v>
      </c>
      <c r="DV749" s="1443"/>
      <c r="DW749" s="1443"/>
      <c r="DX749" s="1443"/>
      <c r="DY749" s="1443"/>
      <c r="DZ749" s="1443">
        <f t="shared" si="24"/>
        <v>0</v>
      </c>
      <c r="EA749" s="1443"/>
      <c r="EB749" s="1443"/>
      <c r="EC749" s="1443"/>
      <c r="ED749" s="1443"/>
      <c r="EE749" s="1443">
        <f t="shared" si="25"/>
        <v>0</v>
      </c>
      <c r="EF749" s="1443"/>
      <c r="EG749" s="1443"/>
      <c r="EH749" s="1443"/>
      <c r="EI749" s="1443"/>
      <c r="EJ749" s="1443">
        <f t="shared" si="26"/>
        <v>0</v>
      </c>
      <c r="EK749" s="1443"/>
      <c r="EL749" s="1443"/>
      <c r="EM749" s="1443"/>
      <c r="EN749" s="1443"/>
      <c r="EO749" s="1443">
        <f t="shared" si="27"/>
        <v>0</v>
      </c>
      <c r="EP749" s="1443"/>
      <c r="EQ749" s="1443"/>
      <c r="ER749" s="1443"/>
      <c r="ES749" s="1443"/>
      <c r="ET749" s="1443">
        <f t="shared" si="28"/>
        <v>0</v>
      </c>
      <c r="EU749" s="1443"/>
      <c r="EV749" s="1443"/>
      <c r="EW749" s="1443"/>
      <c r="EX749" s="1443"/>
      <c r="EY749"/>
      <c r="EZ749" s="1462" t="str">
        <f t="shared" si="29"/>
        <v/>
      </c>
      <c r="FA749" s="1464"/>
      <c r="FB749" s="1464"/>
      <c r="FC749" s="1464"/>
      <c r="FD749" s="1463"/>
      <c r="FE749" s="1462" t="str">
        <f t="shared" si="30"/>
        <v/>
      </c>
      <c r="FF749" s="1464"/>
      <c r="FG749" s="1464"/>
      <c r="FH749" s="1464"/>
      <c r="FI749" s="1463"/>
      <c r="FJ749" s="1462" t="str">
        <f t="shared" si="31"/>
        <v/>
      </c>
      <c r="FK749" s="1464"/>
      <c r="FL749" s="1464"/>
      <c r="FM749" s="1464"/>
      <c r="FN749" s="1463"/>
      <c r="FO749" s="1462" t="str">
        <f t="shared" si="32"/>
        <v/>
      </c>
      <c r="FP749" s="1464"/>
      <c r="FQ749" s="1464"/>
      <c r="FR749" s="1464"/>
      <c r="FS749" s="1463"/>
      <c r="FT749" s="1462" t="str">
        <f t="shared" si="33"/>
        <v/>
      </c>
      <c r="FU749" s="1464"/>
      <c r="FV749" s="1464"/>
      <c r="FW749" s="1464"/>
      <c r="FX749" s="1463"/>
      <c r="FY749" s="1462" t="str">
        <f t="shared" si="34"/>
        <v/>
      </c>
      <c r="FZ749" s="1464"/>
      <c r="GA749" s="1464"/>
      <c r="GB749" s="1464"/>
      <c r="GC749" s="1463"/>
    </row>
    <row r="750" spans="1:185" s="3" customFormat="1" ht="12.9" customHeight="1" x14ac:dyDescent="0.25">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8"/>
        <v>0</v>
      </c>
      <c r="Y750" s="1352"/>
      <c r="Z750" s="1352"/>
      <c r="AA750" s="1352"/>
      <c r="AB750" s="1353"/>
      <c r="AC750" s="1358"/>
      <c r="AD750" s="1359"/>
      <c r="AE750" s="1359"/>
      <c r="AF750" s="1359"/>
      <c r="AG750" s="1360"/>
      <c r="AH750" s="1354" t="str">
        <f t="shared" si="35"/>
        <v/>
      </c>
      <c r="AI750" s="1355"/>
      <c r="AJ750" s="1356"/>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2">
        <f t="shared" si="36"/>
        <v>0</v>
      </c>
      <c r="CH750" s="1463"/>
      <c r="CI750" s="1468">
        <f t="shared" si="37"/>
        <v>0</v>
      </c>
      <c r="CJ750" s="1469"/>
      <c r="CK750" s="1462">
        <f t="shared" si="15"/>
        <v>0</v>
      </c>
      <c r="CL750" s="1463"/>
      <c r="CM750" s="1468">
        <f t="shared" si="16"/>
        <v>0</v>
      </c>
      <c r="CN750" s="1469"/>
      <c r="CP750" s="1457">
        <f t="shared" si="17"/>
        <v>0</v>
      </c>
      <c r="CQ750" s="1458"/>
      <c r="CR750" s="1458"/>
      <c r="CS750" s="1458"/>
      <c r="CT750" s="1459"/>
      <c r="CU750" s="1442">
        <f t="shared" si="18"/>
        <v>0</v>
      </c>
      <c r="CV750" s="1442"/>
      <c r="CW750" s="1442"/>
      <c r="CX750" s="1442"/>
      <c r="CY750" s="1442"/>
      <c r="CZ750" s="1442">
        <f t="shared" si="19"/>
        <v>0</v>
      </c>
      <c r="DA750" s="1442"/>
      <c r="DB750" s="1442"/>
      <c r="DC750" s="1442"/>
      <c r="DD750" s="1442"/>
      <c r="DE750" s="1442">
        <f t="shared" si="20"/>
        <v>0</v>
      </c>
      <c r="DF750" s="1442"/>
      <c r="DG750" s="1442"/>
      <c r="DH750" s="1442"/>
      <c r="DI750" s="1442"/>
      <c r="DJ750" s="1442">
        <f t="shared" si="21"/>
        <v>0</v>
      </c>
      <c r="DK750" s="1442"/>
      <c r="DL750" s="1442"/>
      <c r="DM750" s="1442"/>
      <c r="DN750" s="1442"/>
      <c r="DO750" s="1442">
        <f t="shared" si="22"/>
        <v>0</v>
      </c>
      <c r="DP750" s="1442"/>
      <c r="DQ750" s="1442"/>
      <c r="DR750" s="1442"/>
      <c r="DS750" s="1442"/>
      <c r="DT750" s="6"/>
      <c r="DU750" s="1443">
        <f t="shared" si="23"/>
        <v>0</v>
      </c>
      <c r="DV750" s="1443"/>
      <c r="DW750" s="1443"/>
      <c r="DX750" s="1443"/>
      <c r="DY750" s="1443"/>
      <c r="DZ750" s="1443">
        <f t="shared" si="24"/>
        <v>0</v>
      </c>
      <c r="EA750" s="1443"/>
      <c r="EB750" s="1443"/>
      <c r="EC750" s="1443"/>
      <c r="ED750" s="1443"/>
      <c r="EE750" s="1443">
        <f t="shared" si="25"/>
        <v>0</v>
      </c>
      <c r="EF750" s="1443"/>
      <c r="EG750" s="1443"/>
      <c r="EH750" s="1443"/>
      <c r="EI750" s="1443"/>
      <c r="EJ750" s="1443">
        <f t="shared" si="26"/>
        <v>0</v>
      </c>
      <c r="EK750" s="1443"/>
      <c r="EL750" s="1443"/>
      <c r="EM750" s="1443"/>
      <c r="EN750" s="1443"/>
      <c r="EO750" s="1443">
        <f t="shared" si="27"/>
        <v>0</v>
      </c>
      <c r="EP750" s="1443"/>
      <c r="EQ750" s="1443"/>
      <c r="ER750" s="1443"/>
      <c r="ES750" s="1443"/>
      <c r="ET750" s="1443">
        <f t="shared" si="28"/>
        <v>0</v>
      </c>
      <c r="EU750" s="1443"/>
      <c r="EV750" s="1443"/>
      <c r="EW750" s="1443"/>
      <c r="EX750" s="1443"/>
      <c r="EY750"/>
      <c r="EZ750" s="1462" t="str">
        <f t="shared" si="29"/>
        <v/>
      </c>
      <c r="FA750" s="1464"/>
      <c r="FB750" s="1464"/>
      <c r="FC750" s="1464"/>
      <c r="FD750" s="1463"/>
      <c r="FE750" s="1462" t="str">
        <f t="shared" si="30"/>
        <v/>
      </c>
      <c r="FF750" s="1464"/>
      <c r="FG750" s="1464"/>
      <c r="FH750" s="1464"/>
      <c r="FI750" s="1463"/>
      <c r="FJ750" s="1462" t="str">
        <f t="shared" si="31"/>
        <v/>
      </c>
      <c r="FK750" s="1464"/>
      <c r="FL750" s="1464"/>
      <c r="FM750" s="1464"/>
      <c r="FN750" s="1463"/>
      <c r="FO750" s="1462" t="str">
        <f t="shared" si="32"/>
        <v/>
      </c>
      <c r="FP750" s="1464"/>
      <c r="FQ750" s="1464"/>
      <c r="FR750" s="1464"/>
      <c r="FS750" s="1463"/>
      <c r="FT750" s="1462" t="str">
        <f t="shared" si="33"/>
        <v/>
      </c>
      <c r="FU750" s="1464"/>
      <c r="FV750" s="1464"/>
      <c r="FW750" s="1464"/>
      <c r="FX750" s="1463"/>
      <c r="FY750" s="1462" t="str">
        <f t="shared" si="34"/>
        <v/>
      </c>
      <c r="FZ750" s="1464"/>
      <c r="GA750" s="1464"/>
      <c r="GB750" s="1464"/>
      <c r="GC750" s="1463"/>
    </row>
    <row r="751" spans="1:185" s="3" customFormat="1" ht="12.9" customHeight="1" x14ac:dyDescent="0.25">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8"/>
        <v>0</v>
      </c>
      <c r="Y751" s="1352"/>
      <c r="Z751" s="1352"/>
      <c r="AA751" s="1352"/>
      <c r="AB751" s="1353"/>
      <c r="AC751" s="1358"/>
      <c r="AD751" s="1359"/>
      <c r="AE751" s="1359"/>
      <c r="AF751" s="1359"/>
      <c r="AG751" s="1360"/>
      <c r="AH751" s="1354" t="str">
        <f t="shared" si="35"/>
        <v/>
      </c>
      <c r="AI751" s="1355"/>
      <c r="AJ751" s="1356"/>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2">
        <f t="shared" si="36"/>
        <v>0</v>
      </c>
      <c r="CH751" s="1463"/>
      <c r="CI751" s="1468">
        <f t="shared" si="37"/>
        <v>0</v>
      </c>
      <c r="CJ751" s="1469"/>
      <c r="CK751" s="1462">
        <f t="shared" si="15"/>
        <v>0</v>
      </c>
      <c r="CL751" s="1463"/>
      <c r="CM751" s="1468">
        <f t="shared" si="16"/>
        <v>0</v>
      </c>
      <c r="CN751" s="1469"/>
      <c r="CP751" s="1457">
        <f t="shared" si="17"/>
        <v>0</v>
      </c>
      <c r="CQ751" s="1458"/>
      <c r="CR751" s="1458"/>
      <c r="CS751" s="1458"/>
      <c r="CT751" s="1459"/>
      <c r="CU751" s="1442">
        <f t="shared" si="18"/>
        <v>0</v>
      </c>
      <c r="CV751" s="1442"/>
      <c r="CW751" s="1442"/>
      <c r="CX751" s="1442"/>
      <c r="CY751" s="1442"/>
      <c r="CZ751" s="1442">
        <f t="shared" si="19"/>
        <v>0</v>
      </c>
      <c r="DA751" s="1442"/>
      <c r="DB751" s="1442"/>
      <c r="DC751" s="1442"/>
      <c r="DD751" s="1442"/>
      <c r="DE751" s="1442">
        <f t="shared" si="20"/>
        <v>0</v>
      </c>
      <c r="DF751" s="1442"/>
      <c r="DG751" s="1442"/>
      <c r="DH751" s="1442"/>
      <c r="DI751" s="1442"/>
      <c r="DJ751" s="1442">
        <f t="shared" si="21"/>
        <v>0</v>
      </c>
      <c r="DK751" s="1442"/>
      <c r="DL751" s="1442"/>
      <c r="DM751" s="1442"/>
      <c r="DN751" s="1442"/>
      <c r="DO751" s="1442">
        <f t="shared" si="22"/>
        <v>0</v>
      </c>
      <c r="DP751" s="1442"/>
      <c r="DQ751" s="1442"/>
      <c r="DR751" s="1442"/>
      <c r="DS751" s="1442"/>
      <c r="DT751" s="6"/>
      <c r="DU751" s="1443">
        <f t="shared" si="23"/>
        <v>0</v>
      </c>
      <c r="DV751" s="1443"/>
      <c r="DW751" s="1443"/>
      <c r="DX751" s="1443"/>
      <c r="DY751" s="1443"/>
      <c r="DZ751" s="1443">
        <f t="shared" si="24"/>
        <v>0</v>
      </c>
      <c r="EA751" s="1443"/>
      <c r="EB751" s="1443"/>
      <c r="EC751" s="1443"/>
      <c r="ED751" s="1443"/>
      <c r="EE751" s="1443">
        <f t="shared" si="25"/>
        <v>0</v>
      </c>
      <c r="EF751" s="1443"/>
      <c r="EG751" s="1443"/>
      <c r="EH751" s="1443"/>
      <c r="EI751" s="1443"/>
      <c r="EJ751" s="1443">
        <f t="shared" si="26"/>
        <v>0</v>
      </c>
      <c r="EK751" s="1443"/>
      <c r="EL751" s="1443"/>
      <c r="EM751" s="1443"/>
      <c r="EN751" s="1443"/>
      <c r="EO751" s="1443">
        <f t="shared" si="27"/>
        <v>0</v>
      </c>
      <c r="EP751" s="1443"/>
      <c r="EQ751" s="1443"/>
      <c r="ER751" s="1443"/>
      <c r="ES751" s="1443"/>
      <c r="ET751" s="1443">
        <f t="shared" si="28"/>
        <v>0</v>
      </c>
      <c r="EU751" s="1443"/>
      <c r="EV751" s="1443"/>
      <c r="EW751" s="1443"/>
      <c r="EX751" s="1443"/>
      <c r="EY751"/>
      <c r="EZ751" s="1462" t="str">
        <f t="shared" si="29"/>
        <v/>
      </c>
      <c r="FA751" s="1464"/>
      <c r="FB751" s="1464"/>
      <c r="FC751" s="1464"/>
      <c r="FD751" s="1463"/>
      <c r="FE751" s="1462" t="str">
        <f t="shared" si="30"/>
        <v/>
      </c>
      <c r="FF751" s="1464"/>
      <c r="FG751" s="1464"/>
      <c r="FH751" s="1464"/>
      <c r="FI751" s="1463"/>
      <c r="FJ751" s="1462" t="str">
        <f t="shared" si="31"/>
        <v/>
      </c>
      <c r="FK751" s="1464"/>
      <c r="FL751" s="1464"/>
      <c r="FM751" s="1464"/>
      <c r="FN751" s="1463"/>
      <c r="FO751" s="1462" t="str">
        <f t="shared" si="32"/>
        <v/>
      </c>
      <c r="FP751" s="1464"/>
      <c r="FQ751" s="1464"/>
      <c r="FR751" s="1464"/>
      <c r="FS751" s="1463"/>
      <c r="FT751" s="1462" t="str">
        <f t="shared" si="33"/>
        <v/>
      </c>
      <c r="FU751" s="1464"/>
      <c r="FV751" s="1464"/>
      <c r="FW751" s="1464"/>
      <c r="FX751" s="1463"/>
      <c r="FY751" s="1462" t="str">
        <f t="shared" si="34"/>
        <v/>
      </c>
      <c r="FZ751" s="1464"/>
      <c r="GA751" s="1464"/>
      <c r="GB751" s="1464"/>
      <c r="GC751" s="1463"/>
    </row>
    <row r="752" spans="1:185" s="3" customFormat="1" ht="12.9" customHeight="1" x14ac:dyDescent="0.25">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2">
        <f t="shared" si="36"/>
        <v>0</v>
      </c>
      <c r="CH752" s="1463"/>
      <c r="CI752" s="1468">
        <f t="shared" si="37"/>
        <v>0</v>
      </c>
      <c r="CJ752" s="1469"/>
      <c r="CK752" s="1462">
        <f t="shared" si="15"/>
        <v>0</v>
      </c>
      <c r="CL752" s="1463"/>
      <c r="CM752" s="1468">
        <f t="shared" si="16"/>
        <v>0</v>
      </c>
      <c r="CN752" s="1469"/>
      <c r="CP752" s="1457">
        <f t="shared" si="17"/>
        <v>0</v>
      </c>
      <c r="CQ752" s="1458"/>
      <c r="CR752" s="1458"/>
      <c r="CS752" s="1458"/>
      <c r="CT752" s="1459"/>
      <c r="CU752" s="1442">
        <f t="shared" si="18"/>
        <v>0</v>
      </c>
      <c r="CV752" s="1442"/>
      <c r="CW752" s="1442"/>
      <c r="CX752" s="1442"/>
      <c r="CY752" s="1442"/>
      <c r="CZ752" s="1442">
        <f t="shared" si="19"/>
        <v>0</v>
      </c>
      <c r="DA752" s="1442"/>
      <c r="DB752" s="1442"/>
      <c r="DC752" s="1442"/>
      <c r="DD752" s="1442"/>
      <c r="DE752" s="1442">
        <f t="shared" si="20"/>
        <v>0</v>
      </c>
      <c r="DF752" s="1442"/>
      <c r="DG752" s="1442"/>
      <c r="DH752" s="1442"/>
      <c r="DI752" s="1442"/>
      <c r="DJ752" s="1442">
        <f t="shared" si="21"/>
        <v>0</v>
      </c>
      <c r="DK752" s="1442"/>
      <c r="DL752" s="1442"/>
      <c r="DM752" s="1442"/>
      <c r="DN752" s="1442"/>
      <c r="DO752" s="1442">
        <f t="shared" si="22"/>
        <v>0</v>
      </c>
      <c r="DP752" s="1442"/>
      <c r="DQ752" s="1442"/>
      <c r="DR752" s="1442"/>
      <c r="DS752" s="1442"/>
      <c r="DT752" s="6"/>
      <c r="DU752" s="1443">
        <f t="shared" si="23"/>
        <v>0</v>
      </c>
      <c r="DV752" s="1443"/>
      <c r="DW752" s="1443"/>
      <c r="DX752" s="1443"/>
      <c r="DY752" s="1443"/>
      <c r="DZ752" s="1443">
        <f t="shared" si="24"/>
        <v>0</v>
      </c>
      <c r="EA752" s="1443"/>
      <c r="EB752" s="1443"/>
      <c r="EC752" s="1443"/>
      <c r="ED752" s="1443"/>
      <c r="EE752" s="1443">
        <f t="shared" si="25"/>
        <v>0</v>
      </c>
      <c r="EF752" s="1443"/>
      <c r="EG752" s="1443"/>
      <c r="EH752" s="1443"/>
      <c r="EI752" s="1443"/>
      <c r="EJ752" s="1443">
        <f t="shared" si="26"/>
        <v>0</v>
      </c>
      <c r="EK752" s="1443"/>
      <c r="EL752" s="1443"/>
      <c r="EM752" s="1443"/>
      <c r="EN752" s="1443"/>
      <c r="EO752" s="1443">
        <f t="shared" si="27"/>
        <v>0</v>
      </c>
      <c r="EP752" s="1443"/>
      <c r="EQ752" s="1443"/>
      <c r="ER752" s="1443"/>
      <c r="ES752" s="1443"/>
      <c r="ET752" s="1443">
        <f t="shared" si="28"/>
        <v>0</v>
      </c>
      <c r="EU752" s="1443"/>
      <c r="EV752" s="1443"/>
      <c r="EW752" s="1443"/>
      <c r="EX752" s="1443"/>
      <c r="EY752"/>
      <c r="EZ752" s="1462" t="str">
        <f t="shared" si="29"/>
        <v/>
      </c>
      <c r="FA752" s="1464"/>
      <c r="FB752" s="1464"/>
      <c r="FC752" s="1464"/>
      <c r="FD752" s="1463"/>
      <c r="FE752" s="1462" t="str">
        <f t="shared" si="30"/>
        <v/>
      </c>
      <c r="FF752" s="1464"/>
      <c r="FG752" s="1464"/>
      <c r="FH752" s="1464"/>
      <c r="FI752" s="1463"/>
      <c r="FJ752" s="1462" t="str">
        <f t="shared" si="31"/>
        <v/>
      </c>
      <c r="FK752" s="1464"/>
      <c r="FL752" s="1464"/>
      <c r="FM752" s="1464"/>
      <c r="FN752" s="1463"/>
      <c r="FO752" s="1462" t="str">
        <f t="shared" si="32"/>
        <v/>
      </c>
      <c r="FP752" s="1464"/>
      <c r="FQ752" s="1464"/>
      <c r="FR752" s="1464"/>
      <c r="FS752" s="1463"/>
      <c r="FT752" s="1462" t="str">
        <f t="shared" si="33"/>
        <v/>
      </c>
      <c r="FU752" s="1464"/>
      <c r="FV752" s="1464"/>
      <c r="FW752" s="1464"/>
      <c r="FX752" s="1463"/>
      <c r="FY752" s="1462" t="str">
        <f t="shared" si="34"/>
        <v/>
      </c>
      <c r="FZ752" s="1464"/>
      <c r="GA752" s="1464"/>
      <c r="GB752" s="1464"/>
      <c r="GC752" s="1463"/>
    </row>
    <row r="753" spans="1:185" s="3" customFormat="1" ht="12.9" customHeight="1" x14ac:dyDescent="0.3">
      <c r="A753"/>
      <c r="B753" s="1448" t="s">
        <v>125</v>
      </c>
      <c r="C753" s="1449"/>
      <c r="D753" s="1449"/>
      <c r="E753" s="1449"/>
      <c r="F753" s="1450"/>
      <c r="G753" s="1619">
        <f>SUM(G718:G752)</f>
        <v>100</v>
      </c>
      <c r="H753" s="1620"/>
      <c r="I753" s="1620"/>
      <c r="J753" s="1621"/>
      <c r="K753" s="903" t="s">
        <v>124</v>
      </c>
      <c r="L753" s="5"/>
      <c r="M753" s="5"/>
      <c r="N753" s="46"/>
      <c r="O753" s="1351">
        <f>SUMPRODUCT(G718:G752,O718:O752)</f>
        <v>121164</v>
      </c>
      <c r="P753" s="1352"/>
      <c r="Q753" s="1352"/>
      <c r="R753" s="1352"/>
      <c r="S753" s="1353"/>
      <c r="T753"/>
      <c r="U753"/>
      <c r="V753"/>
      <c r="W753"/>
      <c r="X753" s="905" t="s">
        <v>901</v>
      </c>
      <c r="Y753" s="904"/>
      <c r="Z753" s="904"/>
      <c r="AA753" s="904"/>
      <c r="AB753" s="906"/>
      <c r="AC753" s="1602">
        <f>BH753</f>
        <v>0.5</v>
      </c>
      <c r="AD753" s="1603"/>
      <c r="AE753" s="1603"/>
      <c r="AF753" s="1603"/>
      <c r="AG753" s="1604"/>
      <c r="AH753" s="1602">
        <f>IFERROR(BU753,"")</f>
        <v>0.5</v>
      </c>
      <c r="AI753" s="1603"/>
      <c r="AJ753" s="1604"/>
      <c r="AK753"/>
      <c r="AL753"/>
      <c r="AM753"/>
      <c r="AN753"/>
      <c r="AO753"/>
      <c r="AP753" s="206"/>
      <c r="AQ753" s="206"/>
      <c r="AR753" s="206"/>
      <c r="AS753" s="206"/>
      <c r="AT753"/>
      <c r="AU753"/>
      <c r="AV753"/>
      <c r="AW753"/>
      <c r="AX753"/>
      <c r="AY753"/>
      <c r="AZ753" s="34"/>
      <c r="BA753" s="34"/>
      <c r="BB753" s="34"/>
      <c r="BC753" s="34"/>
      <c r="BE753" s="291" t="s">
        <v>900</v>
      </c>
      <c r="BF753" s="300">
        <f>SUM(BF718:BF752)</f>
        <v>100</v>
      </c>
      <c r="BG753" s="301">
        <f>SUM(BG718:BG752)</f>
        <v>1</v>
      </c>
      <c r="BH753" s="301">
        <f>SUM(BH718:BH752)</f>
        <v>0.5</v>
      </c>
      <c r="BI753"/>
      <c r="BJ753"/>
      <c r="BK753"/>
      <c r="BL753"/>
      <c r="BO753"/>
      <c r="BP753"/>
      <c r="BQ753"/>
      <c r="BR753"/>
      <c r="BS753" s="860">
        <f>SUM(BS718:BS752)</f>
        <v>100</v>
      </c>
      <c r="BT753" s="301">
        <f>SUM(BT718:BT752)</f>
        <v>1</v>
      </c>
      <c r="BU753" s="301">
        <f>SUM(BU718:BU752)</f>
        <v>0.5</v>
      </c>
      <c r="CI753" s="1462">
        <f>SUM(CI718:CJ752)</f>
        <v>0</v>
      </c>
      <c r="CJ753" s="1463"/>
      <c r="CM753" s="1462">
        <f>SUM(CM718:CN752)</f>
        <v>50</v>
      </c>
      <c r="CN753" s="1463"/>
      <c r="CP753" s="1462">
        <f>SUM(CP718:CT752)</f>
        <v>0</v>
      </c>
      <c r="CQ753" s="1464"/>
      <c r="CR753" s="1464"/>
      <c r="CS753" s="1464"/>
      <c r="CT753" s="1463"/>
      <c r="CU753" s="1460">
        <f>SUM(CU718:CY752)</f>
        <v>97</v>
      </c>
      <c r="CV753" s="1460"/>
      <c r="CW753" s="1460"/>
      <c r="CX753" s="1460"/>
      <c r="CY753" s="1460"/>
      <c r="CZ753" s="1460">
        <f>SUM(CZ718:DD752)</f>
        <v>3</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50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4120</v>
      </c>
      <c r="FF753" s="1460"/>
      <c r="FG753" s="1460"/>
      <c r="FH753" s="1460"/>
      <c r="FI753" s="1460"/>
      <c r="FJ753" s="1460">
        <f>SUM(FJ718:FN752)</f>
        <v>2368</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 customHeight="1" x14ac:dyDescent="0.3">
      <c r="A754"/>
      <c r="B754" s="1618" t="s">
        <v>1895</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1862</v>
      </c>
      <c r="DO754" s="1462">
        <f>CP753+CU753+CZ753+DE753+DJ753+DO753</f>
        <v>100</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x14ac:dyDescent="0.3">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97</v>
      </c>
      <c r="CZ755" s="3"/>
      <c r="DA755" s="3"/>
      <c r="DB755" s="3"/>
      <c r="DC755" s="3"/>
      <c r="DD755" s="862">
        <f>CZ753*2</f>
        <v>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103</v>
      </c>
      <c r="DV755" s="57" t="s">
        <v>1864</v>
      </c>
      <c r="DW755" s="3"/>
      <c r="DX755" s="3"/>
      <c r="DY755" s="3"/>
      <c r="DZ755" s="3"/>
      <c r="EA755" s="3"/>
      <c r="EB755" s="3"/>
      <c r="EC755" s="3"/>
      <c r="ED755" s="3"/>
      <c r="EE755" s="3"/>
      <c r="EF755" s="3"/>
      <c r="EG755" s="3"/>
      <c r="EH755" s="3"/>
    </row>
    <row r="756" spans="1:185" ht="12.9" customHeight="1" x14ac:dyDescent="0.3">
      <c r="A756" s="3"/>
      <c r="B756" s="3"/>
      <c r="C756" s="118" t="s">
        <v>1893</v>
      </c>
      <c r="D756" s="1033"/>
      <c r="E756" s="1033"/>
      <c r="F756" s="1033"/>
      <c r="G756" s="1034"/>
      <c r="H756" s="1034"/>
      <c r="I756" s="1034"/>
      <c r="J756" s="1034"/>
      <c r="K756" s="1033"/>
      <c r="L756" s="1033"/>
      <c r="M756" s="1033"/>
      <c r="N756" s="1033"/>
      <c r="O756" s="1460">
        <f>DU755</f>
        <v>103</v>
      </c>
      <c r="P756" s="1460"/>
      <c r="Q756" s="1460"/>
      <c r="R756" s="1460"/>
      <c r="S756" s="970"/>
      <c r="T756" s="970"/>
      <c r="U756" s="118" t="s">
        <v>1894</v>
      </c>
      <c r="V756" s="1033"/>
      <c r="W756" s="1033"/>
      <c r="X756" s="1033"/>
      <c r="Y756" s="1034"/>
      <c r="Z756" s="1034"/>
      <c r="AA756" s="1034"/>
      <c r="AB756" s="1034"/>
      <c r="AC756" s="1033"/>
      <c r="AD756" s="1033"/>
      <c r="AE756" s="1033"/>
      <c r="AF756" s="1033"/>
      <c r="AG756" s="1625">
        <v>75</v>
      </c>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x14ac:dyDescent="0.3">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x14ac:dyDescent="0.3">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x14ac:dyDescent="0.25">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2" t="s">
        <v>592</v>
      </c>
      <c r="AE759" s="1622"/>
      <c r="AF759" s="16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x14ac:dyDescent="0.25">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x14ac:dyDescent="0.3">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x14ac:dyDescent="0.25">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x14ac:dyDescent="0.25">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x14ac:dyDescent="0.25">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x14ac:dyDescent="0.25">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x14ac:dyDescent="0.3">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x14ac:dyDescent="0.25">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x14ac:dyDescent="0.25">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x14ac:dyDescent="0.25">
      <c r="J769" s="1361" t="s">
        <v>389</v>
      </c>
      <c r="K769" s="1362"/>
      <c r="L769" s="1362"/>
      <c r="M769" s="1362"/>
      <c r="N769" s="1363"/>
      <c r="O769" s="1617" t="s">
        <v>285</v>
      </c>
      <c r="P769" s="1617"/>
      <c r="Q769" s="1617"/>
      <c r="R769" s="1617"/>
      <c r="S769" s="1617"/>
      <c r="T769" s="1718" t="s">
        <v>1680</v>
      </c>
      <c r="U769" s="1719"/>
      <c r="V769" s="1719"/>
      <c r="W769" s="1720"/>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x14ac:dyDescent="0.25">
      <c r="J770" s="1364"/>
      <c r="K770" s="1365"/>
      <c r="L770" s="1365"/>
      <c r="M770" s="1365"/>
      <c r="N770" s="1366"/>
      <c r="O770" s="1617"/>
      <c r="P770" s="1617"/>
      <c r="Q770" s="1617"/>
      <c r="R770" s="1617"/>
      <c r="S770" s="1617"/>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x14ac:dyDescent="0.25">
      <c r="J771" s="1364"/>
      <c r="K771" s="1365"/>
      <c r="L771" s="1365"/>
      <c r="M771" s="1365"/>
      <c r="N771" s="1366"/>
      <c r="O771" s="1617"/>
      <c r="P771" s="1617"/>
      <c r="Q771" s="1617"/>
      <c r="R771" s="1617"/>
      <c r="S771" s="1617"/>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x14ac:dyDescent="0.25">
      <c r="J772" s="1367"/>
      <c r="K772" s="1368"/>
      <c r="L772" s="1368"/>
      <c r="M772" s="1368"/>
      <c r="N772" s="1369"/>
      <c r="O772" s="1617"/>
      <c r="P772" s="1617"/>
      <c r="Q772" s="1617"/>
      <c r="R772" s="1617"/>
      <c r="S772" s="1617"/>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x14ac:dyDescent="0.25">
      <c r="J773" s="1336" t="s">
        <v>163</v>
      </c>
      <c r="K773" s="1337"/>
      <c r="L773" s="1337"/>
      <c r="M773" s="1337"/>
      <c r="N773" s="1338"/>
      <c r="O773" s="1611">
        <v>1</v>
      </c>
      <c r="P773" s="1611"/>
      <c r="Q773" s="1611"/>
      <c r="R773" s="1611"/>
      <c r="S773" s="1611"/>
      <c r="T773" s="1342">
        <v>828</v>
      </c>
      <c r="U773" s="1343"/>
      <c r="V773" s="1343"/>
      <c r="W773" s="1344"/>
      <c r="X773" s="1339"/>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 customHeight="1" x14ac:dyDescent="0.25">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 customHeight="1" x14ac:dyDescent="0.25">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2.9" customHeight="1" x14ac:dyDescent="0.25">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 customHeight="1" x14ac:dyDescent="0.3">
      <c r="J777" s="1448" t="s">
        <v>125</v>
      </c>
      <c r="K777" s="1449"/>
      <c r="L777" s="1449"/>
      <c r="M777" s="1449"/>
      <c r="N777" s="1450"/>
      <c r="O777" s="1468">
        <f>SUM(O773:S776)</f>
        <v>1</v>
      </c>
      <c r="P777" s="1470"/>
      <c r="Q777" s="1470"/>
      <c r="R777" s="1470"/>
      <c r="S777" s="1469"/>
      <c r="X777" s="1448" t="s">
        <v>124</v>
      </c>
      <c r="Y777" s="1449"/>
      <c r="Z777" s="1449"/>
      <c r="AA777" s="1449"/>
      <c r="AB777" s="1450"/>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1</v>
      </c>
      <c r="DV777" s="57" t="s">
        <v>1861</v>
      </c>
    </row>
    <row r="778" spans="1:126" ht="12.9" customHeight="1" x14ac:dyDescent="0.3">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 customHeight="1" x14ac:dyDescent="0.3">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x14ac:dyDescent="0.3">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x14ac:dyDescent="0.3">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x14ac:dyDescent="0.3">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x14ac:dyDescent="0.25">
      <c r="J783" s="1361" t="s">
        <v>389</v>
      </c>
      <c r="K783" s="1362"/>
      <c r="L783" s="1362"/>
      <c r="M783" s="1362"/>
      <c r="N783" s="1363"/>
      <c r="O783" s="1617" t="s">
        <v>285</v>
      </c>
      <c r="P783" s="1617"/>
      <c r="Q783" s="1617"/>
      <c r="R783" s="1617"/>
      <c r="S783" s="1617"/>
      <c r="T783" s="1718" t="s">
        <v>1680</v>
      </c>
      <c r="U783" s="1719"/>
      <c r="V783" s="1719"/>
      <c r="W783" s="1720"/>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x14ac:dyDescent="0.25">
      <c r="J784" s="1364"/>
      <c r="K784" s="1365"/>
      <c r="L784" s="1365"/>
      <c r="M784" s="1365"/>
      <c r="N784" s="1366"/>
      <c r="O784" s="1617"/>
      <c r="P784" s="1617"/>
      <c r="Q784" s="1617"/>
      <c r="R784" s="1617"/>
      <c r="S784" s="1617"/>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x14ac:dyDescent="0.25">
      <c r="J785" s="1364"/>
      <c r="K785" s="1365"/>
      <c r="L785" s="1365"/>
      <c r="M785" s="1365"/>
      <c r="N785" s="1366"/>
      <c r="O785" s="1617"/>
      <c r="P785" s="1617"/>
      <c r="Q785" s="1617"/>
      <c r="R785" s="1617"/>
      <c r="S785" s="1617"/>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x14ac:dyDescent="0.25">
      <c r="J786" s="1367"/>
      <c r="K786" s="1368"/>
      <c r="L786" s="1368"/>
      <c r="M786" s="1368"/>
      <c r="N786" s="1369"/>
      <c r="O786" s="1617"/>
      <c r="P786" s="1617"/>
      <c r="Q786" s="1617"/>
      <c r="R786" s="1617"/>
      <c r="S786" s="1617"/>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x14ac:dyDescent="0.25">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39">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0">IF(J787="SRO/Studio",O787,0)</f>
        <v>0</v>
      </c>
      <c r="CQ787" s="1458"/>
      <c r="CR787" s="1458"/>
      <c r="CS787" s="1458"/>
      <c r="CT787" s="1459"/>
      <c r="CU787" s="1457">
        <f t="shared" ref="CU787:CU796" si="41">IF(J787="1 Bedroom",O787,0)</f>
        <v>0</v>
      </c>
      <c r="CV787" s="1458"/>
      <c r="CW787" s="1458"/>
      <c r="CX787" s="1458"/>
      <c r="CY787" s="1459"/>
      <c r="CZ787" s="1457">
        <f t="shared" ref="CZ787:CZ796" si="42">IF(J787="2 Bedrooms",O787,0)</f>
        <v>0</v>
      </c>
      <c r="DA787" s="1458"/>
      <c r="DB787" s="1458"/>
      <c r="DC787" s="1458"/>
      <c r="DD787" s="1459"/>
      <c r="DE787" s="1457">
        <f t="shared" ref="DE787:DE796" si="43">IF(J787="3 Bedrooms",O787,0)</f>
        <v>0</v>
      </c>
      <c r="DF787" s="1458"/>
      <c r="DG787" s="1458"/>
      <c r="DH787" s="1458"/>
      <c r="DI787" s="1459"/>
      <c r="DJ787" s="1457">
        <f t="shared" ref="DJ787:DJ796" si="44">IF(J787="4 Bedrooms",O787,0)</f>
        <v>0</v>
      </c>
      <c r="DK787" s="1458"/>
      <c r="DL787" s="1458"/>
      <c r="DM787" s="1458"/>
      <c r="DN787" s="1459"/>
      <c r="DO787" s="1457">
        <f t="shared" ref="DO787:DO796" si="45">IF(J787="5 Bedrooms",O787,0)</f>
        <v>0</v>
      </c>
      <c r="DP787" s="1458"/>
      <c r="DQ787" s="1458"/>
      <c r="DR787" s="1458"/>
      <c r="DS787" s="1459"/>
      <c r="DT787" s="6"/>
      <c r="DU787" s="1457">
        <f t="shared" ref="DU787:DU796" si="46">IF(AND(CP787&gt;=1,AH787&gt;=0.1,AH787&lt;=1),O787,0)</f>
        <v>0</v>
      </c>
      <c r="DV787" s="1458"/>
      <c r="DW787" s="1458"/>
      <c r="DX787" s="1458"/>
      <c r="DY787" s="1459"/>
      <c r="DZ787" s="1457">
        <f t="shared" ref="DZ787:DZ796" si="47">IF(AND(CU787&gt;=1,AH787&gt;=0.1,AH787&lt;=1),O787,0)</f>
        <v>0</v>
      </c>
      <c r="EA787" s="1458"/>
      <c r="EB787" s="1458"/>
      <c r="EC787" s="1458"/>
      <c r="ED787" s="1459"/>
      <c r="EE787" s="1457">
        <f t="shared" ref="EE787:EE796" si="48">IF(AND(CZ787&gt;=1,AH787&gt;=0.1,AH787&lt;=1),O787,0)</f>
        <v>0</v>
      </c>
      <c r="EF787" s="1458"/>
      <c r="EG787" s="1458"/>
      <c r="EH787" s="1458"/>
      <c r="EI787" s="1459"/>
      <c r="EJ787" s="1457">
        <f t="shared" ref="EJ787:EJ796" si="49">IF(AND(DE787&gt;=1,AH787&gt;=0.1,AH787&lt;=1),O787,0)</f>
        <v>0</v>
      </c>
      <c r="EK787" s="1458"/>
      <c r="EL787" s="1458"/>
      <c r="EM787" s="1458"/>
      <c r="EN787" s="1459"/>
      <c r="EO787" s="1457">
        <f t="shared" ref="EO787:EO796" si="50">IF(AND(DJ787&gt;=1,AH787&gt;=0.1,AH787&lt;=1),O787,0)</f>
        <v>0</v>
      </c>
      <c r="EP787" s="1458"/>
      <c r="EQ787" s="1458"/>
      <c r="ER787" s="1458"/>
      <c r="ES787" s="1459"/>
      <c r="ET787" s="1457">
        <f t="shared" ref="ET787:ET796" si="51">IF(AND(DO787&gt;=1,AH787&gt;=0.1,AH787&lt;=1),O787,0)</f>
        <v>0</v>
      </c>
      <c r="EU787" s="1458"/>
      <c r="EV787" s="1458"/>
      <c r="EW787" s="1458"/>
      <c r="EX787" s="1459"/>
    </row>
    <row r="788" spans="1:154" s="14" customFormat="1" ht="12.9" customHeight="1" x14ac:dyDescent="0.25">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39"/>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0"/>
        <v>0</v>
      </c>
      <c r="CQ788" s="1458"/>
      <c r="CR788" s="1458"/>
      <c r="CS788" s="1458"/>
      <c r="CT788" s="1459"/>
      <c r="CU788" s="1457">
        <f t="shared" si="41"/>
        <v>0</v>
      </c>
      <c r="CV788" s="1458"/>
      <c r="CW788" s="1458"/>
      <c r="CX788" s="1458"/>
      <c r="CY788" s="1459"/>
      <c r="CZ788" s="1457">
        <f t="shared" si="42"/>
        <v>0</v>
      </c>
      <c r="DA788" s="1458"/>
      <c r="DB788" s="1458"/>
      <c r="DC788" s="1458"/>
      <c r="DD788" s="1459"/>
      <c r="DE788" s="1457">
        <f t="shared" si="43"/>
        <v>0</v>
      </c>
      <c r="DF788" s="1458"/>
      <c r="DG788" s="1458"/>
      <c r="DH788" s="1458"/>
      <c r="DI788" s="1459"/>
      <c r="DJ788" s="1457">
        <f t="shared" si="44"/>
        <v>0</v>
      </c>
      <c r="DK788" s="1458"/>
      <c r="DL788" s="1458"/>
      <c r="DM788" s="1458"/>
      <c r="DN788" s="1459"/>
      <c r="DO788" s="1457">
        <f t="shared" si="45"/>
        <v>0</v>
      </c>
      <c r="DP788" s="1458"/>
      <c r="DQ788" s="1458"/>
      <c r="DR788" s="1458"/>
      <c r="DS788" s="1459"/>
      <c r="DT788" s="6"/>
      <c r="DU788" s="1457">
        <f t="shared" si="46"/>
        <v>0</v>
      </c>
      <c r="DV788" s="1458"/>
      <c r="DW788" s="1458"/>
      <c r="DX788" s="1458"/>
      <c r="DY788" s="1459"/>
      <c r="DZ788" s="1457">
        <f t="shared" si="47"/>
        <v>0</v>
      </c>
      <c r="EA788" s="1458"/>
      <c r="EB788" s="1458"/>
      <c r="EC788" s="1458"/>
      <c r="ED788" s="1459"/>
      <c r="EE788" s="1457">
        <f t="shared" si="48"/>
        <v>0</v>
      </c>
      <c r="EF788" s="1458"/>
      <c r="EG788" s="1458"/>
      <c r="EH788" s="1458"/>
      <c r="EI788" s="1459"/>
      <c r="EJ788" s="1457">
        <f t="shared" si="49"/>
        <v>0</v>
      </c>
      <c r="EK788" s="1458"/>
      <c r="EL788" s="1458"/>
      <c r="EM788" s="1458"/>
      <c r="EN788" s="1459"/>
      <c r="EO788" s="1457">
        <f t="shared" si="50"/>
        <v>0</v>
      </c>
      <c r="EP788" s="1458"/>
      <c r="EQ788" s="1458"/>
      <c r="ER788" s="1458"/>
      <c r="ES788" s="1459"/>
      <c r="ET788" s="1457">
        <f t="shared" si="51"/>
        <v>0</v>
      </c>
      <c r="EU788" s="1458"/>
      <c r="EV788" s="1458"/>
      <c r="EW788" s="1458"/>
      <c r="EX788" s="1459"/>
    </row>
    <row r="789" spans="1:154" s="14" customFormat="1" ht="12.9" customHeight="1" x14ac:dyDescent="0.25">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39"/>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0"/>
        <v>0</v>
      </c>
      <c r="CQ789" s="1458"/>
      <c r="CR789" s="1458"/>
      <c r="CS789" s="1458"/>
      <c r="CT789" s="1459"/>
      <c r="CU789" s="1457">
        <f t="shared" si="41"/>
        <v>0</v>
      </c>
      <c r="CV789" s="1458"/>
      <c r="CW789" s="1458"/>
      <c r="CX789" s="1458"/>
      <c r="CY789" s="1459"/>
      <c r="CZ789" s="1457">
        <f t="shared" si="42"/>
        <v>0</v>
      </c>
      <c r="DA789" s="1458"/>
      <c r="DB789" s="1458"/>
      <c r="DC789" s="1458"/>
      <c r="DD789" s="1459"/>
      <c r="DE789" s="1457">
        <f t="shared" si="43"/>
        <v>0</v>
      </c>
      <c r="DF789" s="1458"/>
      <c r="DG789" s="1458"/>
      <c r="DH789" s="1458"/>
      <c r="DI789" s="1459"/>
      <c r="DJ789" s="1457">
        <f t="shared" si="44"/>
        <v>0</v>
      </c>
      <c r="DK789" s="1458"/>
      <c r="DL789" s="1458"/>
      <c r="DM789" s="1458"/>
      <c r="DN789" s="1459"/>
      <c r="DO789" s="1457">
        <f t="shared" si="45"/>
        <v>0</v>
      </c>
      <c r="DP789" s="1458"/>
      <c r="DQ789" s="1458"/>
      <c r="DR789" s="1458"/>
      <c r="DS789" s="1459"/>
      <c r="DT789" s="6"/>
      <c r="DU789" s="1457">
        <f t="shared" si="46"/>
        <v>0</v>
      </c>
      <c r="DV789" s="1458"/>
      <c r="DW789" s="1458"/>
      <c r="DX789" s="1458"/>
      <c r="DY789" s="1459"/>
      <c r="DZ789" s="1457">
        <f t="shared" si="47"/>
        <v>0</v>
      </c>
      <c r="EA789" s="1458"/>
      <c r="EB789" s="1458"/>
      <c r="EC789" s="1458"/>
      <c r="ED789" s="1459"/>
      <c r="EE789" s="1457">
        <f t="shared" si="48"/>
        <v>0</v>
      </c>
      <c r="EF789" s="1458"/>
      <c r="EG789" s="1458"/>
      <c r="EH789" s="1458"/>
      <c r="EI789" s="1459"/>
      <c r="EJ789" s="1457">
        <f t="shared" si="49"/>
        <v>0</v>
      </c>
      <c r="EK789" s="1458"/>
      <c r="EL789" s="1458"/>
      <c r="EM789" s="1458"/>
      <c r="EN789" s="1459"/>
      <c r="EO789" s="1457">
        <f t="shared" si="50"/>
        <v>0</v>
      </c>
      <c r="EP789" s="1458"/>
      <c r="EQ789" s="1458"/>
      <c r="ER789" s="1458"/>
      <c r="ES789" s="1459"/>
      <c r="ET789" s="1457">
        <f t="shared" si="51"/>
        <v>0</v>
      </c>
      <c r="EU789" s="1458"/>
      <c r="EV789" s="1458"/>
      <c r="EW789" s="1458"/>
      <c r="EX789" s="1459"/>
    </row>
    <row r="790" spans="1:154" s="14" customFormat="1" ht="12.9" customHeight="1" x14ac:dyDescent="0.25">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39"/>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0"/>
        <v>0</v>
      </c>
      <c r="CQ790" s="1458"/>
      <c r="CR790" s="1458"/>
      <c r="CS790" s="1458"/>
      <c r="CT790" s="1459"/>
      <c r="CU790" s="1457">
        <f t="shared" si="41"/>
        <v>0</v>
      </c>
      <c r="CV790" s="1458"/>
      <c r="CW790" s="1458"/>
      <c r="CX790" s="1458"/>
      <c r="CY790" s="1459"/>
      <c r="CZ790" s="1457">
        <f t="shared" si="42"/>
        <v>0</v>
      </c>
      <c r="DA790" s="1458"/>
      <c r="DB790" s="1458"/>
      <c r="DC790" s="1458"/>
      <c r="DD790" s="1459"/>
      <c r="DE790" s="1457">
        <f t="shared" si="43"/>
        <v>0</v>
      </c>
      <c r="DF790" s="1458"/>
      <c r="DG790" s="1458"/>
      <c r="DH790" s="1458"/>
      <c r="DI790" s="1459"/>
      <c r="DJ790" s="1457">
        <f t="shared" si="44"/>
        <v>0</v>
      </c>
      <c r="DK790" s="1458"/>
      <c r="DL790" s="1458"/>
      <c r="DM790" s="1458"/>
      <c r="DN790" s="1459"/>
      <c r="DO790" s="1457">
        <f t="shared" si="45"/>
        <v>0</v>
      </c>
      <c r="DP790" s="1458"/>
      <c r="DQ790" s="1458"/>
      <c r="DR790" s="1458"/>
      <c r="DS790" s="1459"/>
      <c r="DT790" s="6"/>
      <c r="DU790" s="1457">
        <f t="shared" si="46"/>
        <v>0</v>
      </c>
      <c r="DV790" s="1458"/>
      <c r="DW790" s="1458"/>
      <c r="DX790" s="1458"/>
      <c r="DY790" s="1459"/>
      <c r="DZ790" s="1457">
        <f t="shared" si="47"/>
        <v>0</v>
      </c>
      <c r="EA790" s="1458"/>
      <c r="EB790" s="1458"/>
      <c r="EC790" s="1458"/>
      <c r="ED790" s="1459"/>
      <c r="EE790" s="1457">
        <f t="shared" si="48"/>
        <v>0</v>
      </c>
      <c r="EF790" s="1458"/>
      <c r="EG790" s="1458"/>
      <c r="EH790" s="1458"/>
      <c r="EI790" s="1459"/>
      <c r="EJ790" s="1457">
        <f t="shared" si="49"/>
        <v>0</v>
      </c>
      <c r="EK790" s="1458"/>
      <c r="EL790" s="1458"/>
      <c r="EM790" s="1458"/>
      <c r="EN790" s="1459"/>
      <c r="EO790" s="1457">
        <f t="shared" si="50"/>
        <v>0</v>
      </c>
      <c r="EP790" s="1458"/>
      <c r="EQ790" s="1458"/>
      <c r="ER790" s="1458"/>
      <c r="ES790" s="1459"/>
      <c r="ET790" s="1457">
        <f t="shared" si="51"/>
        <v>0</v>
      </c>
      <c r="EU790" s="1458"/>
      <c r="EV790" s="1458"/>
      <c r="EW790" s="1458"/>
      <c r="EX790" s="1459"/>
    </row>
    <row r="791" spans="1:154" s="14" customFormat="1" ht="12.9" customHeight="1" x14ac:dyDescent="0.25">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39"/>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0"/>
        <v>0</v>
      </c>
      <c r="CQ791" s="1458"/>
      <c r="CR791" s="1458"/>
      <c r="CS791" s="1458"/>
      <c r="CT791" s="1459"/>
      <c r="CU791" s="1457">
        <f t="shared" si="41"/>
        <v>0</v>
      </c>
      <c r="CV791" s="1458"/>
      <c r="CW791" s="1458"/>
      <c r="CX791" s="1458"/>
      <c r="CY791" s="1459"/>
      <c r="CZ791" s="1457">
        <f t="shared" si="42"/>
        <v>0</v>
      </c>
      <c r="DA791" s="1458"/>
      <c r="DB791" s="1458"/>
      <c r="DC791" s="1458"/>
      <c r="DD791" s="1459"/>
      <c r="DE791" s="1457">
        <f t="shared" si="43"/>
        <v>0</v>
      </c>
      <c r="DF791" s="1458"/>
      <c r="DG791" s="1458"/>
      <c r="DH791" s="1458"/>
      <c r="DI791" s="1459"/>
      <c r="DJ791" s="1457">
        <f t="shared" si="44"/>
        <v>0</v>
      </c>
      <c r="DK791" s="1458"/>
      <c r="DL791" s="1458"/>
      <c r="DM791" s="1458"/>
      <c r="DN791" s="1459"/>
      <c r="DO791" s="1457">
        <f t="shared" si="45"/>
        <v>0</v>
      </c>
      <c r="DP791" s="1458"/>
      <c r="DQ791" s="1458"/>
      <c r="DR791" s="1458"/>
      <c r="DS791" s="1459"/>
      <c r="DT791" s="6"/>
      <c r="DU791" s="1457">
        <f t="shared" si="46"/>
        <v>0</v>
      </c>
      <c r="DV791" s="1458"/>
      <c r="DW791" s="1458"/>
      <c r="DX791" s="1458"/>
      <c r="DY791" s="1459"/>
      <c r="DZ791" s="1457">
        <f t="shared" si="47"/>
        <v>0</v>
      </c>
      <c r="EA791" s="1458"/>
      <c r="EB791" s="1458"/>
      <c r="EC791" s="1458"/>
      <c r="ED791" s="1459"/>
      <c r="EE791" s="1457">
        <f t="shared" si="48"/>
        <v>0</v>
      </c>
      <c r="EF791" s="1458"/>
      <c r="EG791" s="1458"/>
      <c r="EH791" s="1458"/>
      <c r="EI791" s="1459"/>
      <c r="EJ791" s="1457">
        <f t="shared" si="49"/>
        <v>0</v>
      </c>
      <c r="EK791" s="1458"/>
      <c r="EL791" s="1458"/>
      <c r="EM791" s="1458"/>
      <c r="EN791" s="1459"/>
      <c r="EO791" s="1457">
        <f t="shared" si="50"/>
        <v>0</v>
      </c>
      <c r="EP791" s="1458"/>
      <c r="EQ791" s="1458"/>
      <c r="ER791" s="1458"/>
      <c r="ES791" s="1459"/>
      <c r="ET791" s="1457">
        <f t="shared" si="51"/>
        <v>0</v>
      </c>
      <c r="EU791" s="1458"/>
      <c r="EV791" s="1458"/>
      <c r="EW791" s="1458"/>
      <c r="EX791" s="1459"/>
    </row>
    <row r="792" spans="1:154" s="14" customFormat="1" ht="12.9" customHeight="1" x14ac:dyDescent="0.25">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39"/>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0"/>
        <v>0</v>
      </c>
      <c r="CQ792" s="1458"/>
      <c r="CR792" s="1458"/>
      <c r="CS792" s="1458"/>
      <c r="CT792" s="1459"/>
      <c r="CU792" s="1457">
        <f t="shared" si="41"/>
        <v>0</v>
      </c>
      <c r="CV792" s="1458"/>
      <c r="CW792" s="1458"/>
      <c r="CX792" s="1458"/>
      <c r="CY792" s="1459"/>
      <c r="CZ792" s="1457">
        <f t="shared" si="42"/>
        <v>0</v>
      </c>
      <c r="DA792" s="1458"/>
      <c r="DB792" s="1458"/>
      <c r="DC792" s="1458"/>
      <c r="DD792" s="1459"/>
      <c r="DE792" s="1457">
        <f t="shared" si="43"/>
        <v>0</v>
      </c>
      <c r="DF792" s="1458"/>
      <c r="DG792" s="1458"/>
      <c r="DH792" s="1458"/>
      <c r="DI792" s="1459"/>
      <c r="DJ792" s="1457">
        <f t="shared" si="44"/>
        <v>0</v>
      </c>
      <c r="DK792" s="1458"/>
      <c r="DL792" s="1458"/>
      <c r="DM792" s="1458"/>
      <c r="DN792" s="1459"/>
      <c r="DO792" s="1457">
        <f t="shared" si="45"/>
        <v>0</v>
      </c>
      <c r="DP792" s="1458"/>
      <c r="DQ792" s="1458"/>
      <c r="DR792" s="1458"/>
      <c r="DS792" s="1459"/>
      <c r="DT792" s="6"/>
      <c r="DU792" s="1457">
        <f t="shared" si="46"/>
        <v>0</v>
      </c>
      <c r="DV792" s="1458"/>
      <c r="DW792" s="1458"/>
      <c r="DX792" s="1458"/>
      <c r="DY792" s="1459"/>
      <c r="DZ792" s="1457">
        <f t="shared" si="47"/>
        <v>0</v>
      </c>
      <c r="EA792" s="1458"/>
      <c r="EB792" s="1458"/>
      <c r="EC792" s="1458"/>
      <c r="ED792" s="1459"/>
      <c r="EE792" s="1457">
        <f t="shared" si="48"/>
        <v>0</v>
      </c>
      <c r="EF792" s="1458"/>
      <c r="EG792" s="1458"/>
      <c r="EH792" s="1458"/>
      <c r="EI792" s="1459"/>
      <c r="EJ792" s="1457">
        <f t="shared" si="49"/>
        <v>0</v>
      </c>
      <c r="EK792" s="1458"/>
      <c r="EL792" s="1458"/>
      <c r="EM792" s="1458"/>
      <c r="EN792" s="1459"/>
      <c r="EO792" s="1457">
        <f t="shared" si="50"/>
        <v>0</v>
      </c>
      <c r="EP792" s="1458"/>
      <c r="EQ792" s="1458"/>
      <c r="ER792" s="1458"/>
      <c r="ES792" s="1459"/>
      <c r="ET792" s="1457">
        <f t="shared" si="51"/>
        <v>0</v>
      </c>
      <c r="EU792" s="1458"/>
      <c r="EV792" s="1458"/>
      <c r="EW792" s="1458"/>
      <c r="EX792" s="1459"/>
    </row>
    <row r="793" spans="1:154" s="14" customFormat="1" ht="12.9" customHeight="1" x14ac:dyDescent="0.25">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39"/>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0"/>
        <v>0</v>
      </c>
      <c r="CQ793" s="1458"/>
      <c r="CR793" s="1458"/>
      <c r="CS793" s="1458"/>
      <c r="CT793" s="1459"/>
      <c r="CU793" s="1457">
        <f t="shared" si="41"/>
        <v>0</v>
      </c>
      <c r="CV793" s="1458"/>
      <c r="CW793" s="1458"/>
      <c r="CX793" s="1458"/>
      <c r="CY793" s="1459"/>
      <c r="CZ793" s="1457">
        <f t="shared" si="42"/>
        <v>0</v>
      </c>
      <c r="DA793" s="1458"/>
      <c r="DB793" s="1458"/>
      <c r="DC793" s="1458"/>
      <c r="DD793" s="1459"/>
      <c r="DE793" s="1457">
        <f t="shared" si="43"/>
        <v>0</v>
      </c>
      <c r="DF793" s="1458"/>
      <c r="DG793" s="1458"/>
      <c r="DH793" s="1458"/>
      <c r="DI793" s="1459"/>
      <c r="DJ793" s="1457">
        <f t="shared" si="44"/>
        <v>0</v>
      </c>
      <c r="DK793" s="1458"/>
      <c r="DL793" s="1458"/>
      <c r="DM793" s="1458"/>
      <c r="DN793" s="1459"/>
      <c r="DO793" s="1457">
        <f t="shared" si="45"/>
        <v>0</v>
      </c>
      <c r="DP793" s="1458"/>
      <c r="DQ793" s="1458"/>
      <c r="DR793" s="1458"/>
      <c r="DS793" s="1459"/>
      <c r="DT793" s="6"/>
      <c r="DU793" s="1457">
        <f t="shared" si="46"/>
        <v>0</v>
      </c>
      <c r="DV793" s="1458"/>
      <c r="DW793" s="1458"/>
      <c r="DX793" s="1458"/>
      <c r="DY793" s="1459"/>
      <c r="DZ793" s="1457">
        <f t="shared" si="47"/>
        <v>0</v>
      </c>
      <c r="EA793" s="1458"/>
      <c r="EB793" s="1458"/>
      <c r="EC793" s="1458"/>
      <c r="ED793" s="1459"/>
      <c r="EE793" s="1457">
        <f t="shared" si="48"/>
        <v>0</v>
      </c>
      <c r="EF793" s="1458"/>
      <c r="EG793" s="1458"/>
      <c r="EH793" s="1458"/>
      <c r="EI793" s="1459"/>
      <c r="EJ793" s="1457">
        <f t="shared" si="49"/>
        <v>0</v>
      </c>
      <c r="EK793" s="1458"/>
      <c r="EL793" s="1458"/>
      <c r="EM793" s="1458"/>
      <c r="EN793" s="1459"/>
      <c r="EO793" s="1457">
        <f t="shared" si="50"/>
        <v>0</v>
      </c>
      <c r="EP793" s="1458"/>
      <c r="EQ793" s="1458"/>
      <c r="ER793" s="1458"/>
      <c r="ES793" s="1459"/>
      <c r="ET793" s="1457">
        <f t="shared" si="51"/>
        <v>0</v>
      </c>
      <c r="EU793" s="1458"/>
      <c r="EV793" s="1458"/>
      <c r="EW793" s="1458"/>
      <c r="EX793" s="1459"/>
    </row>
    <row r="794" spans="1:154" s="14" customFormat="1" ht="12.9" customHeight="1" x14ac:dyDescent="0.25">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39"/>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0"/>
        <v>0</v>
      </c>
      <c r="CQ794" s="1458"/>
      <c r="CR794" s="1458"/>
      <c r="CS794" s="1458"/>
      <c r="CT794" s="1459"/>
      <c r="CU794" s="1457">
        <f t="shared" si="41"/>
        <v>0</v>
      </c>
      <c r="CV794" s="1458"/>
      <c r="CW794" s="1458"/>
      <c r="CX794" s="1458"/>
      <c r="CY794" s="1459"/>
      <c r="CZ794" s="1457">
        <f t="shared" si="42"/>
        <v>0</v>
      </c>
      <c r="DA794" s="1458"/>
      <c r="DB794" s="1458"/>
      <c r="DC794" s="1458"/>
      <c r="DD794" s="1459"/>
      <c r="DE794" s="1457">
        <f t="shared" si="43"/>
        <v>0</v>
      </c>
      <c r="DF794" s="1458"/>
      <c r="DG794" s="1458"/>
      <c r="DH794" s="1458"/>
      <c r="DI794" s="1459"/>
      <c r="DJ794" s="1457">
        <f t="shared" si="44"/>
        <v>0</v>
      </c>
      <c r="DK794" s="1458"/>
      <c r="DL794" s="1458"/>
      <c r="DM794" s="1458"/>
      <c r="DN794" s="1459"/>
      <c r="DO794" s="1457">
        <f t="shared" si="45"/>
        <v>0</v>
      </c>
      <c r="DP794" s="1458"/>
      <c r="DQ794" s="1458"/>
      <c r="DR794" s="1458"/>
      <c r="DS794" s="1459"/>
      <c r="DT794" s="6"/>
      <c r="DU794" s="1457">
        <f t="shared" si="46"/>
        <v>0</v>
      </c>
      <c r="DV794" s="1458"/>
      <c r="DW794" s="1458"/>
      <c r="DX794" s="1458"/>
      <c r="DY794" s="1459"/>
      <c r="DZ794" s="1457">
        <f t="shared" si="47"/>
        <v>0</v>
      </c>
      <c r="EA794" s="1458"/>
      <c r="EB794" s="1458"/>
      <c r="EC794" s="1458"/>
      <c r="ED794" s="1459"/>
      <c r="EE794" s="1457">
        <f t="shared" si="48"/>
        <v>0</v>
      </c>
      <c r="EF794" s="1458"/>
      <c r="EG794" s="1458"/>
      <c r="EH794" s="1458"/>
      <c r="EI794" s="1459"/>
      <c r="EJ794" s="1457">
        <f t="shared" si="49"/>
        <v>0</v>
      </c>
      <c r="EK794" s="1458"/>
      <c r="EL794" s="1458"/>
      <c r="EM794" s="1458"/>
      <c r="EN794" s="1459"/>
      <c r="EO794" s="1457">
        <f t="shared" si="50"/>
        <v>0</v>
      </c>
      <c r="EP794" s="1458"/>
      <c r="EQ794" s="1458"/>
      <c r="ER794" s="1458"/>
      <c r="ES794" s="1459"/>
      <c r="ET794" s="1457">
        <f t="shared" si="51"/>
        <v>0</v>
      </c>
      <c r="EU794" s="1458"/>
      <c r="EV794" s="1458"/>
      <c r="EW794" s="1458"/>
      <c r="EX794" s="1459"/>
    </row>
    <row r="795" spans="1:154" s="14" customFormat="1" ht="12.9" customHeight="1" x14ac:dyDescent="0.25">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39"/>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0"/>
        <v>0</v>
      </c>
      <c r="CQ795" s="1458"/>
      <c r="CR795" s="1458"/>
      <c r="CS795" s="1458"/>
      <c r="CT795" s="1459"/>
      <c r="CU795" s="1457">
        <f t="shared" si="41"/>
        <v>0</v>
      </c>
      <c r="CV795" s="1458"/>
      <c r="CW795" s="1458"/>
      <c r="CX795" s="1458"/>
      <c r="CY795" s="1459"/>
      <c r="CZ795" s="1457">
        <f t="shared" si="42"/>
        <v>0</v>
      </c>
      <c r="DA795" s="1458"/>
      <c r="DB795" s="1458"/>
      <c r="DC795" s="1458"/>
      <c r="DD795" s="1459"/>
      <c r="DE795" s="1457">
        <f t="shared" si="43"/>
        <v>0</v>
      </c>
      <c r="DF795" s="1458"/>
      <c r="DG795" s="1458"/>
      <c r="DH795" s="1458"/>
      <c r="DI795" s="1459"/>
      <c r="DJ795" s="1457">
        <f t="shared" si="44"/>
        <v>0</v>
      </c>
      <c r="DK795" s="1458"/>
      <c r="DL795" s="1458"/>
      <c r="DM795" s="1458"/>
      <c r="DN795" s="1459"/>
      <c r="DO795" s="1457">
        <f t="shared" si="45"/>
        <v>0</v>
      </c>
      <c r="DP795" s="1458"/>
      <c r="DQ795" s="1458"/>
      <c r="DR795" s="1458"/>
      <c r="DS795" s="1459"/>
      <c r="DT795" s="6"/>
      <c r="DU795" s="1457">
        <f t="shared" si="46"/>
        <v>0</v>
      </c>
      <c r="DV795" s="1458"/>
      <c r="DW795" s="1458"/>
      <c r="DX795" s="1458"/>
      <c r="DY795" s="1459"/>
      <c r="DZ795" s="1457">
        <f t="shared" si="47"/>
        <v>0</v>
      </c>
      <c r="EA795" s="1458"/>
      <c r="EB795" s="1458"/>
      <c r="EC795" s="1458"/>
      <c r="ED795" s="1459"/>
      <c r="EE795" s="1457">
        <f t="shared" si="48"/>
        <v>0</v>
      </c>
      <c r="EF795" s="1458"/>
      <c r="EG795" s="1458"/>
      <c r="EH795" s="1458"/>
      <c r="EI795" s="1459"/>
      <c r="EJ795" s="1457">
        <f t="shared" si="49"/>
        <v>0</v>
      </c>
      <c r="EK795" s="1458"/>
      <c r="EL795" s="1458"/>
      <c r="EM795" s="1458"/>
      <c r="EN795" s="1459"/>
      <c r="EO795" s="1457">
        <f t="shared" si="50"/>
        <v>0</v>
      </c>
      <c r="EP795" s="1458"/>
      <c r="EQ795" s="1458"/>
      <c r="ER795" s="1458"/>
      <c r="ES795" s="1459"/>
      <c r="ET795" s="1457">
        <f t="shared" si="51"/>
        <v>0</v>
      </c>
      <c r="EU795" s="1458"/>
      <c r="EV795" s="1458"/>
      <c r="EW795" s="1458"/>
      <c r="EX795" s="1459"/>
    </row>
    <row r="796" spans="1:154" s="4" customFormat="1" ht="12.9" customHeight="1" x14ac:dyDescent="0.25">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39"/>
        <v>0</v>
      </c>
      <c r="AD796" s="1352"/>
      <c r="AE796" s="1352"/>
      <c r="AF796" s="1352"/>
      <c r="AG796" s="1353"/>
      <c r="AH796"/>
      <c r="AI796"/>
      <c r="AJ796"/>
      <c r="AK796"/>
      <c r="AL796"/>
      <c r="AM796"/>
      <c r="AN796"/>
      <c r="AO796"/>
      <c r="AP796"/>
      <c r="AQ796"/>
      <c r="AR796"/>
      <c r="AS796"/>
      <c r="AT796"/>
      <c r="AU796"/>
      <c r="AV796"/>
      <c r="AW796"/>
      <c r="AX796"/>
      <c r="AY796"/>
      <c r="AZ796" s="3"/>
      <c r="CP796" s="1457">
        <f t="shared" si="40"/>
        <v>0</v>
      </c>
      <c r="CQ796" s="1458"/>
      <c r="CR796" s="1458"/>
      <c r="CS796" s="1458"/>
      <c r="CT796" s="1459"/>
      <c r="CU796" s="1457">
        <f t="shared" si="41"/>
        <v>0</v>
      </c>
      <c r="CV796" s="1458"/>
      <c r="CW796" s="1458"/>
      <c r="CX796" s="1458"/>
      <c r="CY796" s="1459"/>
      <c r="CZ796" s="1457">
        <f t="shared" si="42"/>
        <v>0</v>
      </c>
      <c r="DA796" s="1458"/>
      <c r="DB796" s="1458"/>
      <c r="DC796" s="1458"/>
      <c r="DD796" s="1459"/>
      <c r="DE796" s="1457">
        <f t="shared" si="43"/>
        <v>0</v>
      </c>
      <c r="DF796" s="1458"/>
      <c r="DG796" s="1458"/>
      <c r="DH796" s="1458"/>
      <c r="DI796" s="1459"/>
      <c r="DJ796" s="1457">
        <f t="shared" si="44"/>
        <v>0</v>
      </c>
      <c r="DK796" s="1458"/>
      <c r="DL796" s="1458"/>
      <c r="DM796" s="1458"/>
      <c r="DN796" s="1459"/>
      <c r="DO796" s="1457">
        <f t="shared" si="45"/>
        <v>0</v>
      </c>
      <c r="DP796" s="1458"/>
      <c r="DQ796" s="1458"/>
      <c r="DR796" s="1458"/>
      <c r="DS796" s="1459"/>
      <c r="DT796" s="6"/>
      <c r="DU796" s="1457">
        <f t="shared" si="46"/>
        <v>0</v>
      </c>
      <c r="DV796" s="1458"/>
      <c r="DW796" s="1458"/>
      <c r="DX796" s="1458"/>
      <c r="DY796" s="1459"/>
      <c r="DZ796" s="1457">
        <f t="shared" si="47"/>
        <v>0</v>
      </c>
      <c r="EA796" s="1458"/>
      <c r="EB796" s="1458"/>
      <c r="EC796" s="1458"/>
      <c r="ED796" s="1459"/>
      <c r="EE796" s="1457">
        <f t="shared" si="48"/>
        <v>0</v>
      </c>
      <c r="EF796" s="1458"/>
      <c r="EG796" s="1458"/>
      <c r="EH796" s="1458"/>
      <c r="EI796" s="1459"/>
      <c r="EJ796" s="1457">
        <f t="shared" si="49"/>
        <v>0</v>
      </c>
      <c r="EK796" s="1458"/>
      <c r="EL796" s="1458"/>
      <c r="EM796" s="1458"/>
      <c r="EN796" s="1459"/>
      <c r="EO796" s="1457">
        <f t="shared" si="50"/>
        <v>0</v>
      </c>
      <c r="EP796" s="1458"/>
      <c r="EQ796" s="1458"/>
      <c r="ER796" s="1458"/>
      <c r="ES796" s="1459"/>
      <c r="ET796" s="1457">
        <f t="shared" si="51"/>
        <v>0</v>
      </c>
      <c r="EU796" s="1458"/>
      <c r="EV796" s="1458"/>
      <c r="EW796" s="1458"/>
      <c r="EX796" s="1459"/>
    </row>
    <row r="797" spans="1:154" s="4" customFormat="1" ht="12.9" customHeight="1" x14ac:dyDescent="0.3">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 customHeight="1" x14ac:dyDescent="0.25">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x14ac:dyDescent="0.3">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4">
        <f>SUM(DU797:EX797)</f>
        <v>0</v>
      </c>
      <c r="EU799" s="1855"/>
      <c r="EV799" s="1855"/>
      <c r="EW799" s="1855"/>
      <c r="EX799" s="1856"/>
    </row>
    <row r="800" spans="1:154" s="4" customFormat="1" ht="12.9" customHeight="1" x14ac:dyDescent="0.3">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121164</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x14ac:dyDescent="0.3">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1453968</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x14ac:dyDescent="0.3">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97</v>
      </c>
      <c r="CV802" s="1472"/>
      <c r="CW802" s="1472"/>
      <c r="CX802" s="1472"/>
      <c r="CY802" s="1473"/>
      <c r="CZ802" s="1471">
        <f>CZ753+CZ777+CZ797</f>
        <v>4</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103</v>
      </c>
      <c r="DV802" s="57" t="s">
        <v>1865</v>
      </c>
    </row>
    <row r="803" spans="1:126" s="4" customFormat="1" ht="12.9" customHeight="1" x14ac:dyDescent="0.3">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x14ac:dyDescent="0.3">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x14ac:dyDescent="0.3">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x14ac:dyDescent="0.25">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100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x14ac:dyDescent="0.25">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x14ac:dyDescent="0.25">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53966</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x14ac:dyDescent="0.3">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960744</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x14ac:dyDescent="0.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x14ac:dyDescent="0.3">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x14ac:dyDescent="0.25">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x14ac:dyDescent="0.25">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8484</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x14ac:dyDescent="0.25">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x14ac:dyDescent="0.25">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x14ac:dyDescent="0.25">
      <c r="A816"/>
      <c r="B816"/>
      <c r="C816"/>
      <c r="D816"/>
      <c r="E816"/>
      <c r="F816"/>
      <c r="G816"/>
      <c r="H816" s="45" t="s">
        <v>39</v>
      </c>
      <c r="I816" s="5"/>
      <c r="J816" s="5"/>
      <c r="K816" s="5"/>
      <c r="L816" s="5"/>
      <c r="M816" s="5"/>
      <c r="N816" s="5"/>
      <c r="O816" s="5"/>
      <c r="P816" s="1535" t="s">
        <v>334</v>
      </c>
      <c r="Q816" s="1592"/>
      <c r="R816" s="1592"/>
      <c r="S816" s="1592"/>
      <c r="T816" s="1592"/>
      <c r="U816" s="1592"/>
      <c r="V816" s="1592"/>
      <c r="W816" s="1592"/>
      <c r="X816" s="1592"/>
      <c r="Y816" s="1593"/>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x14ac:dyDescent="0.3">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8484</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x14ac:dyDescent="0.3">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3">
        <f>Z817+Y801+Z809</f>
        <v>2423196</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x14ac:dyDescent="0.25">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x14ac:dyDescent="0.3">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x14ac:dyDescent="0.3">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x14ac:dyDescent="0.3">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x14ac:dyDescent="0.25">
      <c r="A823"/>
      <c r="B823"/>
      <c r="C823" s="41"/>
      <c r="D823" s="42"/>
      <c r="E823" s="42"/>
      <c r="F823" s="42"/>
      <c r="G823" s="42"/>
      <c r="H823" s="42"/>
      <c r="I823" s="42"/>
      <c r="J823" s="42"/>
      <c r="K823" s="42"/>
      <c r="L823" s="58"/>
      <c r="M823" s="1584" t="s">
        <v>126</v>
      </c>
      <c r="N823" s="1584"/>
      <c r="O823" s="1584"/>
      <c r="P823" s="1652"/>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x14ac:dyDescent="0.25">
      <c r="A824"/>
      <c r="B824"/>
      <c r="C824" s="47"/>
      <c r="D824" s="48"/>
      <c r="E824" s="48"/>
      <c r="F824" s="48"/>
      <c r="G824" s="48"/>
      <c r="H824" s="48"/>
      <c r="I824" s="48"/>
      <c r="J824" s="48"/>
      <c r="K824" s="48"/>
      <c r="L824" s="49"/>
      <c r="M824" s="1588"/>
      <c r="N824" s="1588"/>
      <c r="O824" s="1588"/>
      <c r="P824" s="1598"/>
      <c r="Q824" s="1612"/>
      <c r="R824" s="1612"/>
      <c r="S824" s="1612"/>
      <c r="T824" s="1612"/>
      <c r="U824" s="1612"/>
      <c r="V824" s="1612"/>
      <c r="W824" s="1612"/>
      <c r="X824" s="1612"/>
      <c r="Y824" s="1612"/>
      <c r="Z824" s="1612"/>
      <c r="AA824" s="1612"/>
      <c r="AB824" s="1612"/>
      <c r="AC824" s="1612"/>
      <c r="AD824" s="1612"/>
      <c r="AE824" s="1612"/>
      <c r="AF824" s="1612"/>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 customHeight="1" x14ac:dyDescent="0.25">
      <c r="A825"/>
      <c r="B825"/>
      <c r="C825" s="1547" t="s">
        <v>40</v>
      </c>
      <c r="D825" s="1357"/>
      <c r="E825" s="1357"/>
      <c r="F825" s="1357"/>
      <c r="G825" s="1357"/>
      <c r="H825" s="1357"/>
      <c r="I825" s="48"/>
      <c r="J825" s="48"/>
      <c r="K825" s="48"/>
      <c r="L825" s="49"/>
      <c r="M825" s="1640"/>
      <c r="N825" s="1640"/>
      <c r="O825" s="1640"/>
      <c r="P825" s="1640"/>
      <c r="Q825" s="1640">
        <v>27</v>
      </c>
      <c r="R825" s="1640"/>
      <c r="S825" s="1640"/>
      <c r="T825" s="1640"/>
      <c r="U825" s="1640">
        <v>36</v>
      </c>
      <c r="V825" s="1640"/>
      <c r="W825" s="1640"/>
      <c r="X825" s="1640"/>
      <c r="Y825" s="1640"/>
      <c r="Z825" s="1640"/>
      <c r="AA825" s="1640"/>
      <c r="AB825" s="1640"/>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 customHeight="1" x14ac:dyDescent="0.25">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 customHeight="1" x14ac:dyDescent="0.25">
      <c r="A827"/>
      <c r="B827"/>
      <c r="C827" s="1623" t="s">
        <v>42</v>
      </c>
      <c r="D827" s="1624"/>
      <c r="E827" s="1624"/>
      <c r="F827" s="1624"/>
      <c r="G827" s="1624"/>
      <c r="H827" s="1624"/>
      <c r="I827" s="60"/>
      <c r="J827" s="60"/>
      <c r="K827" s="60"/>
      <c r="L827" s="61"/>
      <c r="M827" s="1640"/>
      <c r="N827" s="1640"/>
      <c r="O827" s="1640"/>
      <c r="P827" s="1640"/>
      <c r="Q827" s="1640">
        <v>14</v>
      </c>
      <c r="R827" s="1640"/>
      <c r="S827" s="1640"/>
      <c r="T827" s="1640"/>
      <c r="U827" s="1640">
        <v>18</v>
      </c>
      <c r="V827" s="1640"/>
      <c r="W827" s="1640"/>
      <c r="X827" s="1640"/>
      <c r="Y827" s="1640"/>
      <c r="Z827" s="1640"/>
      <c r="AA827" s="1640"/>
      <c r="AB827" s="1640"/>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 customHeight="1" x14ac:dyDescent="0.25">
      <c r="A828"/>
      <c r="B828"/>
      <c r="C828" s="1623" t="s">
        <v>763</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 customHeight="1" x14ac:dyDescent="0.25">
      <c r="A829"/>
      <c r="B829"/>
      <c r="C829" s="1623" t="s">
        <v>460</v>
      </c>
      <c r="D829" s="1624"/>
      <c r="E829" s="1624"/>
      <c r="F829" s="1624"/>
      <c r="G829" s="1624"/>
      <c r="H829" s="1624"/>
      <c r="I829" s="60"/>
      <c r="J829" s="60"/>
      <c r="K829" s="60"/>
      <c r="L829" s="61"/>
      <c r="M829" s="1640"/>
      <c r="N829" s="1640"/>
      <c r="O829" s="1640"/>
      <c r="P829" s="1640"/>
      <c r="Q829" s="1640">
        <v>41</v>
      </c>
      <c r="R829" s="1640"/>
      <c r="S829" s="1640"/>
      <c r="T829" s="1640"/>
      <c r="U829" s="1640">
        <v>50</v>
      </c>
      <c r="V829" s="1640"/>
      <c r="W829" s="1640"/>
      <c r="X829" s="1640"/>
      <c r="Y829" s="1640"/>
      <c r="Z829" s="1640"/>
      <c r="AA829" s="1640"/>
      <c r="AB829" s="1640"/>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 customHeight="1" x14ac:dyDescent="0.25">
      <c r="A830"/>
      <c r="B830"/>
      <c r="C830" s="1651" t="s">
        <v>784</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 customHeight="1" x14ac:dyDescent="0.25">
      <c r="A831"/>
      <c r="B831"/>
      <c r="C831" s="59" t="s">
        <v>293</v>
      </c>
      <c r="D831" s="60"/>
      <c r="E831" s="60"/>
      <c r="F831" s="1535" t="s">
        <v>2741</v>
      </c>
      <c r="G831" s="1592"/>
      <c r="H831" s="1592"/>
      <c r="I831" s="1592"/>
      <c r="J831" s="1592"/>
      <c r="K831" s="1592"/>
      <c r="L831" s="1592"/>
      <c r="M831" s="1640"/>
      <c r="N831" s="1640"/>
      <c r="O831" s="1640"/>
      <c r="P831" s="1640"/>
      <c r="Q831" s="1640">
        <v>18</v>
      </c>
      <c r="R831" s="1640"/>
      <c r="S831" s="1640"/>
      <c r="T831" s="1640"/>
      <c r="U831" s="1640">
        <v>24</v>
      </c>
      <c r="V831" s="1640"/>
      <c r="W831" s="1640"/>
      <c r="X831" s="1640"/>
      <c r="Y831" s="1640"/>
      <c r="Z831" s="1640"/>
      <c r="AA831" s="1640"/>
      <c r="AB831" s="1640"/>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 customHeight="1" x14ac:dyDescent="0.3">
      <c r="A832"/>
      <c r="B832"/>
      <c r="C832" s="1448" t="s">
        <v>124</v>
      </c>
      <c r="D832" s="1449"/>
      <c r="E832" s="1449"/>
      <c r="F832" s="1449"/>
      <c r="G832" s="1449"/>
      <c r="H832" s="1449"/>
      <c r="I832" s="1449"/>
      <c r="J832" s="1449"/>
      <c r="K832" s="1449"/>
      <c r="L832" s="1450"/>
      <c r="M832" s="1634">
        <f>SUM(M825:P831)</f>
        <v>0</v>
      </c>
      <c r="N832" s="1634"/>
      <c r="O832" s="1634"/>
      <c r="P832" s="1634"/>
      <c r="Q832" s="1634">
        <f>SUM(Q825:T831)</f>
        <v>100</v>
      </c>
      <c r="R832" s="1634"/>
      <c r="S832" s="1634"/>
      <c r="T832" s="1634"/>
      <c r="U832" s="1634">
        <f>SUM(U825:X831)</f>
        <v>128</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 customHeight="1" x14ac:dyDescent="0.3">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x14ac:dyDescent="0.3">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x14ac:dyDescent="0.3">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x14ac:dyDescent="0.3">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x14ac:dyDescent="0.25">
      <c r="A837"/>
      <c r="B837"/>
      <c r="C837" s="1705" t="s">
        <v>2766</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 customHeight="1" x14ac:dyDescent="0.25">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x14ac:dyDescent="0.3">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x14ac:dyDescent="0.3">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 customHeight="1" x14ac:dyDescent="0.3">
      <c r="A842"/>
      <c r="B842"/>
      <c r="C842" s="2" t="s">
        <v>343</v>
      </c>
      <c r="D842"/>
      <c r="E842"/>
      <c r="F842"/>
      <c r="G842"/>
      <c r="H842"/>
      <c r="I842"/>
      <c r="J842" s="45" t="s">
        <v>356</v>
      </c>
      <c r="K842" s="5"/>
      <c r="L842" s="5"/>
      <c r="M842" s="5"/>
      <c r="N842" s="5"/>
      <c r="O842" s="5"/>
      <c r="P842" s="5"/>
      <c r="Q842" s="5"/>
      <c r="R842" s="5"/>
      <c r="S842" s="5"/>
      <c r="T842" s="5"/>
      <c r="U842" s="5"/>
      <c r="V842" s="46"/>
      <c r="W842" s="1480">
        <v>600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x14ac:dyDescent="0.25">
      <c r="A843"/>
      <c r="B843"/>
      <c r="C843"/>
      <c r="D843"/>
      <c r="E843"/>
      <c r="F843"/>
      <c r="G843"/>
      <c r="H843"/>
      <c r="I843"/>
      <c r="J843" s="45" t="s">
        <v>355</v>
      </c>
      <c r="K843" s="5"/>
      <c r="L843" s="5"/>
      <c r="M843" s="5"/>
      <c r="N843" s="5"/>
      <c r="O843" s="5"/>
      <c r="P843" s="5"/>
      <c r="Q843" s="5"/>
      <c r="R843" s="5"/>
      <c r="S843" s="5"/>
      <c r="T843" s="5"/>
      <c r="U843" s="5"/>
      <c r="V843" s="46"/>
      <c r="W843" s="1480">
        <v>4000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 customHeight="1" x14ac:dyDescent="0.25">
      <c r="J844" s="45" t="s">
        <v>354</v>
      </c>
      <c r="K844" s="5"/>
      <c r="L844" s="5"/>
      <c r="M844" s="5"/>
      <c r="N844" s="5"/>
      <c r="O844" s="5"/>
      <c r="P844" s="5"/>
      <c r="Q844" s="5"/>
      <c r="R844" s="5"/>
      <c r="S844" s="5"/>
      <c r="T844" s="5"/>
      <c r="U844" s="5"/>
      <c r="V844" s="46"/>
      <c r="W844" s="1480">
        <v>8000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 customHeight="1" x14ac:dyDescent="0.25">
      <c r="J845" s="45" t="s">
        <v>353</v>
      </c>
      <c r="K845" s="5"/>
      <c r="L845" s="5"/>
      <c r="M845" s="5"/>
      <c r="N845" s="5"/>
      <c r="O845" s="5"/>
      <c r="P845" s="5"/>
      <c r="Q845" s="5"/>
      <c r="R845" s="5"/>
      <c r="S845" s="5"/>
      <c r="T845" s="5"/>
      <c r="U845" s="5"/>
      <c r="V845" s="46"/>
      <c r="W845" s="1480">
        <v>30000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 customHeight="1" x14ac:dyDescent="0.25">
      <c r="J846" s="45" t="s">
        <v>170</v>
      </c>
      <c r="K846" s="5"/>
      <c r="L846" s="5"/>
      <c r="M846" s="1535" t="s">
        <v>2742</v>
      </c>
      <c r="N846" s="1592"/>
      <c r="O846" s="1592"/>
      <c r="P846" s="1592"/>
      <c r="Q846" s="1592"/>
      <c r="R846" s="1592"/>
      <c r="S846" s="1592"/>
      <c r="T846" s="1592"/>
      <c r="U846" s="1592"/>
      <c r="V846" s="1593"/>
      <c r="W846" s="1480">
        <v>36300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 customHeight="1" x14ac:dyDescent="0.3">
      <c r="J847" s="45"/>
      <c r="K847" s="5"/>
      <c r="L847" s="5"/>
      <c r="M847" s="5"/>
      <c r="N847" s="5"/>
      <c r="O847" s="5"/>
      <c r="P847" s="5"/>
      <c r="Q847" s="5"/>
      <c r="R847" s="5"/>
      <c r="S847" s="5"/>
      <c r="T847" s="5"/>
      <c r="U847" s="5"/>
      <c r="V847" s="54" t="s">
        <v>342</v>
      </c>
      <c r="W847" s="1613">
        <f>SUM(W842:AC846)</f>
        <v>78900</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 customHeight="1" x14ac:dyDescent="0.25">
      <c r="AZ848" s="30"/>
      <c r="BA848" s="30"/>
      <c r="BB848" s="14"/>
      <c r="BC848" s="14"/>
      <c r="BD848" s="14"/>
      <c r="BE848" s="14"/>
      <c r="BF848" s="14"/>
      <c r="BG848" s="1626"/>
      <c r="BH848" s="1626"/>
      <c r="BI848" s="1626"/>
      <c r="BJ848" s="1626"/>
      <c r="BK848" s="1626"/>
      <c r="BL848" s="1626"/>
    </row>
    <row r="849" spans="3:55" ht="12.9" customHeight="1" x14ac:dyDescent="0.3">
      <c r="C849" s="2" t="s">
        <v>344</v>
      </c>
      <c r="J849" s="1448" t="s">
        <v>345</v>
      </c>
      <c r="K849" s="1449"/>
      <c r="L849" s="1449"/>
      <c r="M849" s="1449"/>
      <c r="N849" s="1449"/>
      <c r="O849" s="1449"/>
      <c r="P849" s="1449"/>
      <c r="Q849" s="1449"/>
      <c r="R849" s="1449"/>
      <c r="S849" s="1449"/>
      <c r="T849" s="1449"/>
      <c r="U849" s="1449"/>
      <c r="V849" s="1450"/>
      <c r="W849" s="1465">
        <v>111467</v>
      </c>
      <c r="X849" s="1466"/>
      <c r="Y849" s="1466"/>
      <c r="Z849" s="1466"/>
      <c r="AA849" s="1466"/>
      <c r="AB849" s="1466"/>
      <c r="AC849" s="1467"/>
      <c r="AD849" s="534"/>
      <c r="AZ849" s="30"/>
      <c r="BA849" s="30"/>
      <c r="BB849" s="14"/>
      <c r="BC849" s="14"/>
    </row>
    <row r="850" spans="3:55" ht="12.9" customHeight="1" x14ac:dyDescent="0.25">
      <c r="AD850" s="534"/>
      <c r="AZ850" s="30"/>
      <c r="BA850" s="30"/>
      <c r="BB850" s="14"/>
      <c r="BC850" s="14"/>
    </row>
    <row r="851" spans="3:55" ht="12.9" customHeight="1" x14ac:dyDescent="0.3">
      <c r="C851" s="2" t="s">
        <v>562</v>
      </c>
      <c r="J851" s="45" t="s">
        <v>352</v>
      </c>
      <c r="K851" s="5"/>
      <c r="L851" s="5"/>
      <c r="M851" s="5"/>
      <c r="N851" s="5"/>
      <c r="O851" s="5"/>
      <c r="P851" s="5"/>
      <c r="Q851" s="5"/>
      <c r="R851" s="5"/>
      <c r="S851" s="5"/>
      <c r="T851" s="5"/>
      <c r="U851" s="5"/>
      <c r="V851" s="46"/>
      <c r="W851" s="1649">
        <v>0</v>
      </c>
      <c r="X851" s="1649"/>
      <c r="Y851" s="1649"/>
      <c r="Z851" s="1649"/>
      <c r="AA851" s="1649"/>
      <c r="AB851" s="1649"/>
      <c r="AC851" s="1649"/>
      <c r="AZ851" s="1717"/>
      <c r="BA851" s="1717"/>
      <c r="BB851" s="14"/>
      <c r="BC851" s="14"/>
    </row>
    <row r="852" spans="3:55" ht="12.9" customHeight="1" x14ac:dyDescent="0.25">
      <c r="J852" s="45" t="s">
        <v>351</v>
      </c>
      <c r="K852" s="5"/>
      <c r="L852" s="5"/>
      <c r="M852" s="5"/>
      <c r="N852" s="5"/>
      <c r="O852" s="5"/>
      <c r="P852" s="5"/>
      <c r="Q852" s="5"/>
      <c r="R852" s="5"/>
      <c r="S852" s="5"/>
      <c r="T852" s="5"/>
      <c r="U852" s="5"/>
      <c r="V852" s="46"/>
      <c r="W852" s="1649">
        <v>10000</v>
      </c>
      <c r="X852" s="1649"/>
      <c r="Y852" s="1649"/>
      <c r="Z852" s="1649"/>
      <c r="AA852" s="1649"/>
      <c r="AB852" s="1649"/>
      <c r="AC852" s="1649"/>
      <c r="AZ852" s="30"/>
      <c r="BA852" s="30"/>
      <c r="BB852" s="14"/>
      <c r="BC852" s="14"/>
    </row>
    <row r="853" spans="3:55" ht="12.9" customHeight="1" x14ac:dyDescent="0.25">
      <c r="J853" s="45" t="s">
        <v>460</v>
      </c>
      <c r="K853" s="5"/>
      <c r="L853" s="5"/>
      <c r="M853" s="5"/>
      <c r="N853" s="5"/>
      <c r="O853" s="5"/>
      <c r="P853" s="5"/>
      <c r="Q853" s="5"/>
      <c r="R853" s="5"/>
      <c r="S853" s="5"/>
      <c r="T853" s="5"/>
      <c r="U853" s="5"/>
      <c r="V853" s="46"/>
      <c r="W853" s="1649">
        <v>69000</v>
      </c>
      <c r="X853" s="1649"/>
      <c r="Y853" s="1649"/>
      <c r="Z853" s="1649"/>
      <c r="AA853" s="1649"/>
      <c r="AB853" s="1649"/>
      <c r="AC853" s="1649"/>
      <c r="AZ853" s="30"/>
      <c r="BA853" s="30"/>
      <c r="BB853" s="14"/>
      <c r="BC853" s="14"/>
    </row>
    <row r="854" spans="3:55" ht="12.9" customHeight="1" x14ac:dyDescent="0.25">
      <c r="J854" s="62" t="s">
        <v>621</v>
      </c>
      <c r="K854" s="5"/>
      <c r="L854" s="5"/>
      <c r="M854" s="5"/>
      <c r="N854" s="5"/>
      <c r="O854" s="5"/>
      <c r="P854" s="5"/>
      <c r="Q854" s="5"/>
      <c r="R854" s="5"/>
      <c r="S854" s="5"/>
      <c r="T854" s="5"/>
      <c r="U854" s="5"/>
      <c r="V854" s="46"/>
      <c r="W854" s="1649">
        <v>38000</v>
      </c>
      <c r="X854" s="1649"/>
      <c r="Y854" s="1649"/>
      <c r="Z854" s="1649"/>
      <c r="AA854" s="1649"/>
      <c r="AB854" s="1649"/>
      <c r="AC854" s="1649"/>
      <c r="AZ854" s="34"/>
      <c r="BA854" s="34"/>
      <c r="BB854" s="34"/>
      <c r="BC854" s="34"/>
    </row>
    <row r="855" spans="3:55" ht="12.9" customHeight="1" x14ac:dyDescent="0.3">
      <c r="J855" s="63"/>
      <c r="K855" s="48"/>
      <c r="L855" s="48"/>
      <c r="M855" s="48"/>
      <c r="N855" s="48"/>
      <c r="O855" s="48"/>
      <c r="P855" s="48"/>
      <c r="Q855" s="48"/>
      <c r="R855" s="48"/>
      <c r="S855" s="48"/>
      <c r="T855" s="48"/>
      <c r="U855" s="48"/>
      <c r="V855" s="54" t="s">
        <v>272</v>
      </c>
      <c r="W855" s="1704">
        <f>SUM(W851:AC854)</f>
        <v>117000</v>
      </c>
      <c r="X855" s="1704"/>
      <c r="Y855" s="1704"/>
      <c r="Z855" s="1704"/>
      <c r="AA855" s="1704"/>
      <c r="AB855" s="1704"/>
      <c r="AC855" s="1704"/>
      <c r="AZ855" s="34"/>
      <c r="BA855" s="34"/>
      <c r="BB855" s="34"/>
      <c r="BC855" s="34"/>
    </row>
    <row r="856" spans="3:55" ht="12.9" customHeight="1" x14ac:dyDescent="0.25">
      <c r="AZ856" s="34"/>
      <c r="BA856" s="34"/>
      <c r="BB856" s="34"/>
      <c r="BC856" s="34"/>
    </row>
    <row r="857" spans="3:55" ht="12.9" customHeight="1" x14ac:dyDescent="0.3">
      <c r="C857" s="2" t="s">
        <v>346</v>
      </c>
      <c r="J857" s="45" t="s">
        <v>620</v>
      </c>
      <c r="K857" s="5"/>
      <c r="L857" s="5"/>
      <c r="M857" s="5"/>
      <c r="N857" s="5"/>
      <c r="O857" s="5"/>
      <c r="P857" s="5"/>
      <c r="Q857" s="5"/>
      <c r="R857" s="5"/>
      <c r="S857" s="5"/>
      <c r="T857" s="5"/>
      <c r="U857" s="5"/>
      <c r="V857" s="46"/>
      <c r="W857" s="1628">
        <v>142000</v>
      </c>
      <c r="X857" s="1629"/>
      <c r="Y857" s="1629"/>
      <c r="Z857" s="1629"/>
      <c r="AA857" s="1629"/>
      <c r="AB857" s="1629"/>
      <c r="AC857" s="1630"/>
      <c r="AD857" s="529"/>
      <c r="AZ857" s="34"/>
      <c r="BA857" s="34"/>
      <c r="BB857" s="34"/>
      <c r="BC857" s="34"/>
    </row>
    <row r="858" spans="3:55" ht="12.9" customHeight="1" x14ac:dyDescent="0.3">
      <c r="C858" s="2" t="s">
        <v>347</v>
      </c>
      <c r="J858" s="121" t="s">
        <v>1656</v>
      </c>
      <c r="K858" s="5"/>
      <c r="L858" s="5"/>
      <c r="M858" s="5"/>
      <c r="N858" s="5"/>
      <c r="O858" s="5"/>
      <c r="P858" s="5"/>
      <c r="Q858" s="5"/>
      <c r="R858" s="5"/>
      <c r="S858" s="5"/>
      <c r="T858" s="1708">
        <v>2</v>
      </c>
      <c r="U858" s="1695"/>
      <c r="V858" s="1709"/>
      <c r="W858" s="875"/>
      <c r="X858" s="876"/>
      <c r="Y858" s="876"/>
      <c r="Z858" s="876"/>
      <c r="AA858" s="876"/>
      <c r="AB858" s="876"/>
      <c r="AC858" s="877"/>
      <c r="AD858" s="529"/>
      <c r="AZ858" s="34"/>
      <c r="BA858" s="34"/>
      <c r="BB858" s="34"/>
      <c r="BC858" s="34"/>
    </row>
    <row r="859" spans="3:55" ht="12.9" customHeight="1" x14ac:dyDescent="0.3">
      <c r="C859" s="2"/>
      <c r="J859" s="45" t="s">
        <v>619</v>
      </c>
      <c r="K859" s="5"/>
      <c r="L859" s="5"/>
      <c r="M859" s="5"/>
      <c r="N859" s="5"/>
      <c r="O859" s="5"/>
      <c r="P859" s="5"/>
      <c r="Q859" s="5"/>
      <c r="R859" s="5"/>
      <c r="S859" s="5"/>
      <c r="T859" s="5"/>
      <c r="U859" s="5"/>
      <c r="V859" s="46"/>
      <c r="W859" s="1628">
        <v>62000</v>
      </c>
      <c r="X859" s="1629"/>
      <c r="Y859" s="1629"/>
      <c r="Z859" s="1629"/>
      <c r="AA859" s="1629"/>
      <c r="AB859" s="1629"/>
      <c r="AC859" s="1630"/>
      <c r="AD859" s="534"/>
      <c r="AZ859" s="34"/>
      <c r="BA859" s="34"/>
      <c r="BB859" s="34"/>
      <c r="BC859" s="34"/>
    </row>
    <row r="860" spans="3:55" ht="12.9" customHeight="1" x14ac:dyDescent="0.3">
      <c r="C860" s="2"/>
      <c r="J860" s="121" t="s">
        <v>1657</v>
      </c>
      <c r="K860" s="5"/>
      <c r="L860" s="5"/>
      <c r="M860" s="5"/>
      <c r="N860" s="5"/>
      <c r="O860" s="5"/>
      <c r="P860" s="5"/>
      <c r="Q860" s="5"/>
      <c r="R860" s="5"/>
      <c r="S860" s="5"/>
      <c r="T860" s="1708">
        <v>1</v>
      </c>
      <c r="U860" s="1695"/>
      <c r="V860" s="1709"/>
      <c r="W860" s="875"/>
      <c r="X860" s="876"/>
      <c r="Y860" s="876"/>
      <c r="Z860" s="876"/>
      <c r="AA860" s="876"/>
      <c r="AB860" s="876"/>
      <c r="AC860" s="877"/>
      <c r="AD860" s="534"/>
      <c r="AZ860" s="34"/>
      <c r="BA860" s="34"/>
      <c r="BB860" s="34"/>
      <c r="BC860" s="34"/>
    </row>
    <row r="861" spans="3:55" ht="12.9" customHeight="1" x14ac:dyDescent="0.25">
      <c r="J861" s="45" t="s">
        <v>170</v>
      </c>
      <c r="K861" s="5"/>
      <c r="L861" s="5"/>
      <c r="M861" s="1535" t="s">
        <v>2743</v>
      </c>
      <c r="N861" s="1592"/>
      <c r="O861" s="1592"/>
      <c r="P861" s="1592"/>
      <c r="Q861" s="1592"/>
      <c r="R861" s="1592"/>
      <c r="S861" s="1592"/>
      <c r="T861" s="1592"/>
      <c r="U861" s="1592"/>
      <c r="V861" s="1593"/>
      <c r="W861" s="1628">
        <v>40000</v>
      </c>
      <c r="X861" s="1629"/>
      <c r="Y861" s="1629"/>
      <c r="Z861" s="1629"/>
      <c r="AA861" s="1629"/>
      <c r="AB861" s="1629"/>
      <c r="AC861" s="1630"/>
      <c r="AD861" s="529"/>
      <c r="AU861" s="14"/>
      <c r="AZ861" s="34"/>
      <c r="BA861" s="34"/>
      <c r="BB861" s="34"/>
      <c r="BC861" s="34"/>
    </row>
    <row r="862" spans="3:55" ht="12.9" customHeight="1" x14ac:dyDescent="0.3">
      <c r="J862" s="45"/>
      <c r="K862" s="5"/>
      <c r="L862" s="5"/>
      <c r="M862" s="5"/>
      <c r="N862" s="5"/>
      <c r="O862" s="5"/>
      <c r="P862" s="5"/>
      <c r="Q862" s="5"/>
      <c r="R862" s="5"/>
      <c r="S862" s="5"/>
      <c r="T862" s="5"/>
      <c r="U862" s="5"/>
      <c r="V862" s="54" t="s">
        <v>273</v>
      </c>
      <c r="W862" s="1710">
        <f>SUM(W857:AC861)</f>
        <v>244000</v>
      </c>
      <c r="X862" s="1711"/>
      <c r="Y862" s="1711"/>
      <c r="Z862" s="1711"/>
      <c r="AA862" s="1711"/>
      <c r="AB862" s="1711"/>
      <c r="AC862" s="1712"/>
      <c r="AD862" s="534"/>
      <c r="AU862" s="14"/>
      <c r="AZ862" s="34"/>
      <c r="BA862" s="34"/>
      <c r="BB862" s="34"/>
      <c r="BC862" s="34"/>
    </row>
    <row r="863" spans="3:55" ht="12.9" customHeight="1" x14ac:dyDescent="0.3">
      <c r="J863" s="45"/>
      <c r="K863" s="5"/>
      <c r="L863" s="5"/>
      <c r="M863" s="5"/>
      <c r="N863" s="5"/>
      <c r="O863" s="5"/>
      <c r="P863" s="5"/>
      <c r="Q863" s="5"/>
      <c r="R863" s="5"/>
      <c r="S863" s="5"/>
      <c r="T863" s="5"/>
      <c r="U863" s="5"/>
      <c r="V863" s="54" t="s">
        <v>274</v>
      </c>
      <c r="W863" s="1628">
        <v>133400</v>
      </c>
      <c r="X863" s="1629"/>
      <c r="Y863" s="1629"/>
      <c r="Z863" s="1629"/>
      <c r="AA863" s="1629"/>
      <c r="AB863" s="1629"/>
      <c r="AC863" s="1630"/>
      <c r="AU863" s="14"/>
      <c r="AZ863" s="34"/>
      <c r="BA863" s="34"/>
      <c r="BB863" s="34"/>
      <c r="BC863" s="34"/>
    </row>
    <row r="864" spans="3:55" ht="12.9" customHeight="1" x14ac:dyDescent="0.3">
      <c r="J864" s="513"/>
      <c r="AU864" s="14"/>
      <c r="AZ864" s="34"/>
      <c r="BA864" s="34"/>
      <c r="BB864" s="34"/>
      <c r="BC864" s="34"/>
    </row>
    <row r="865" spans="3:55" ht="12.9" customHeight="1" x14ac:dyDescent="0.3">
      <c r="C865" s="2" t="s">
        <v>390</v>
      </c>
      <c r="J865" s="45" t="s">
        <v>618</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 customHeight="1" x14ac:dyDescent="0.25">
      <c r="J866" s="45" t="s">
        <v>523</v>
      </c>
      <c r="K866" s="5"/>
      <c r="L866" s="5"/>
      <c r="M866" s="5"/>
      <c r="N866" s="5"/>
      <c r="O866" s="5"/>
      <c r="P866" s="5"/>
      <c r="Q866" s="5"/>
      <c r="R866" s="5"/>
      <c r="S866" s="5"/>
      <c r="T866" s="5"/>
      <c r="U866" s="5"/>
      <c r="V866" s="46"/>
      <c r="W866" s="1480">
        <v>41000</v>
      </c>
      <c r="X866" s="1480"/>
      <c r="Y866" s="1480"/>
      <c r="Z866" s="1480"/>
      <c r="AA866" s="1480"/>
      <c r="AB866" s="1480"/>
      <c r="AC866" s="1480"/>
      <c r="AU866" s="4"/>
      <c r="AZ866" s="34"/>
      <c r="BA866" s="34"/>
      <c r="BB866" s="34"/>
      <c r="BC866" s="34"/>
    </row>
    <row r="867" spans="3:55" ht="12.9" customHeight="1" x14ac:dyDescent="0.25">
      <c r="J867" s="45" t="s">
        <v>522</v>
      </c>
      <c r="K867" s="5"/>
      <c r="L867" s="5"/>
      <c r="M867" s="5"/>
      <c r="N867" s="5"/>
      <c r="O867" s="5"/>
      <c r="P867" s="5"/>
      <c r="Q867" s="5"/>
      <c r="R867" s="5"/>
      <c r="S867" s="5"/>
      <c r="T867" s="5"/>
      <c r="U867" s="5"/>
      <c r="V867" s="46"/>
      <c r="W867" s="1480">
        <v>12000</v>
      </c>
      <c r="X867" s="1480"/>
      <c r="Y867" s="1480"/>
      <c r="Z867" s="1480"/>
      <c r="AA867" s="1480"/>
      <c r="AB867" s="1480"/>
      <c r="AC867" s="1480"/>
      <c r="AU867" s="4"/>
      <c r="AZ867" s="34"/>
      <c r="BA867" s="34"/>
      <c r="BB867" s="34"/>
      <c r="BC867" s="34"/>
    </row>
    <row r="868" spans="3:55" ht="12.9" customHeight="1" x14ac:dyDescent="0.25">
      <c r="J868" s="45" t="s">
        <v>521</v>
      </c>
      <c r="K868" s="5"/>
      <c r="L868" s="5"/>
      <c r="M868" s="5"/>
      <c r="N868" s="5"/>
      <c r="O868" s="5"/>
      <c r="P868" s="5"/>
      <c r="Q868" s="5"/>
      <c r="R868" s="5"/>
      <c r="S868" s="5"/>
      <c r="T868" s="5"/>
      <c r="U868" s="5"/>
      <c r="V868" s="46"/>
      <c r="W868" s="1480">
        <v>5700</v>
      </c>
      <c r="X868" s="1480"/>
      <c r="Y868" s="1480"/>
      <c r="Z868" s="1480"/>
      <c r="AA868" s="1480"/>
      <c r="AB868" s="1480"/>
      <c r="AC868" s="1480"/>
      <c r="AU868" s="4"/>
      <c r="AZ868" s="34"/>
      <c r="BA868" s="34"/>
      <c r="BB868" s="34"/>
      <c r="BC868" s="34"/>
    </row>
    <row r="869" spans="3:55" ht="12.9" customHeight="1" x14ac:dyDescent="0.25">
      <c r="J869" s="45" t="s">
        <v>520</v>
      </c>
      <c r="K869" s="5"/>
      <c r="L869" s="5"/>
      <c r="M869" s="5"/>
      <c r="N869" s="5"/>
      <c r="O869" s="5"/>
      <c r="P869" s="5"/>
      <c r="Q869" s="5"/>
      <c r="R869" s="5"/>
      <c r="S869" s="5"/>
      <c r="T869" s="5"/>
      <c r="U869" s="5"/>
      <c r="V869" s="46"/>
      <c r="W869" s="1480">
        <v>29600</v>
      </c>
      <c r="X869" s="1480"/>
      <c r="Y869" s="1480"/>
      <c r="Z869" s="1480"/>
      <c r="AA869" s="1480"/>
      <c r="AB869" s="1480"/>
      <c r="AC869" s="1480"/>
      <c r="AU869" s="4"/>
      <c r="AZ869" s="34"/>
      <c r="BA869" s="34"/>
      <c r="BB869" s="34"/>
      <c r="BC869" s="34"/>
    </row>
    <row r="870" spans="3:55" ht="12.9" customHeight="1" x14ac:dyDescent="0.25">
      <c r="J870" s="45" t="s">
        <v>519</v>
      </c>
      <c r="K870" s="5"/>
      <c r="L870" s="5"/>
      <c r="M870" s="5"/>
      <c r="N870" s="5"/>
      <c r="O870" s="5"/>
      <c r="P870" s="5"/>
      <c r="Q870" s="5"/>
      <c r="R870" s="5"/>
      <c r="S870" s="5"/>
      <c r="T870" s="5"/>
      <c r="U870" s="5"/>
      <c r="V870" s="46"/>
      <c r="W870" s="1480">
        <v>14500</v>
      </c>
      <c r="X870" s="1480"/>
      <c r="Y870" s="1480"/>
      <c r="Z870" s="1480"/>
      <c r="AA870" s="1480"/>
      <c r="AB870" s="1480"/>
      <c r="AC870" s="1480"/>
      <c r="AU870" s="4"/>
      <c r="AZ870" s="34"/>
      <c r="BA870" s="34"/>
      <c r="BB870" s="34"/>
      <c r="BC870" s="34"/>
    </row>
    <row r="871" spans="3:55" ht="12.9" customHeight="1" x14ac:dyDescent="0.25">
      <c r="J871" s="45" t="s">
        <v>170</v>
      </c>
      <c r="K871" s="5"/>
      <c r="L871" s="5"/>
      <c r="M871" s="1535" t="s">
        <v>2744</v>
      </c>
      <c r="N871" s="1592"/>
      <c r="O871" s="1592"/>
      <c r="P871" s="1592"/>
      <c r="Q871" s="1592"/>
      <c r="R871" s="1592"/>
      <c r="S871" s="1592"/>
      <c r="T871" s="1592"/>
      <c r="U871" s="1592"/>
      <c r="V871" s="1593"/>
      <c r="W871" s="1480">
        <v>22500</v>
      </c>
      <c r="X871" s="1480"/>
      <c r="Y871" s="1480"/>
      <c r="Z871" s="1480"/>
      <c r="AA871" s="1480"/>
      <c r="AB871" s="1480"/>
      <c r="AC871" s="1480"/>
      <c r="AD871" s="534"/>
      <c r="AU871" s="4"/>
      <c r="AV871" s="14"/>
      <c r="AW871" s="14"/>
      <c r="AX871" s="14"/>
      <c r="AY871" s="14"/>
      <c r="AZ871" s="34"/>
      <c r="BA871" s="34"/>
      <c r="BB871" s="34"/>
      <c r="BC871" s="34"/>
    </row>
    <row r="872" spans="3:55" ht="12.9" customHeight="1" x14ac:dyDescent="0.3">
      <c r="J872" s="45"/>
      <c r="K872" s="5"/>
      <c r="L872" s="5"/>
      <c r="M872" s="5"/>
      <c r="N872" s="5"/>
      <c r="O872" s="5"/>
      <c r="P872" s="5"/>
      <c r="Q872" s="5"/>
      <c r="R872" s="5"/>
      <c r="S872" s="5"/>
      <c r="T872" s="5"/>
      <c r="U872" s="5"/>
      <c r="V872" s="54" t="s">
        <v>275</v>
      </c>
      <c r="W872" s="1702">
        <f>SUM(W865:AC871)</f>
        <v>125300</v>
      </c>
      <c r="X872" s="1702"/>
      <c r="Y872" s="1702"/>
      <c r="Z872" s="1702"/>
      <c r="AA872" s="1702"/>
      <c r="AB872" s="1702"/>
      <c r="AC872" s="1702"/>
      <c r="AU872" s="4"/>
      <c r="AV872" s="14"/>
      <c r="AW872" s="14"/>
      <c r="AX872" s="14"/>
      <c r="AY872" s="14"/>
      <c r="AZ872" s="34"/>
      <c r="BA872" s="34"/>
      <c r="BB872" s="34"/>
      <c r="BC872" s="34"/>
    </row>
    <row r="873" spans="3:55" ht="12.9" customHeight="1" x14ac:dyDescent="0.25">
      <c r="AU873" s="4"/>
      <c r="AV873" s="14"/>
      <c r="AW873" s="14"/>
      <c r="AX873" s="14"/>
      <c r="AY873" s="14"/>
      <c r="AZ873" s="34"/>
      <c r="BA873" s="34"/>
      <c r="BB873" s="34"/>
      <c r="BC873" s="34"/>
    </row>
    <row r="874" spans="3:55" ht="12.9" customHeight="1" x14ac:dyDescent="0.3">
      <c r="C874" s="2" t="s">
        <v>1244</v>
      </c>
      <c r="J874" s="45" t="s">
        <v>170</v>
      </c>
      <c r="K874" s="5"/>
      <c r="L874" s="5"/>
      <c r="M874" s="1535" t="s">
        <v>2745</v>
      </c>
      <c r="N874" s="1592"/>
      <c r="O874" s="1592"/>
      <c r="P874" s="1592"/>
      <c r="Q874" s="1592"/>
      <c r="R874" s="1592"/>
      <c r="S874" s="1592"/>
      <c r="T874" s="1592"/>
      <c r="U874" s="1592"/>
      <c r="V874" s="1593"/>
      <c r="W874" s="1465">
        <v>37500</v>
      </c>
      <c r="X874" s="1466"/>
      <c r="Y874" s="1466"/>
      <c r="Z874" s="1466"/>
      <c r="AA874" s="1466"/>
      <c r="AB874" s="1466"/>
      <c r="AC874" s="1467"/>
      <c r="AD874" s="534"/>
      <c r="AV874" s="14"/>
      <c r="AW874" s="14"/>
      <c r="AX874" s="14"/>
      <c r="AY874" s="14"/>
      <c r="AZ874" s="34"/>
      <c r="BA874" s="34"/>
      <c r="BB874" s="34"/>
      <c r="BC874" s="34"/>
    </row>
    <row r="875" spans="3:55" ht="12.9" customHeight="1" x14ac:dyDescent="0.3">
      <c r="C875" s="2" t="s">
        <v>1245</v>
      </c>
      <c r="J875" s="45" t="s">
        <v>170</v>
      </c>
      <c r="K875" s="5"/>
      <c r="L875" s="5"/>
      <c r="M875" s="1535" t="s">
        <v>2746</v>
      </c>
      <c r="N875" s="1592"/>
      <c r="O875" s="1592"/>
      <c r="P875" s="1592"/>
      <c r="Q875" s="1592"/>
      <c r="R875" s="1592"/>
      <c r="S875" s="1592"/>
      <c r="T875" s="1592"/>
      <c r="U875" s="1592"/>
      <c r="V875" s="1593"/>
      <c r="W875" s="1465">
        <v>6200</v>
      </c>
      <c r="X875" s="1466"/>
      <c r="Y875" s="1466"/>
      <c r="Z875" s="1466"/>
      <c r="AA875" s="1466"/>
      <c r="AB875" s="1466"/>
      <c r="AC875" s="1467"/>
      <c r="AD875" s="534"/>
      <c r="AV875" s="14"/>
      <c r="AW875" s="14"/>
      <c r="AX875" s="14"/>
      <c r="AY875" s="14"/>
      <c r="AZ875" s="34"/>
      <c r="BA875" s="34"/>
      <c r="BB875" s="34"/>
      <c r="BC875" s="34"/>
    </row>
    <row r="876" spans="3:55" ht="12.9" customHeight="1" x14ac:dyDescent="0.25">
      <c r="J876" s="45" t="s">
        <v>170</v>
      </c>
      <c r="K876" s="5"/>
      <c r="L876" s="5"/>
      <c r="M876" s="1535" t="s">
        <v>2747</v>
      </c>
      <c r="N876" s="1592"/>
      <c r="O876" s="1592"/>
      <c r="P876" s="1592"/>
      <c r="Q876" s="1592"/>
      <c r="R876" s="1592"/>
      <c r="S876" s="1592"/>
      <c r="T876" s="1592"/>
      <c r="U876" s="1592"/>
      <c r="V876" s="1593"/>
      <c r="W876" s="1465">
        <v>75750</v>
      </c>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 customHeight="1" x14ac:dyDescent="0.25">
      <c r="J877" s="45" t="s">
        <v>170</v>
      </c>
      <c r="K877" s="5"/>
      <c r="L877" s="5"/>
      <c r="M877" s="1535" t="s">
        <v>334</v>
      </c>
      <c r="N877" s="1592"/>
      <c r="O877" s="1592"/>
      <c r="P877" s="1592"/>
      <c r="Q877" s="1592"/>
      <c r="R877" s="1592"/>
      <c r="S877" s="1592"/>
      <c r="T877" s="1592"/>
      <c r="U877" s="1592"/>
      <c r="V877" s="1593"/>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 customHeight="1" x14ac:dyDescent="0.25">
      <c r="J878" s="45" t="s">
        <v>170</v>
      </c>
      <c r="K878" s="5"/>
      <c r="L878" s="5"/>
      <c r="M878" s="1535" t="s">
        <v>334</v>
      </c>
      <c r="N878" s="1592"/>
      <c r="O878" s="1592"/>
      <c r="P878" s="1592"/>
      <c r="Q878" s="1592"/>
      <c r="R878" s="1592"/>
      <c r="S878" s="1592"/>
      <c r="T878" s="1592"/>
      <c r="U878" s="1592"/>
      <c r="V878" s="1593"/>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 customHeight="1" x14ac:dyDescent="0.3">
      <c r="J879" s="45"/>
      <c r="K879" s="5"/>
      <c r="L879" s="5"/>
      <c r="M879" s="5"/>
      <c r="N879" s="5"/>
      <c r="O879" s="5"/>
      <c r="P879" s="5"/>
      <c r="Q879" s="5"/>
      <c r="R879" s="5"/>
      <c r="S879" s="5"/>
      <c r="T879" s="5"/>
      <c r="U879" s="5"/>
      <c r="V879" s="54" t="s">
        <v>276</v>
      </c>
      <c r="W879" s="1613">
        <f>SUM(W874:AC878)</f>
        <v>119450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 customHeight="1" x14ac:dyDescent="0.3">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x14ac:dyDescent="0.3">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x14ac:dyDescent="0.3">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x14ac:dyDescent="0.3">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4">
        <f>W847+W855+W862+W863+W872+W879+W849</f>
        <v>929517</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 customHeight="1" x14ac:dyDescent="0.3">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101</v>
      </c>
      <c r="AD884" s="1713"/>
      <c r="AE884" s="1713"/>
      <c r="AF884" s="1713"/>
      <c r="AG884" s="1713"/>
      <c r="AH884" s="1714"/>
      <c r="AL884" s="4"/>
      <c r="AM884" s="4"/>
      <c r="AN884" s="4"/>
      <c r="AO884" s="4"/>
      <c r="AP884" s="4"/>
      <c r="AQ884" s="4"/>
      <c r="AR884" s="4"/>
      <c r="AS884" s="4"/>
      <c r="AT884" s="4"/>
      <c r="AZ884" s="34"/>
      <c r="BA884" s="34"/>
      <c r="BB884" s="34"/>
      <c r="BC884" s="34"/>
    </row>
    <row r="885" spans="3:55" ht="12.9" customHeight="1" x14ac:dyDescent="0.3">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2">
        <f>IF(ISERROR((ROUNDDOWN(AC883/AC884,0))),0,(ROUNDDOWN(AC883/AC884,0)))</f>
        <v>9203</v>
      </c>
      <c r="AD885" s="1702"/>
      <c r="AE885" s="1702"/>
      <c r="AF885" s="1702"/>
      <c r="AG885" s="1702"/>
      <c r="AH885" s="1702"/>
      <c r="AL885" s="4"/>
      <c r="AM885" s="4"/>
      <c r="AN885" s="4"/>
      <c r="AO885" s="4"/>
      <c r="AP885" s="4"/>
      <c r="AQ885" s="4"/>
      <c r="AR885" s="4"/>
      <c r="AS885" s="4"/>
      <c r="AT885" s="4"/>
      <c r="AZ885" s="34"/>
      <c r="BA885" s="34"/>
      <c r="BB885" s="34"/>
      <c r="BC885" s="34"/>
    </row>
    <row r="886" spans="3:55" ht="12.9" customHeight="1" x14ac:dyDescent="0.3">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Budget'!C75</f>
        <v>517775</v>
      </c>
      <c r="AD886" s="1716"/>
      <c r="AE886" s="1716"/>
      <c r="AF886" s="1716"/>
      <c r="AG886" s="1716"/>
      <c r="AH886" s="1716"/>
      <c r="AL886" s="4"/>
      <c r="AM886" s="4"/>
      <c r="AN886" s="4"/>
      <c r="AO886" s="4"/>
      <c r="AP886" s="4"/>
      <c r="AQ886" s="4"/>
      <c r="AR886" s="4"/>
      <c r="AS886" s="4"/>
      <c r="AT886" s="4"/>
      <c r="AZ886" s="34"/>
      <c r="BA886" s="34"/>
      <c r="BB886" s="34"/>
      <c r="BC886" s="34"/>
    </row>
    <row r="887" spans="3:55" ht="12.9" customHeight="1" x14ac:dyDescent="0.3">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 customHeight="1" x14ac:dyDescent="0.3">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26000</v>
      </c>
      <c r="AD888" s="1466"/>
      <c r="AE888" s="1466"/>
      <c r="AF888" s="1466"/>
      <c r="AG888" s="1466"/>
      <c r="AH888" s="1467"/>
      <c r="AL888" s="4"/>
      <c r="AM888" s="4"/>
      <c r="AN888" s="4"/>
      <c r="AO888" s="4"/>
      <c r="AP888" s="4"/>
      <c r="AQ888" s="4"/>
      <c r="AR888" s="4"/>
      <c r="AS888" s="4"/>
      <c r="AT888" s="4"/>
      <c r="AZ888" s="34"/>
      <c r="BA888" s="34"/>
      <c r="BB888" s="34"/>
      <c r="BC888" s="34"/>
    </row>
    <row r="889" spans="3:55" ht="12.9" customHeight="1" x14ac:dyDescent="0.3">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25250</v>
      </c>
      <c r="AD889" s="1466"/>
      <c r="AE889" s="1466"/>
      <c r="AF889" s="1466"/>
      <c r="AG889" s="1466"/>
      <c r="AH889" s="1467"/>
      <c r="AZ889" s="34"/>
      <c r="BA889" s="34"/>
      <c r="BB889" s="34"/>
      <c r="BC889" s="34"/>
    </row>
    <row r="890" spans="3:55" ht="12.9" customHeight="1" x14ac:dyDescent="0.3">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v>4000</v>
      </c>
      <c r="AD890" s="1475"/>
      <c r="AE890" s="1475"/>
      <c r="AF890" s="1475"/>
      <c r="AG890" s="1475"/>
      <c r="AH890" s="1476"/>
      <c r="AZ890" s="34"/>
      <c r="BA890" s="34"/>
      <c r="BB890" s="34"/>
      <c r="BC890" s="34"/>
    </row>
    <row r="891" spans="3:55" ht="12.9" customHeight="1" x14ac:dyDescent="0.3">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12500</v>
      </c>
      <c r="AD891" s="1466"/>
      <c r="AE891" s="1466"/>
      <c r="AF891" s="1466"/>
      <c r="AG891" s="1466"/>
      <c r="AH891" s="1467"/>
      <c r="AZ891" s="34"/>
      <c r="BA891" s="34"/>
      <c r="BB891" s="34"/>
      <c r="BC891" s="34"/>
    </row>
    <row r="892" spans="3:55" ht="12.9" hidden="1" customHeight="1" x14ac:dyDescent="0.3">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 customHeight="1" x14ac:dyDescent="0.3">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 customHeight="1" x14ac:dyDescent="0.3">
      <c r="C894" s="1631" t="s">
        <v>2748</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80">
        <v>23000</v>
      </c>
      <c r="AD894" s="1480"/>
      <c r="AE894" s="1480"/>
      <c r="AF894" s="1480"/>
      <c r="AG894" s="1480"/>
      <c r="AH894" s="1480"/>
      <c r="AZ894" s="34"/>
      <c r="BA894" s="34"/>
      <c r="BB894" s="34"/>
      <c r="BC894" s="34"/>
    </row>
    <row r="895" spans="3:55" ht="12.9" customHeight="1" x14ac:dyDescent="0.3">
      <c r="C895" s="1631" t="s">
        <v>957</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80"/>
      <c r="AD895" s="1480"/>
      <c r="AE895" s="1480"/>
      <c r="AF895" s="1480"/>
      <c r="AG895" s="1480"/>
      <c r="AH895" s="1480"/>
      <c r="AU895" s="95"/>
      <c r="AZ895" s="34"/>
      <c r="BA895" s="34"/>
      <c r="BB895" s="34"/>
      <c r="BC895" s="34"/>
    </row>
    <row r="896" spans="3:55" ht="12.9" customHeight="1" x14ac:dyDescent="0.3">
      <c r="E896" s="513"/>
      <c r="AB896" s="56"/>
      <c r="AC896" s="123"/>
      <c r="AD896" s="123"/>
      <c r="AE896" s="123"/>
      <c r="AF896" s="123"/>
      <c r="AG896" s="123"/>
      <c r="AH896" s="123"/>
      <c r="AU896" s="95"/>
      <c r="AZ896" s="34"/>
      <c r="BA896" s="34"/>
      <c r="BB896" s="34"/>
      <c r="BC896" s="34"/>
    </row>
    <row r="897" spans="1:58" ht="12.9" customHeight="1" x14ac:dyDescent="0.3">
      <c r="A897" s="2" t="s">
        <v>614</v>
      </c>
      <c r="C897" s="2" t="s">
        <v>237</v>
      </c>
      <c r="X897" s="12"/>
      <c r="Y897" s="12"/>
      <c r="Z897" s="12"/>
      <c r="AA897" s="12"/>
      <c r="AB897" s="12"/>
      <c r="AC897" s="12"/>
      <c r="AD897" s="12"/>
      <c r="AU897" s="95"/>
      <c r="AZ897" s="34"/>
      <c r="BB897" s="30"/>
      <c r="BC897" s="30"/>
    </row>
    <row r="898" spans="1:58" ht="12.9" customHeight="1" x14ac:dyDescent="0.25">
      <c r="X898" s="12"/>
      <c r="Y898" s="12"/>
      <c r="Z898" s="12"/>
      <c r="AA898" s="12"/>
      <c r="AB898" s="12"/>
      <c r="AC898" s="12"/>
      <c r="AD898" s="12"/>
      <c r="AF898" s="534"/>
      <c r="AG898" s="180"/>
      <c r="AH898" s="180"/>
      <c r="AI898" s="180"/>
      <c r="AU898" s="95"/>
      <c r="AZ898" s="34"/>
      <c r="BB898" s="30"/>
      <c r="BC898" s="30"/>
      <c r="BD898" s="14"/>
      <c r="BE898" s="14"/>
      <c r="BF898" s="14"/>
    </row>
    <row r="899" spans="1:58" ht="12.9" customHeight="1" x14ac:dyDescent="0.3">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7"/>
      <c r="BE899" s="1627"/>
      <c r="BF899" s="14"/>
    </row>
    <row r="900" spans="1:58" ht="12.9" customHeight="1" x14ac:dyDescent="0.25">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7"/>
      <c r="BE900" s="1627"/>
      <c r="BF900" s="14"/>
    </row>
    <row r="901" spans="1:58" ht="12.9" customHeight="1" x14ac:dyDescent="0.25">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6"/>
      <c r="BE901" s="1626"/>
      <c r="BF901" s="14"/>
    </row>
    <row r="902" spans="1:58" ht="12.9" customHeight="1" x14ac:dyDescent="0.25">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7"/>
      <c r="BD902" s="1626"/>
      <c r="BE902" s="1626"/>
      <c r="BF902" s="14"/>
    </row>
    <row r="903" spans="1:58" ht="12.9" customHeight="1" x14ac:dyDescent="0.3">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2.9" customHeight="1" x14ac:dyDescent="0.35">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2.9" customHeight="1" x14ac:dyDescent="0.35">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2.9" customHeight="1" x14ac:dyDescent="0.35">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2.9" customHeight="1" x14ac:dyDescent="0.35">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2.9" customHeight="1" x14ac:dyDescent="0.35">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2.9" customHeight="1" x14ac:dyDescent="0.25">
      <c r="AZ909" s="34"/>
      <c r="BB909" s="30"/>
      <c r="BC909" s="817"/>
    </row>
    <row r="910" spans="1:58" ht="12.9" customHeight="1" x14ac:dyDescent="0.25">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7"/>
      <c r="BE910" s="1626"/>
      <c r="BF910" s="912"/>
    </row>
    <row r="911" spans="1:58" ht="12.9" customHeight="1" x14ac:dyDescent="0.25">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 customHeight="1" x14ac:dyDescent="0.25">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x14ac:dyDescent="0.3">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x14ac:dyDescent="0.25">
      <c r="AZ914" s="34"/>
      <c r="BA914" s="34"/>
      <c r="BB914" s="34"/>
      <c r="BC914" s="34"/>
    </row>
    <row r="915" spans="1:58" ht="12.9" customHeight="1" x14ac:dyDescent="0.3">
      <c r="F915" s="1646" t="s">
        <v>793</v>
      </c>
      <c r="G915" s="1647"/>
      <c r="H915" s="1647"/>
      <c r="I915" s="1647"/>
      <c r="J915" s="1647"/>
      <c r="K915" s="1647"/>
      <c r="L915" s="1647"/>
      <c r="M915" s="1647"/>
      <c r="N915" s="1647"/>
      <c r="O915" s="1647"/>
      <c r="P915" s="1647"/>
      <c r="Q915" s="1647"/>
      <c r="R915" s="1647"/>
      <c r="S915" s="1647"/>
      <c r="T915" s="1648"/>
      <c r="U915" s="1583" t="s">
        <v>31</v>
      </c>
      <c r="V915" s="1584"/>
      <c r="W915" s="1584"/>
      <c r="X915" s="1584"/>
      <c r="Y915" s="1584"/>
      <c r="Z915" s="1584"/>
      <c r="AA915" s="43"/>
      <c r="AB915" s="105"/>
      <c r="AC915" s="105"/>
      <c r="AD915" s="105"/>
      <c r="AE915" s="105"/>
      <c r="AF915" s="106"/>
      <c r="AZ915" s="34"/>
      <c r="BA915" s="34"/>
      <c r="BB915" s="34"/>
      <c r="BC915" s="34"/>
    </row>
    <row r="916" spans="1:58" ht="12.9" customHeight="1" x14ac:dyDescent="0.3">
      <c r="B916" s="2"/>
      <c r="F916" s="1585" t="s">
        <v>819</v>
      </c>
      <c r="G916" s="1586"/>
      <c r="H916" s="1586"/>
      <c r="I916" s="1586"/>
      <c r="J916" s="1586"/>
      <c r="K916" s="1586"/>
      <c r="L916" s="1586"/>
      <c r="M916" s="1586"/>
      <c r="N916" s="1586"/>
      <c r="O916" s="1586"/>
      <c r="P916" s="1586"/>
      <c r="Q916" s="1586"/>
      <c r="R916" s="1586"/>
      <c r="S916" s="1586"/>
      <c r="T916" s="1597"/>
      <c r="U916" s="1585"/>
      <c r="V916" s="1586"/>
      <c r="W916" s="1586"/>
      <c r="X916" s="1586"/>
      <c r="Y916" s="1586"/>
      <c r="Z916" s="1586"/>
      <c r="AA916" s="44"/>
      <c r="AB916" s="4"/>
      <c r="AC916" s="4"/>
      <c r="AD916" s="4"/>
      <c r="AE916" s="4"/>
      <c r="AF916" s="107"/>
      <c r="AZ916" s="34"/>
      <c r="BA916" s="34"/>
      <c r="BB916" s="34"/>
      <c r="BC916" s="34"/>
    </row>
    <row r="917" spans="1:58" ht="12.9" customHeight="1" x14ac:dyDescent="0.3">
      <c r="B917" s="2"/>
      <c r="F917" s="1587"/>
      <c r="G917" s="1588"/>
      <c r="H917" s="1588"/>
      <c r="I917" s="1588"/>
      <c r="J917" s="1588"/>
      <c r="K917" s="1588"/>
      <c r="L917" s="1588"/>
      <c r="M917" s="1588"/>
      <c r="N917" s="1588"/>
      <c r="O917" s="1588"/>
      <c r="P917" s="1588"/>
      <c r="Q917" s="1588"/>
      <c r="R917" s="1588"/>
      <c r="S917" s="1588"/>
      <c r="T917" s="1598"/>
      <c r="U917" s="1587"/>
      <c r="V917" s="1588"/>
      <c r="W917" s="1588"/>
      <c r="X917" s="1588"/>
      <c r="Y917" s="1588"/>
      <c r="Z917" s="1588"/>
      <c r="AA917" s="108"/>
      <c r="AB917" s="1635" t="s">
        <v>391</v>
      </c>
      <c r="AC917" s="1635"/>
      <c r="AD917" s="1635"/>
      <c r="AE917" s="1635"/>
      <c r="AF917" s="109"/>
      <c r="AZ917" s="34"/>
      <c r="BA917" s="34"/>
      <c r="BB917" s="34"/>
      <c r="BC917" s="34"/>
    </row>
    <row r="918" spans="1:58" ht="12.9" customHeight="1" x14ac:dyDescent="0.3">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40700000</v>
      </c>
      <c r="AB918" s="1408"/>
      <c r="AC918" s="1408"/>
      <c r="AD918" s="1408"/>
      <c r="AE918" s="1408"/>
      <c r="AF918" s="1409"/>
      <c r="AZ918" s="34"/>
      <c r="BA918" s="34"/>
      <c r="BB918" s="34"/>
      <c r="BC918" s="34"/>
    </row>
    <row r="919" spans="1:58" ht="12.9" customHeight="1" x14ac:dyDescent="0.3">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AM555</f>
        <v>11070168</v>
      </c>
      <c r="AB919" s="1408"/>
      <c r="AC919" s="1408"/>
      <c r="AD919" s="1408"/>
      <c r="AE919" s="1408"/>
      <c r="AF919" s="1409"/>
      <c r="AZ919" s="34"/>
      <c r="BA919" s="34"/>
      <c r="BB919" s="34"/>
      <c r="BC919" s="34"/>
    </row>
    <row r="920" spans="1:58" ht="12.9" customHeight="1" x14ac:dyDescent="0.25">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 customHeight="1" x14ac:dyDescent="0.25">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 customHeight="1" x14ac:dyDescent="0.25">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 customHeight="1" x14ac:dyDescent="0.25">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 customHeight="1" x14ac:dyDescent="0.25">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 customHeight="1" x14ac:dyDescent="0.25">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 customHeight="1" x14ac:dyDescent="0.25">
      <c r="F926" s="1599" t="s">
        <v>2195</v>
      </c>
      <c r="G926" s="1600"/>
      <c r="H926" s="1600"/>
      <c r="I926" s="1600"/>
      <c r="J926" s="1600"/>
      <c r="K926" s="1600"/>
      <c r="L926" s="1600"/>
      <c r="M926" s="1600"/>
      <c r="N926" s="1600"/>
      <c r="O926" s="1600"/>
      <c r="P926" s="1600"/>
      <c r="Q926" s="1600"/>
      <c r="R926" s="1600"/>
      <c r="S926" s="1600"/>
      <c r="T926" s="1601"/>
      <c r="U926" s="1401" t="s">
        <v>592</v>
      </c>
      <c r="V926" s="1402"/>
      <c r="W926" s="1402"/>
      <c r="X926" s="1402"/>
      <c r="Y926" s="1402"/>
      <c r="Z926" s="1403"/>
      <c r="AA926" s="1407"/>
      <c r="AB926" s="1408"/>
      <c r="AC926" s="1408"/>
      <c r="AD926" s="1408"/>
      <c r="AE926" s="1408"/>
      <c r="AF926" s="1409"/>
      <c r="AZ926" s="34"/>
      <c r="BA926" s="34"/>
      <c r="BB926" s="34"/>
      <c r="BC926" s="34"/>
    </row>
    <row r="927" spans="1:58" ht="12.9" customHeight="1" x14ac:dyDescent="0.3">
      <c r="F927" s="1599" t="s">
        <v>680</v>
      </c>
      <c r="G927" s="1600"/>
      <c r="H927" s="1600"/>
      <c r="I927" s="1600"/>
      <c r="J927" s="1600"/>
      <c r="K927" s="1600"/>
      <c r="L927" s="1600"/>
      <c r="M927" s="1600"/>
      <c r="N927" s="1600"/>
      <c r="O927" s="1600"/>
      <c r="P927" s="1600"/>
      <c r="Q927" s="1600"/>
      <c r="R927" s="1600"/>
      <c r="S927" s="1600"/>
      <c r="T927" s="1601"/>
      <c r="U927" s="1401" t="s">
        <v>592</v>
      </c>
      <c r="V927" s="1402"/>
      <c r="W927" s="1402"/>
      <c r="X927" s="1402"/>
      <c r="Y927" s="1402"/>
      <c r="Z927" s="1403"/>
      <c r="AA927" s="1407"/>
      <c r="AB927" s="1408"/>
      <c r="AC927" s="1408"/>
      <c r="AD927" s="1408"/>
      <c r="AE927" s="1408"/>
      <c r="AF927" s="1409"/>
      <c r="AU927" s="2"/>
      <c r="AZ927" s="34"/>
      <c r="BA927" s="34"/>
      <c r="BB927" s="34"/>
      <c r="BC927" s="34"/>
    </row>
    <row r="928" spans="1:58" ht="12.9" customHeight="1" x14ac:dyDescent="0.3">
      <c r="F928" s="1599" t="s">
        <v>2196</v>
      </c>
      <c r="G928" s="1600"/>
      <c r="H928" s="1600"/>
      <c r="I928" s="1600"/>
      <c r="J928" s="1600"/>
      <c r="K928" s="1600"/>
      <c r="L928" s="1600"/>
      <c r="M928" s="1600"/>
      <c r="N928" s="1600"/>
      <c r="O928" s="1600"/>
      <c r="P928" s="1600"/>
      <c r="Q928" s="1600"/>
      <c r="R928" s="1600"/>
      <c r="S928" s="1600"/>
      <c r="T928" s="1601"/>
      <c r="U928" s="1401" t="s">
        <v>592</v>
      </c>
      <c r="V928" s="1402"/>
      <c r="W928" s="1402"/>
      <c r="X928" s="1402"/>
      <c r="Y928" s="1402"/>
      <c r="Z928" s="1403"/>
      <c r="AA928" s="1407"/>
      <c r="AB928" s="1408"/>
      <c r="AC928" s="1408"/>
      <c r="AD928" s="1408"/>
      <c r="AE928" s="1408"/>
      <c r="AF928" s="1409"/>
      <c r="AU928" s="2"/>
      <c r="AZ928" s="34"/>
      <c r="BA928" s="34"/>
      <c r="BB928" s="34"/>
      <c r="BC928" s="34"/>
    </row>
    <row r="929" spans="6:55" ht="12.9" customHeight="1" x14ac:dyDescent="0.3">
      <c r="F929" s="1599" t="s">
        <v>2197</v>
      </c>
      <c r="G929" s="1600"/>
      <c r="H929" s="1600"/>
      <c r="I929" s="1600"/>
      <c r="J929" s="1600"/>
      <c r="K929" s="1600"/>
      <c r="L929" s="1600"/>
      <c r="M929" s="1600"/>
      <c r="N929" s="1600"/>
      <c r="O929" s="1600"/>
      <c r="P929" s="1600"/>
      <c r="Q929" s="1600"/>
      <c r="R929" s="1600"/>
      <c r="S929" s="1600"/>
      <c r="T929" s="1601"/>
      <c r="U929" s="1401" t="s">
        <v>592</v>
      </c>
      <c r="V929" s="1402"/>
      <c r="W929" s="1402"/>
      <c r="X929" s="1402"/>
      <c r="Y929" s="1402"/>
      <c r="Z929" s="1403"/>
      <c r="AA929" s="1407"/>
      <c r="AB929" s="1408"/>
      <c r="AC929" s="1408"/>
      <c r="AD929" s="1408"/>
      <c r="AE929" s="1408"/>
      <c r="AF929" s="1409"/>
      <c r="AU929" s="2"/>
      <c r="AZ929" s="34"/>
      <c r="BA929" s="34"/>
      <c r="BB929" s="34"/>
      <c r="BC929" s="34"/>
    </row>
    <row r="930" spans="6:55" ht="12.9" customHeight="1" x14ac:dyDescent="0.3">
      <c r="F930" s="1599" t="s">
        <v>2198</v>
      </c>
      <c r="G930" s="1600"/>
      <c r="H930" s="1600"/>
      <c r="I930" s="1600"/>
      <c r="J930" s="1600"/>
      <c r="K930" s="1600"/>
      <c r="L930" s="1600"/>
      <c r="M930" s="1600"/>
      <c r="N930" s="1600"/>
      <c r="O930" s="1600"/>
      <c r="P930" s="1600"/>
      <c r="Q930" s="1600"/>
      <c r="R930" s="1600"/>
      <c r="S930" s="1600"/>
      <c r="T930" s="1601"/>
      <c r="U930" s="1401" t="s">
        <v>592</v>
      </c>
      <c r="V930" s="1402"/>
      <c r="W930" s="1402"/>
      <c r="X930" s="1402"/>
      <c r="Y930" s="1402"/>
      <c r="Z930" s="1403"/>
      <c r="AA930" s="1407"/>
      <c r="AB930" s="1408"/>
      <c r="AC930" s="1408"/>
      <c r="AD930" s="1408"/>
      <c r="AE930" s="1408"/>
      <c r="AF930" s="1409"/>
      <c r="AU930" s="2"/>
      <c r="AZ930" s="34"/>
      <c r="BA930" s="34"/>
      <c r="BB930" s="34"/>
      <c r="BC930" s="34"/>
    </row>
    <row r="931" spans="6:55" ht="12.9" customHeight="1" x14ac:dyDescent="0.3">
      <c r="F931" s="1599" t="s">
        <v>2199</v>
      </c>
      <c r="G931" s="1600"/>
      <c r="H931" s="1600"/>
      <c r="I931" s="1600"/>
      <c r="J931" s="1600"/>
      <c r="K931" s="1600"/>
      <c r="L931" s="1600"/>
      <c r="M931" s="1600"/>
      <c r="N931" s="1600"/>
      <c r="O931" s="1600"/>
      <c r="P931" s="1600"/>
      <c r="Q931" s="1600"/>
      <c r="R931" s="1600"/>
      <c r="S931" s="1600"/>
      <c r="T931" s="1601"/>
      <c r="U931" s="1401" t="s">
        <v>592</v>
      </c>
      <c r="V931" s="1402"/>
      <c r="W931" s="1402"/>
      <c r="X931" s="1402"/>
      <c r="Y931" s="1402"/>
      <c r="Z931" s="1403"/>
      <c r="AA931" s="1407"/>
      <c r="AB931" s="1408"/>
      <c r="AC931" s="1408"/>
      <c r="AD931" s="1408"/>
      <c r="AE931" s="1408"/>
      <c r="AF931" s="1409"/>
      <c r="AU931" s="2"/>
      <c r="AZ931" s="34"/>
      <c r="BA931" s="34"/>
      <c r="BB931" s="34"/>
      <c r="BC931" s="34"/>
    </row>
    <row r="932" spans="6:55" ht="12.9" customHeight="1" x14ac:dyDescent="0.25">
      <c r="F932" s="1599" t="s">
        <v>2200</v>
      </c>
      <c r="G932" s="1600"/>
      <c r="H932" s="1600"/>
      <c r="I932" s="1600"/>
      <c r="J932" s="1600"/>
      <c r="K932" s="1600"/>
      <c r="L932" s="1600"/>
      <c r="M932" s="1600"/>
      <c r="N932" s="1600"/>
      <c r="O932" s="1600"/>
      <c r="P932" s="1600"/>
      <c r="Q932" s="1600"/>
      <c r="R932" s="1600"/>
      <c r="S932" s="1600"/>
      <c r="T932" s="1601"/>
      <c r="U932" s="1401" t="s">
        <v>592</v>
      </c>
      <c r="V932" s="1402"/>
      <c r="W932" s="1402"/>
      <c r="X932" s="1402"/>
      <c r="Y932" s="1402"/>
      <c r="Z932" s="1403"/>
      <c r="AA932" s="1407"/>
      <c r="AB932" s="1408"/>
      <c r="AC932" s="1408"/>
      <c r="AD932" s="1408"/>
      <c r="AE932" s="1408"/>
      <c r="AF932" s="1409"/>
      <c r="AZ932" s="30"/>
      <c r="BA932" s="30"/>
    </row>
    <row r="933" spans="6:55" ht="12.9" customHeight="1" x14ac:dyDescent="0.25">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 customHeight="1" x14ac:dyDescent="0.25">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 customHeight="1" x14ac:dyDescent="0.25">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 customHeight="1" x14ac:dyDescent="0.25">
      <c r="F936" s="1637" t="s">
        <v>2204</v>
      </c>
      <c r="G936" s="1638"/>
      <c r="H936" s="1638"/>
      <c r="I936" s="1638"/>
      <c r="J936" s="1638"/>
      <c r="K936" s="1638"/>
      <c r="L936" s="1638"/>
      <c r="M936" s="1638"/>
      <c r="N936" s="1638"/>
      <c r="O936" s="1638"/>
      <c r="P936" s="1638"/>
      <c r="Q936" s="1638"/>
      <c r="R936" s="1638"/>
      <c r="S936" s="1638"/>
      <c r="T936" s="1639"/>
      <c r="U936" s="1401" t="s">
        <v>592</v>
      </c>
      <c r="V936" s="1402"/>
      <c r="W936" s="1402"/>
      <c r="X936" s="1402"/>
      <c r="Y936" s="1402"/>
      <c r="Z936" s="1403"/>
      <c r="AA936" s="1407"/>
      <c r="AB936" s="1408"/>
      <c r="AC936" s="1408"/>
      <c r="AD936" s="1408"/>
      <c r="AE936" s="1408"/>
      <c r="AF936" s="1409"/>
      <c r="AZ936" s="30"/>
      <c r="BA936" s="14"/>
    </row>
    <row r="937" spans="6:55" ht="12.9" customHeight="1" x14ac:dyDescent="0.25">
      <c r="F937" s="1637" t="s">
        <v>2205</v>
      </c>
      <c r="G937" s="1638"/>
      <c r="H937" s="1638"/>
      <c r="I937" s="1638"/>
      <c r="J937" s="1638"/>
      <c r="K937" s="1638"/>
      <c r="L937" s="1638"/>
      <c r="M937" s="1638"/>
      <c r="N937" s="1638"/>
      <c r="O937" s="1638"/>
      <c r="P937" s="1638"/>
      <c r="Q937" s="1638"/>
      <c r="R937" s="1638"/>
      <c r="S937" s="1638"/>
      <c r="T937" s="1639"/>
      <c r="U937" s="1401" t="s">
        <v>592</v>
      </c>
      <c r="V937" s="1402"/>
      <c r="W937" s="1402"/>
      <c r="X937" s="1402"/>
      <c r="Y937" s="1402"/>
      <c r="Z937" s="1403"/>
      <c r="AA937" s="1407"/>
      <c r="AB937" s="1408"/>
      <c r="AC937" s="1408"/>
      <c r="AD937" s="1408"/>
      <c r="AE937" s="1408"/>
      <c r="AF937" s="1409"/>
      <c r="AZ937" s="30"/>
      <c r="BA937" s="30"/>
    </row>
    <row r="938" spans="6:55" ht="12.9" customHeight="1" x14ac:dyDescent="0.25">
      <c r="F938" s="1599" t="s">
        <v>2201</v>
      </c>
      <c r="G938" s="1600"/>
      <c r="H938" s="1600"/>
      <c r="I938" s="1600"/>
      <c r="J938" s="1600"/>
      <c r="K938" s="1600"/>
      <c r="L938" s="1600"/>
      <c r="M938" s="1600"/>
      <c r="N938" s="1600"/>
      <c r="O938" s="1600"/>
      <c r="P938" s="1600"/>
      <c r="Q938" s="1600"/>
      <c r="R938" s="1600"/>
      <c r="S938" s="1600"/>
      <c r="T938" s="1601"/>
      <c r="U938" s="1401" t="s">
        <v>592</v>
      </c>
      <c r="V938" s="1402"/>
      <c r="W938" s="1402"/>
      <c r="X938" s="1402"/>
      <c r="Y938" s="1402"/>
      <c r="Z938" s="1403"/>
      <c r="AA938" s="1407"/>
      <c r="AB938" s="1408"/>
      <c r="AC938" s="1408"/>
      <c r="AD938" s="1408"/>
      <c r="AE938" s="1408"/>
      <c r="AF938" s="1409"/>
      <c r="AZ938" s="30"/>
      <c r="BA938" s="30"/>
    </row>
    <row r="939" spans="6:55" ht="12.9" customHeight="1" x14ac:dyDescent="0.25">
      <c r="F939" s="1599" t="s">
        <v>2202</v>
      </c>
      <c r="G939" s="1600"/>
      <c r="H939" s="1600"/>
      <c r="I939" s="1600"/>
      <c r="J939" s="1600"/>
      <c r="K939" s="1600"/>
      <c r="L939" s="1600"/>
      <c r="M939" s="1600"/>
      <c r="N939" s="1600"/>
      <c r="O939" s="1600"/>
      <c r="P939" s="1600"/>
      <c r="Q939" s="1600"/>
      <c r="R939" s="1600"/>
      <c r="S939" s="1600"/>
      <c r="T939" s="1601"/>
      <c r="U939" s="1401" t="s">
        <v>592</v>
      </c>
      <c r="V939" s="1402"/>
      <c r="W939" s="1402"/>
      <c r="X939" s="1402"/>
      <c r="Y939" s="1402"/>
      <c r="Z939" s="1403"/>
      <c r="AA939" s="1407"/>
      <c r="AB939" s="1408"/>
      <c r="AC939" s="1408"/>
      <c r="AD939" s="1408"/>
      <c r="AE939" s="1408"/>
      <c r="AF939" s="1409"/>
      <c r="AZ939" s="30"/>
      <c r="BA939" s="30"/>
    </row>
    <row r="940" spans="6:55" ht="12.9" customHeight="1" x14ac:dyDescent="0.25">
      <c r="F940" s="1599" t="s">
        <v>2203</v>
      </c>
      <c r="G940" s="1600"/>
      <c r="H940" s="1600"/>
      <c r="I940" s="1600"/>
      <c r="J940" s="1600"/>
      <c r="K940" s="1600"/>
      <c r="L940" s="1600"/>
      <c r="M940" s="1600"/>
      <c r="N940" s="1600"/>
      <c r="O940" s="1600"/>
      <c r="P940" s="1600"/>
      <c r="Q940" s="1600"/>
      <c r="R940" s="1600"/>
      <c r="S940" s="1600"/>
      <c r="T940" s="1601"/>
      <c r="U940" s="1401" t="s">
        <v>592</v>
      </c>
      <c r="V940" s="1402"/>
      <c r="W940" s="1402"/>
      <c r="X940" s="1402"/>
      <c r="Y940" s="1402"/>
      <c r="Z940" s="1403"/>
      <c r="AA940" s="1407"/>
      <c r="AB940" s="1408"/>
      <c r="AC940" s="1408"/>
      <c r="AD940" s="1408"/>
      <c r="AE940" s="1408"/>
      <c r="AF940" s="1409"/>
      <c r="AZ940" s="34"/>
      <c r="BA940" s="34"/>
      <c r="BB940" s="14"/>
      <c r="BC940" s="14"/>
    </row>
    <row r="941" spans="6:55" ht="12.9" customHeight="1" x14ac:dyDescent="0.25">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 customHeight="1" x14ac:dyDescent="0.25">
      <c r="F942" s="1637" t="s">
        <v>2206</v>
      </c>
      <c r="G942" s="1638"/>
      <c r="H942" s="1638"/>
      <c r="I942" s="1638"/>
      <c r="J942" s="1638"/>
      <c r="K942" s="1638"/>
      <c r="L942" s="1638"/>
      <c r="M942" s="1638"/>
      <c r="N942" s="1638"/>
      <c r="O942" s="1638"/>
      <c r="P942" s="1638"/>
      <c r="Q942" s="1638"/>
      <c r="R942" s="1638"/>
      <c r="S942" s="1638"/>
      <c r="T942" s="1639"/>
      <c r="U942" s="1401" t="s">
        <v>592</v>
      </c>
      <c r="V942" s="1402"/>
      <c r="W942" s="1402"/>
      <c r="X942" s="1402"/>
      <c r="Y942" s="1402"/>
      <c r="Z942" s="1403"/>
      <c r="AA942" s="1407"/>
      <c r="AB942" s="1408"/>
      <c r="AC942" s="1408"/>
      <c r="AD942" s="1408"/>
      <c r="AE942" s="1408"/>
      <c r="AF942" s="1409"/>
      <c r="AZ942" s="34"/>
      <c r="BA942" s="34"/>
      <c r="BB942" s="34"/>
      <c r="BC942" s="34"/>
    </row>
    <row r="943" spans="6:55" ht="12.9" customHeight="1" x14ac:dyDescent="0.25">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 customHeight="1" x14ac:dyDescent="0.25">
      <c r="F944" s="1637" t="s">
        <v>2207</v>
      </c>
      <c r="G944" s="1638"/>
      <c r="H944" s="1638"/>
      <c r="I944" s="1638"/>
      <c r="J944" s="1638"/>
      <c r="K944" s="1638"/>
      <c r="L944" s="1638"/>
      <c r="M944" s="1638"/>
      <c r="N944" s="1638"/>
      <c r="O944" s="1638"/>
      <c r="P944" s="1638"/>
      <c r="Q944" s="1638"/>
      <c r="R944" s="1638"/>
      <c r="S944" s="1638"/>
      <c r="T944" s="1639"/>
      <c r="U944" s="1401" t="s">
        <v>592</v>
      </c>
      <c r="V944" s="1402"/>
      <c r="W944" s="1402"/>
      <c r="X944" s="1402"/>
      <c r="Y944" s="1402"/>
      <c r="Z944" s="1403"/>
      <c r="AA944" s="1407"/>
      <c r="AB944" s="1408"/>
      <c r="AC944" s="1408"/>
      <c r="AD944" s="1408"/>
      <c r="AE944" s="1408"/>
      <c r="AF944" s="1409"/>
      <c r="AZ944" s="34"/>
      <c r="BA944" s="34"/>
      <c r="BB944" s="34"/>
      <c r="BC944" s="34"/>
    </row>
    <row r="945" spans="1:55" ht="12.9" customHeight="1" x14ac:dyDescent="0.25">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 customHeight="1" x14ac:dyDescent="0.25">
      <c r="F946" s="1599" t="s">
        <v>2194</v>
      </c>
      <c r="G946" s="1600"/>
      <c r="H946" s="1601"/>
      <c r="I946" s="1535" t="s">
        <v>334</v>
      </c>
      <c r="J946" s="1592"/>
      <c r="K946" s="1592"/>
      <c r="L946" s="1592"/>
      <c r="M946" s="1592"/>
      <c r="N946" s="1592"/>
      <c r="O946" s="1592"/>
      <c r="P946" s="1592"/>
      <c r="Q946" s="1592"/>
      <c r="R946" s="1592"/>
      <c r="S946" s="1592"/>
      <c r="T946" s="1593"/>
      <c r="U946" s="1401" t="s">
        <v>592</v>
      </c>
      <c r="V946" s="1402"/>
      <c r="W946" s="1402"/>
      <c r="X946" s="1402"/>
      <c r="Y946" s="1402"/>
      <c r="Z946" s="1403"/>
      <c r="AA946" s="1407"/>
      <c r="AB946" s="1408"/>
      <c r="AC946" s="1408"/>
      <c r="AD946" s="1408"/>
      <c r="AE946" s="1408"/>
      <c r="AF946" s="1409"/>
      <c r="AZ946" s="34"/>
      <c r="BA946" s="34"/>
      <c r="BB946" s="34"/>
      <c r="BC946" s="34"/>
    </row>
    <row r="947" spans="1:55" ht="12.9" customHeight="1" x14ac:dyDescent="0.25">
      <c r="F947" s="45" t="s">
        <v>86</v>
      </c>
      <c r="G947" s="48"/>
      <c r="H947" s="48"/>
      <c r="I947" s="1535" t="s">
        <v>334</v>
      </c>
      <c r="J947" s="1592"/>
      <c r="K947" s="1592"/>
      <c r="L947" s="1592"/>
      <c r="M947" s="1592"/>
      <c r="N947" s="1592"/>
      <c r="O947" s="1592"/>
      <c r="P947" s="1592"/>
      <c r="Q947" s="1592"/>
      <c r="R947" s="1592"/>
      <c r="S947" s="1592"/>
      <c r="T947" s="1593"/>
      <c r="U947" s="1401" t="s">
        <v>592</v>
      </c>
      <c r="V947" s="1402"/>
      <c r="W947" s="1402"/>
      <c r="X947" s="1402"/>
      <c r="Y947" s="1402"/>
      <c r="Z947" s="1403"/>
      <c r="AA947" s="1407"/>
      <c r="AB947" s="1408"/>
      <c r="AC947" s="1408"/>
      <c r="AD947" s="1408"/>
      <c r="AE947" s="1408"/>
      <c r="AF947" s="1409"/>
      <c r="AZ947" s="34"/>
      <c r="BA947" s="34"/>
      <c r="BB947" s="34"/>
      <c r="BC947" s="34"/>
    </row>
    <row r="948" spans="1:55" ht="12.9" customHeight="1" x14ac:dyDescent="0.3">
      <c r="F948" s="45" t="s">
        <v>10</v>
      </c>
      <c r="G948" s="48"/>
      <c r="H948" s="48"/>
      <c r="I948" s="1650"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 customHeight="1" x14ac:dyDescent="0.3">
      <c r="F949" s="47" t="s">
        <v>170</v>
      </c>
      <c r="G949" s="48"/>
      <c r="H949" s="48"/>
      <c r="I949" s="1650" t="s">
        <v>2713</v>
      </c>
      <c r="J949" s="1536"/>
      <c r="K949" s="1536"/>
      <c r="L949" s="1536"/>
      <c r="M949" s="1536"/>
      <c r="N949" s="1536"/>
      <c r="O949" s="1536"/>
      <c r="P949" s="1536"/>
      <c r="Q949" s="1536"/>
      <c r="R949" s="1536"/>
      <c r="S949" s="1536"/>
      <c r="T949" s="1537"/>
      <c r="U949" s="1401" t="s">
        <v>592</v>
      </c>
      <c r="V949" s="1402"/>
      <c r="W949" s="1402"/>
      <c r="X949" s="1402"/>
      <c r="Y949" s="1402"/>
      <c r="Z949" s="1403"/>
      <c r="AA949" s="1407">
        <f>AO629</f>
        <v>7458750</v>
      </c>
      <c r="AB949" s="1408"/>
      <c r="AC949" s="1408"/>
      <c r="AD949" s="1408"/>
      <c r="AE949" s="1408"/>
      <c r="AF949" s="1409"/>
      <c r="AU949" s="2"/>
      <c r="AZ949" s="34"/>
      <c r="BA949" s="34"/>
      <c r="BB949" s="34"/>
      <c r="BC949" s="34"/>
    </row>
    <row r="950" spans="1:55" ht="12.9" customHeight="1" x14ac:dyDescent="0.3">
      <c r="F950" s="47" t="s">
        <v>170</v>
      </c>
      <c r="G950" s="48"/>
      <c r="H950" s="48"/>
      <c r="I950" s="1535" t="s">
        <v>2733</v>
      </c>
      <c r="J950" s="1536"/>
      <c r="K950" s="1536"/>
      <c r="L950" s="1536"/>
      <c r="M950" s="1536"/>
      <c r="N950" s="1536"/>
      <c r="O950" s="1536"/>
      <c r="P950" s="1536"/>
      <c r="Q950" s="1536"/>
      <c r="R950" s="1536"/>
      <c r="S950" s="1536"/>
      <c r="T950" s="1537"/>
      <c r="U950" s="1401" t="s">
        <v>592</v>
      </c>
      <c r="V950" s="1402"/>
      <c r="W950" s="1402"/>
      <c r="X950" s="1402"/>
      <c r="Y950" s="1402"/>
      <c r="Z950" s="1403"/>
      <c r="AA950" s="1407">
        <f>AO628</f>
        <v>16513169</v>
      </c>
      <c r="AB950" s="1408"/>
      <c r="AC950" s="1408"/>
      <c r="AD950" s="1408"/>
      <c r="AE950" s="1408"/>
      <c r="AF950" s="1409"/>
      <c r="AU950" s="2"/>
      <c r="AZ950" s="34"/>
      <c r="BA950" s="34"/>
      <c r="BB950" s="34"/>
      <c r="BC950" s="34"/>
    </row>
    <row r="951" spans="1:55" ht="12.9" customHeight="1" x14ac:dyDescent="0.3">
      <c r="AU951" s="2"/>
      <c r="AZ951" s="34"/>
      <c r="BA951" s="34"/>
      <c r="BB951" s="34"/>
      <c r="BC951" s="34"/>
    </row>
    <row r="952" spans="1:55" ht="12.9" customHeight="1" x14ac:dyDescent="0.3">
      <c r="A952" s="2" t="s">
        <v>577</v>
      </c>
      <c r="C952" s="2" t="s">
        <v>752</v>
      </c>
      <c r="AZ952" s="34"/>
      <c r="BA952" s="34"/>
      <c r="BB952" s="34"/>
      <c r="BC952" s="34"/>
    </row>
    <row r="953" spans="1:55" ht="12.9" customHeight="1" x14ac:dyDescent="0.3">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x14ac:dyDescent="0.25">
      <c r="AZ954" s="34"/>
      <c r="BA954" s="34"/>
      <c r="BB954" s="34"/>
      <c r="BC954" s="34"/>
    </row>
    <row r="955" spans="1:55" ht="12.9" customHeight="1" x14ac:dyDescent="0.25">
      <c r="C955" s="66" t="s">
        <v>11</v>
      </c>
      <c r="D955" s="5"/>
      <c r="E955" s="5"/>
      <c r="F955" s="5"/>
      <c r="G955" s="5"/>
      <c r="H955" s="5"/>
      <c r="I955" s="5"/>
      <c r="J955" s="5"/>
      <c r="K955" s="5"/>
      <c r="L955" s="46"/>
      <c r="M955" s="1532">
        <v>45489</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 customHeight="1" x14ac:dyDescent="0.25">
      <c r="C956" s="66" t="s">
        <v>12</v>
      </c>
      <c r="D956" s="5"/>
      <c r="E956" s="5"/>
      <c r="F956" s="5"/>
      <c r="G956" s="5"/>
      <c r="H956" s="5"/>
      <c r="I956" s="5"/>
      <c r="J956" s="5"/>
      <c r="K956" s="5"/>
      <c r="L956" s="46"/>
      <c r="M956" s="1544" t="s">
        <v>2749</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 customHeight="1" x14ac:dyDescent="0.25">
      <c r="C957" s="66" t="s">
        <v>881</v>
      </c>
      <c r="D957" s="5"/>
      <c r="E957" s="5"/>
      <c r="J957" s="1552" t="s">
        <v>2750</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 customHeight="1" x14ac:dyDescent="0.25">
      <c r="C958" s="66" t="s">
        <v>13</v>
      </c>
      <c r="D958" s="5"/>
      <c r="E958" s="5"/>
      <c r="F958" s="5"/>
      <c r="G958" s="5"/>
      <c r="H958" s="5"/>
      <c r="I958" s="5"/>
      <c r="J958" s="5"/>
      <c r="K958" s="5"/>
      <c r="L958" s="46"/>
      <c r="M958" s="1636">
        <v>1</v>
      </c>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 customHeight="1" x14ac:dyDescent="0.3">
      <c r="C959" s="66" t="s">
        <v>14</v>
      </c>
      <c r="D959" s="5"/>
      <c r="E959" s="5"/>
      <c r="F959" s="5"/>
      <c r="G959" s="5"/>
      <c r="H959" s="5"/>
      <c r="I959" s="5"/>
      <c r="J959" s="5"/>
      <c r="K959" s="5"/>
      <c r="L959" s="46"/>
      <c r="M959" s="1559">
        <v>100</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 customHeight="1" x14ac:dyDescent="0.3">
      <c r="C960" s="66" t="s">
        <v>15</v>
      </c>
      <c r="D960" s="5"/>
      <c r="E960" s="5"/>
      <c r="F960" s="5"/>
      <c r="G960" s="5"/>
      <c r="H960" s="5"/>
      <c r="I960" s="5"/>
      <c r="J960" s="5"/>
      <c r="K960" s="5"/>
      <c r="L960" s="46"/>
      <c r="M960" s="1407">
        <f>'Subsidy Contract Calculation'!J40</f>
        <v>960744</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 customHeight="1" x14ac:dyDescent="0.3">
      <c r="C961" s="66" t="s">
        <v>16</v>
      </c>
      <c r="D961" s="5"/>
      <c r="E961" s="5"/>
      <c r="F961" s="5"/>
      <c r="G961" s="5"/>
      <c r="H961" s="5"/>
      <c r="I961" s="5"/>
      <c r="J961" s="5"/>
      <c r="K961" s="5"/>
      <c r="L961" s="46"/>
      <c r="M961" s="1407">
        <f>M960*M962</f>
        <v>19214880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 customHeight="1" x14ac:dyDescent="0.25">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 customHeight="1" x14ac:dyDescent="0.25">
      <c r="AZ963" s="34"/>
      <c r="BB963" s="34"/>
      <c r="BC963" s="34"/>
      <c r="BD963" s="34"/>
      <c r="BE963" s="34"/>
      <c r="BF963" s="34"/>
      <c r="BG963" s="34"/>
      <c r="BH963" s="34"/>
      <c r="BI963" s="34"/>
      <c r="BJ963" s="34"/>
      <c r="BK963" s="34"/>
      <c r="BL963" s="34"/>
    </row>
    <row r="964" spans="1:64" ht="12.9" customHeight="1" x14ac:dyDescent="0.3">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x14ac:dyDescent="0.3">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x14ac:dyDescent="0.3">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x14ac:dyDescent="0.25">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x14ac:dyDescent="0.25">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x14ac:dyDescent="0.25">
      <c r="A969"/>
      <c r="B969"/>
      <c r="C969"/>
      <c r="D969"/>
      <c r="E969"/>
      <c r="F969" s="45" t="s">
        <v>902</v>
      </c>
      <c r="G969" s="5"/>
      <c r="H969" s="5"/>
      <c r="I969" s="5"/>
      <c r="J969" s="5"/>
      <c r="K969" s="5"/>
      <c r="L969" s="46"/>
      <c r="M969" s="1641" t="s">
        <v>592</v>
      </c>
      <c r="N969" s="1642"/>
      <c r="O969" s="1642"/>
      <c r="P969" s="1642"/>
      <c r="Q969" s="1642"/>
      <c r="R969" s="1642"/>
      <c r="S969" s="1643"/>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x14ac:dyDescent="0.25">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x14ac:dyDescent="0.25">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x14ac:dyDescent="0.25">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x14ac:dyDescent="0.25">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x14ac:dyDescent="0.25">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 customHeight="1" x14ac:dyDescent="0.25">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 customHeight="1" x14ac:dyDescent="0.25">
      <c r="AU976" s="68"/>
      <c r="AV976" s="68"/>
      <c r="AW976" s="68"/>
      <c r="AX976" s="68"/>
      <c r="AY976" s="68"/>
      <c r="AZ976" s="14"/>
      <c r="BA976" s="14"/>
      <c r="BB976" s="14"/>
      <c r="BC976" s="14"/>
      <c r="BD976" s="14"/>
      <c r="BE976" s="14"/>
      <c r="BF976" s="14"/>
      <c r="BG976" s="1626"/>
      <c r="BH976" s="1626"/>
      <c r="BI976" s="1626"/>
      <c r="BJ976" s="1626"/>
      <c r="BK976" s="1626"/>
      <c r="BL976" s="1626"/>
    </row>
    <row r="977" spans="1:64" ht="12.9" customHeight="1" x14ac:dyDescent="0.25">
      <c r="AU977" s="68"/>
      <c r="AV977" s="68"/>
      <c r="AW977" s="68"/>
      <c r="AX977" s="68"/>
      <c r="AY977" s="68"/>
      <c r="AZ977" s="14"/>
      <c r="BA977" s="14"/>
      <c r="BB977" s="913"/>
      <c r="BC977" s="913"/>
      <c r="BD977" s="14"/>
      <c r="BE977" s="14"/>
      <c r="BF977" s="14"/>
      <c r="BG977" s="14"/>
      <c r="BH977" s="14"/>
      <c r="BI977" s="14"/>
      <c r="BJ977" s="14"/>
      <c r="BK977" s="14"/>
      <c r="BL977" s="14"/>
    </row>
    <row r="978" spans="1:64" ht="12.9" customHeight="1" x14ac:dyDescent="0.25">
      <c r="AU978" s="68"/>
      <c r="AV978" s="68"/>
      <c r="AW978" s="68"/>
      <c r="AX978" s="68"/>
      <c r="AY978" s="68"/>
      <c r="AZ978" s="14"/>
      <c r="BA978" s="14"/>
      <c r="BB978" s="913"/>
      <c r="BC978" s="913"/>
    </row>
    <row r="979" spans="1:64" ht="12.9" customHeight="1" x14ac:dyDescent="0.25">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2.9" customHeight="1" x14ac:dyDescent="0.25">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 customHeight="1" x14ac:dyDescent="0.25">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 customHeight="1" x14ac:dyDescent="0.25">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x14ac:dyDescent="0.3">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x14ac:dyDescent="0.3">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x14ac:dyDescent="0.3">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 customHeight="1" x14ac:dyDescent="0.25">
      <c r="A986" s="14"/>
      <c r="B986" s="73"/>
      <c r="C986" s="930"/>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 customHeight="1" x14ac:dyDescent="0.25">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9">
        <f>CU802</f>
        <v>97</v>
      </c>
      <c r="AC987" s="1390"/>
      <c r="AD987" s="1390"/>
      <c r="AE987" s="1390"/>
      <c r="AF987" s="1390"/>
      <c r="AG987" s="1390"/>
      <c r="AH987" s="1390"/>
      <c r="AI987" s="1391"/>
      <c r="AJ987" s="1487">
        <f>IF(ISERROR((R987*AB987)),0,(R987*AB987))</f>
        <v>48955415</v>
      </c>
      <c r="AK987" s="1488"/>
      <c r="AL987" s="1488"/>
      <c r="AM987" s="1488"/>
      <c r="AN987" s="1488"/>
      <c r="AO987" s="1488"/>
      <c r="AP987" s="1488"/>
      <c r="AQ987" s="1489"/>
      <c r="AR987" s="68"/>
      <c r="AS987" s="68"/>
      <c r="AT987" s="68"/>
      <c r="AU987" s="68"/>
      <c r="AV987" s="68"/>
      <c r="AW987" s="68"/>
      <c r="AX987" s="68"/>
      <c r="AY987" s="68"/>
      <c r="AZ987" s="30"/>
      <c r="BB987" s="14"/>
      <c r="BC987" s="14"/>
    </row>
    <row r="988" spans="1:64" ht="12.9" customHeight="1" x14ac:dyDescent="0.25">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9">
        <f>CZ802</f>
        <v>4</v>
      </c>
      <c r="AC988" s="1390"/>
      <c r="AD988" s="1390"/>
      <c r="AE988" s="1390"/>
      <c r="AF988" s="1390"/>
      <c r="AG988" s="1390"/>
      <c r="AH988" s="1390"/>
      <c r="AI988" s="1391"/>
      <c r="AJ988" s="1487">
        <f>IF(ISERROR((R988*AB988)),0,(R988*AB988))</f>
        <v>2435200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 customHeight="1" x14ac:dyDescent="0.25">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 customHeight="1" x14ac:dyDescent="0.25">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 customHeight="1" x14ac:dyDescent="0.3">
      <c r="A991" s="14"/>
      <c r="B991" s="1605" t="s">
        <v>792</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9">
        <f>SUM(AB986:AI990)</f>
        <v>101</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 customHeight="1" x14ac:dyDescent="0.3">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51390615</v>
      </c>
      <c r="AK992" s="1488"/>
      <c r="AL992" s="1488"/>
      <c r="AM992" s="1488"/>
      <c r="AN992" s="1488"/>
      <c r="AO992" s="1488"/>
      <c r="AP992" s="1488"/>
      <c r="AQ992" s="1489"/>
      <c r="AR992" s="68"/>
      <c r="AS992" s="68"/>
      <c r="AT992" s="68"/>
      <c r="AU992" s="68"/>
      <c r="AV992" s="68"/>
      <c r="AW992" s="68"/>
      <c r="AX992" s="68"/>
      <c r="AY992" s="68"/>
      <c r="AZ992" s="34"/>
      <c r="BB992" s="34"/>
      <c r="BC992" s="34"/>
    </row>
    <row r="993" spans="1:55" ht="12.9" customHeight="1" x14ac:dyDescent="0.3">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 customHeight="1" x14ac:dyDescent="0.25">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546</v>
      </c>
      <c r="AH994" s="1500"/>
      <c r="AI994" s="87"/>
      <c r="AJ994" s="1392">
        <f>ROUND(IF(AND(AG994="yes",D1000&gt;0),AJ992*0.2,0),0)</f>
        <v>10278123</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 customHeight="1" x14ac:dyDescent="0.25">
      <c r="A995" s="14"/>
      <c r="B995" s="258"/>
      <c r="C995" s="257"/>
      <c r="D995" s="1538" t="s">
        <v>2239</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 customHeight="1" x14ac:dyDescent="0.25">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 customHeight="1" x14ac:dyDescent="0.25">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 customHeight="1" x14ac:dyDescent="0.25">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 customHeight="1" x14ac:dyDescent="0.25">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 customHeight="1" x14ac:dyDescent="0.25">
      <c r="A1000" s="14"/>
      <c r="B1000" s="258"/>
      <c r="C1000" s="257"/>
      <c r="D1000" s="1608" t="s">
        <v>2755</v>
      </c>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 customHeight="1" x14ac:dyDescent="0.25">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 customHeight="1" x14ac:dyDescent="0.25">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 customHeight="1" x14ac:dyDescent="0.25">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100</v>
      </c>
      <c r="AZ1003" s="34"/>
      <c r="BB1003" s="34"/>
    </row>
    <row r="1004" spans="1:55" ht="12.9" customHeight="1" x14ac:dyDescent="0.25">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 customHeight="1" x14ac:dyDescent="0.25">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v>
      </c>
      <c r="AZ1005" s="34"/>
      <c r="BB1005" s="34"/>
    </row>
    <row r="1006" spans="1:55" ht="12.9" customHeight="1" x14ac:dyDescent="0.25">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0.5</v>
      </c>
      <c r="AZ1006" s="34"/>
      <c r="BB1006" s="34"/>
    </row>
    <row r="1007" spans="1:55" ht="12.9" customHeight="1" x14ac:dyDescent="0.3">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 customHeight="1" x14ac:dyDescent="0.3">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2.9" customHeight="1" x14ac:dyDescent="0.3">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2.9" customHeight="1" x14ac:dyDescent="0.25">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2.9" customHeight="1" x14ac:dyDescent="0.3">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x14ac:dyDescent="0.3">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2.9" customHeight="1" x14ac:dyDescent="0.3">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2.9" customHeight="1" x14ac:dyDescent="0.3">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2.9" customHeight="1" x14ac:dyDescent="0.25">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2.9" customHeight="1" x14ac:dyDescent="0.3">
      <c r="A1016" s="14"/>
      <c r="B1016" s="79"/>
      <c r="C1016" s="80" t="s">
        <v>218</v>
      </c>
      <c r="D1016" s="1503" t="s">
        <v>2240</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2.9" customHeight="1" x14ac:dyDescent="0.3">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2.9" customHeight="1" x14ac:dyDescent="0.3">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2.9" customHeight="1" x14ac:dyDescent="0.25">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2.9" customHeight="1" x14ac:dyDescent="0.3">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2.9" customHeight="1" x14ac:dyDescent="0.25">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2.9" customHeight="1" x14ac:dyDescent="0.25">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2.9" customHeight="1" x14ac:dyDescent="0.25">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2.9" customHeight="1" x14ac:dyDescent="0.25">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2.9" customHeight="1" x14ac:dyDescent="0.3">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 customHeight="1" x14ac:dyDescent="0.3">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 customHeight="1" x14ac:dyDescent="0.3">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x14ac:dyDescent="0.25">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 customHeight="1" x14ac:dyDescent="0.3">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5139062</v>
      </c>
      <c r="AK1029" s="1393"/>
      <c r="AL1029" s="1393"/>
      <c r="AM1029" s="1393"/>
      <c r="AN1029" s="1393"/>
      <c r="AO1029" s="1393"/>
      <c r="AP1029" s="1393"/>
      <c r="AQ1029" s="1394"/>
      <c r="AR1029" s="68"/>
      <c r="AS1029" s="68"/>
      <c r="AT1029" s="68"/>
      <c r="AU1029" s="68"/>
      <c r="AV1029" s="68"/>
      <c r="AW1029" s="68"/>
      <c r="AX1029" s="68"/>
      <c r="AY1029" s="68"/>
    </row>
    <row r="1030" spans="1:57" ht="12.9" customHeight="1" x14ac:dyDescent="0.3">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 customHeight="1" x14ac:dyDescent="0.3">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 customHeight="1" x14ac:dyDescent="0.3">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 customHeight="1" x14ac:dyDescent="0.3">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2.9" customHeight="1" x14ac:dyDescent="0.3">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2.9" customHeight="1" x14ac:dyDescent="0.3">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2.9" customHeight="1" x14ac:dyDescent="0.3">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 customHeight="1" x14ac:dyDescent="0.3">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 customHeight="1" x14ac:dyDescent="0.3">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 customHeight="1" x14ac:dyDescent="0.3">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0.5</v>
      </c>
      <c r="BB1039" s="3" t="s">
        <v>2497</v>
      </c>
    </row>
    <row r="1040" spans="1:57" ht="12.9" customHeight="1" x14ac:dyDescent="0.3">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2.9" customHeight="1" x14ac:dyDescent="0.3">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75</v>
      </c>
      <c r="BB1041" s="3" t="s">
        <v>2495</v>
      </c>
    </row>
    <row r="1042" spans="1:56" ht="12.9" customHeight="1" x14ac:dyDescent="0.3">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0.75</v>
      </c>
      <c r="BB1042" s="3" t="s">
        <v>2496</v>
      </c>
    </row>
    <row r="1043" spans="1:56" ht="12.9" customHeight="1" x14ac:dyDescent="0.3">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 customHeight="1" x14ac:dyDescent="0.3">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 customHeight="1" x14ac:dyDescent="0.3">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 customHeight="1" x14ac:dyDescent="0.3">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9461074.0499999989</v>
      </c>
      <c r="BA1046" s="1184">
        <f>IF(BA1040,20%,15%)</f>
        <v>0.15</v>
      </c>
      <c r="BB1046" s="3" t="s">
        <v>2483</v>
      </c>
      <c r="BC1046" s="3" t="s">
        <v>2484</v>
      </c>
      <c r="BD1046" s="3"/>
    </row>
    <row r="1047" spans="1:56" ht="12.9" customHeight="1" x14ac:dyDescent="0.3">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 customHeight="1" x14ac:dyDescent="0.25">
      <c r="A1048" s="14"/>
      <c r="B1048" s="77"/>
      <c r="C1048" s="78"/>
      <c r="D1048" s="132" t="s">
        <v>973</v>
      </c>
      <c r="E1048" s="133"/>
      <c r="F1048" s="133"/>
      <c r="G1048" s="133"/>
      <c r="H1048" s="133"/>
      <c r="I1048" s="1569">
        <f>AY1003</f>
        <v>100</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2.9" customHeight="1" x14ac:dyDescent="0.3">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51390615</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2.9" customHeight="1" x14ac:dyDescent="0.3">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2.9" customHeight="1" x14ac:dyDescent="0.25">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 customHeight="1" x14ac:dyDescent="0.25">
      <c r="A1052" s="14"/>
      <c r="B1052" s="77"/>
      <c r="C1052" s="78"/>
      <c r="D1052" s="132" t="s">
        <v>973</v>
      </c>
      <c r="E1052" s="133"/>
      <c r="F1052" s="133"/>
      <c r="G1052" s="133"/>
      <c r="H1052" s="133"/>
      <c r="I1052" s="1569">
        <f>AY1003</f>
        <v>100</v>
      </c>
      <c r="J1052" s="1570"/>
      <c r="K1052" s="14"/>
      <c r="L1052" s="133"/>
      <c r="M1052" s="133"/>
      <c r="N1052" s="133"/>
      <c r="O1052" s="133"/>
      <c r="P1052" s="133"/>
      <c r="Q1052" s="133"/>
      <c r="R1052" s="133"/>
      <c r="S1052" s="133"/>
      <c r="T1052" s="133"/>
      <c r="U1052" s="133"/>
      <c r="V1052" s="134" t="s">
        <v>975</v>
      </c>
      <c r="X1052" s="1567">
        <f>CM753</f>
        <v>50</v>
      </c>
      <c r="Y1052" s="1568"/>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 customHeight="1" x14ac:dyDescent="0.25">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118198415</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2.9" customHeight="1" x14ac:dyDescent="0.25">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x14ac:dyDescent="0.25">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 customHeight="1" x14ac:dyDescent="0.3">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9">
        <f>'Sources and Uses Budget'!S107+'Sources and Uses Budget'!T107</f>
        <v>72534901</v>
      </c>
      <c r="AB1056" s="1849"/>
      <c r="AC1056" s="1849"/>
      <c r="AD1056" s="1849"/>
      <c r="AE1056" s="1849"/>
      <c r="AF1056" s="184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9461074.0499999989</v>
      </c>
      <c r="BB1056" s="3" t="s">
        <v>2492</v>
      </c>
      <c r="BC1056" s="3"/>
      <c r="BD1056" s="3"/>
    </row>
    <row r="1057" spans="1:54" ht="12.9" customHeight="1" x14ac:dyDescent="0.3">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0">
        <f>IFERROR((AA1056-BA1059)/(AJ1053-AJ1045-AJ1049),"")</f>
        <v>0.98152950703360986</v>
      </c>
      <c r="AB1057" s="1851"/>
      <c r="AC1057" s="1851"/>
      <c r="AD1057" s="1851"/>
      <c r="AE1057" s="1851"/>
      <c r="AF1057" s="185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x14ac:dyDescent="0.25">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7">
        <f>'Sources and Uses Budget'!$S$104+'Sources and Uses Budget'!$T$104</f>
        <v>9461074</v>
      </c>
      <c r="BB1058" s="3" t="s">
        <v>2498</v>
      </c>
    </row>
    <row r="1059" spans="1:54" ht="12.9" customHeight="1" x14ac:dyDescent="0.25">
      <c r="A1059" s="14"/>
      <c r="B1059" s="14"/>
      <c r="C1059" s="209"/>
      <c r="D1059" s="859"/>
      <c r="E1059" s="859"/>
      <c r="F1059" s="859"/>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8">
        <f>MAX($BA$1058-$BA$1055,0)</f>
        <v>6961074</v>
      </c>
      <c r="BB1059" s="3" t="s">
        <v>2499</v>
      </c>
    </row>
    <row r="1060" spans="1:54" ht="12.9" customHeight="1" x14ac:dyDescent="0.25">
      <c r="A1060" s="88"/>
      <c r="B1060" s="1174"/>
      <c r="C1060" s="1174"/>
      <c r="D1060" s="1174"/>
      <c r="E1060" s="1174"/>
      <c r="F1060" s="1174"/>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4"/>
      <c r="AP1060" s="1174"/>
      <c r="AQ1060" s="68"/>
      <c r="AR1060" s="68"/>
      <c r="AS1060" s="68"/>
      <c r="AT1060" s="68"/>
      <c r="AU1060" s="68"/>
      <c r="AV1060" s="68"/>
      <c r="AW1060" s="68"/>
      <c r="AX1060" s="68"/>
      <c r="AY1060" s="68"/>
    </row>
    <row r="1061" spans="1:54" ht="12.9" customHeight="1" x14ac:dyDescent="0.3">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 customHeight="1" x14ac:dyDescent="0.3">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x14ac:dyDescent="0.3">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x14ac:dyDescent="0.3">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x14ac:dyDescent="0.3">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x14ac:dyDescent="0.3">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x14ac:dyDescent="0.25">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 customHeight="1" x14ac:dyDescent="0.3">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 customHeight="1" x14ac:dyDescent="0.3">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x14ac:dyDescent="0.25">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 customHeight="1" x14ac:dyDescent="0.25">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 customHeight="1" x14ac:dyDescent="0.25">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 customHeight="1" x14ac:dyDescent="0.25">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 customHeight="1" x14ac:dyDescent="0.3">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x14ac:dyDescent="0.25">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 customHeight="1" x14ac:dyDescent="0.25">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 customHeight="1" x14ac:dyDescent="0.25">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 customHeight="1" x14ac:dyDescent="0.25">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 customHeight="1" x14ac:dyDescent="0.25">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 customHeight="1" x14ac:dyDescent="0.25">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x14ac:dyDescent="0.25">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 customHeight="1" x14ac:dyDescent="0.25">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 customHeight="1" x14ac:dyDescent="0.25">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 customHeight="1" x14ac:dyDescent="0.25">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x14ac:dyDescent="0.25">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 customHeight="1" x14ac:dyDescent="0.25">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 customHeight="1" x14ac:dyDescent="0.25">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 customHeight="1" x14ac:dyDescent="0.25">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x14ac:dyDescent="0.25">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 customHeight="1" x14ac:dyDescent="0.25">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 customHeight="1" x14ac:dyDescent="0.25">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 customHeight="1" x14ac:dyDescent="0.25">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x14ac:dyDescent="0.25">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x14ac:dyDescent="0.25">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 customHeight="1" x14ac:dyDescent="0.25">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 customHeight="1" x14ac:dyDescent="0.25">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x14ac:dyDescent="0.25">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 customHeight="1" x14ac:dyDescent="0.25">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 customHeight="1" x14ac:dyDescent="0.25">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x14ac:dyDescent="0.25">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 customHeight="1" x14ac:dyDescent="0.25">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 customHeight="1" x14ac:dyDescent="0.25">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x14ac:dyDescent="0.25">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 customHeight="1" x14ac:dyDescent="0.25">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 customHeight="1" x14ac:dyDescent="0.25">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x14ac:dyDescent="0.25">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x14ac:dyDescent="0.25">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x14ac:dyDescent="0.25">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x14ac:dyDescent="0.25">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x14ac:dyDescent="0.25">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x14ac:dyDescent="0.25">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x14ac:dyDescent="0.25">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x14ac:dyDescent="0.25">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x14ac:dyDescent="0.25">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x14ac:dyDescent="0.25">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x14ac:dyDescent="0.25">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x14ac:dyDescent="0.25">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x14ac:dyDescent="0.25">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x14ac:dyDescent="0.25">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x14ac:dyDescent="0.25">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x14ac:dyDescent="0.25">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x14ac:dyDescent="0.25">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x14ac:dyDescent="0.25">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x14ac:dyDescent="0.25">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x14ac:dyDescent="0.25">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x14ac:dyDescent="0.25">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x14ac:dyDescent="0.25">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x14ac:dyDescent="0.25"/>
    <row r="2017" ht="9.9" hidden="1" customHeight="1" x14ac:dyDescent="0.25"/>
  </sheetData>
  <sheetProtection algorithmName="SHA-512" hashValue="vjhW/U3D2oBxa6Se2vQ8+Ybx1XqrkgSklAUA24doq81umet5fkDR4Uqla/fhZnSMWrBQC9ML/TZZXeb48eIhOw==" saltValue="ingSPs2LbY5ovOXzDn0yd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T189:AE189"/>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Y120:AK120"/>
    <mergeCell ref="O160:T160"/>
    <mergeCell ref="AI178:AK178"/>
    <mergeCell ref="M234:T234"/>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O153:AH153"/>
    <mergeCell ref="P113:S113"/>
    <mergeCell ref="AF243:AK243"/>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$BN$147:$BN$155</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65" zoomScaleNormal="100" workbookViewId="0">
      <selection activeCell="K86" sqref="K86"/>
    </sheetView>
  </sheetViews>
  <sheetFormatPr defaultColWidth="0" defaultRowHeight="11.5" zeroHeight="1" x14ac:dyDescent="0.25"/>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x14ac:dyDescent="0.2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x14ac:dyDescent="0.25">
      <c r="A2" s="137"/>
      <c r="B2" s="138" t="s">
        <v>23</v>
      </c>
      <c r="C2" s="138" t="s">
        <v>374</v>
      </c>
      <c r="D2" s="138" t="s">
        <v>373</v>
      </c>
      <c r="E2" s="138" t="s">
        <v>24</v>
      </c>
      <c r="F2" s="139" t="str">
        <f>Application!B627&amp;Application!C627</f>
        <v>1)Citibank</v>
      </c>
      <c r="G2" s="139" t="str">
        <f>Application!B628&amp;Application!C628</f>
        <v>2)VA Capital Contribution</v>
      </c>
      <c r="H2" s="139" t="str">
        <f>Application!B629&amp;Application!C629</f>
        <v>3)Philanthropic Funds (WLAVC)</v>
      </c>
      <c r="I2" s="139" t="str">
        <f>Application!B630&amp;Application!C630</f>
        <v>4)Deferred Developer Fee Loan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x14ac:dyDescent="0.25">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x14ac:dyDescent="0.25">
      <c r="A4" s="145" t="s">
        <v>27</v>
      </c>
      <c r="B4" s="146">
        <f>SUM(C4+D4)</f>
        <v>1</v>
      </c>
      <c r="C4" s="147">
        <v>1</v>
      </c>
      <c r="D4" s="147"/>
      <c r="E4" s="147">
        <v>1</v>
      </c>
      <c r="F4" s="147"/>
      <c r="G4" s="147"/>
      <c r="H4" s="147"/>
      <c r="I4" s="147"/>
      <c r="J4" s="147"/>
      <c r="K4" s="147"/>
      <c r="L4" s="147"/>
      <c r="M4" s="147"/>
      <c r="N4" s="147"/>
      <c r="O4" s="147"/>
      <c r="P4" s="147"/>
      <c r="Q4" s="147"/>
      <c r="R4" s="517">
        <f>SUM(E4:Q4)</f>
        <v>1</v>
      </c>
      <c r="S4" s="148"/>
      <c r="T4" s="148"/>
      <c r="U4" s="143"/>
    </row>
    <row r="5" spans="1:21" s="144" customFormat="1" x14ac:dyDescent="0.25">
      <c r="A5" s="145" t="s">
        <v>28</v>
      </c>
      <c r="B5" s="146">
        <f>SUM(C5+D5)</f>
        <v>325000</v>
      </c>
      <c r="C5" s="147">
        <v>325000</v>
      </c>
      <c r="D5" s="147"/>
      <c r="E5" s="147">
        <f>B5</f>
        <v>325000</v>
      </c>
      <c r="F5" s="147"/>
      <c r="G5" s="147"/>
      <c r="H5" s="147"/>
      <c r="I5" s="147"/>
      <c r="J5" s="147"/>
      <c r="K5" s="147"/>
      <c r="L5" s="147"/>
      <c r="M5" s="147"/>
      <c r="N5" s="147"/>
      <c r="O5" s="147"/>
      <c r="P5" s="147"/>
      <c r="Q5" s="147"/>
      <c r="R5" s="517">
        <f>SUM(E5:Q5)</f>
        <v>325000</v>
      </c>
      <c r="S5" s="148"/>
      <c r="T5" s="148"/>
      <c r="U5" s="143"/>
    </row>
    <row r="6" spans="1:21" s="144" customFormat="1" x14ac:dyDescent="0.25">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x14ac:dyDescent="0.25">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x14ac:dyDescent="0.25">
      <c r="A8" s="149" t="s">
        <v>594</v>
      </c>
      <c r="B8" s="146">
        <f>SUM(C8:D8)</f>
        <v>325001</v>
      </c>
      <c r="C8" s="146">
        <f t="shared" ref="C8:Q8" si="0">SUM(C4:C7)</f>
        <v>325001</v>
      </c>
      <c r="D8" s="146">
        <f t="shared" si="0"/>
        <v>0</v>
      </c>
      <c r="E8" s="146">
        <f t="shared" si="0"/>
        <v>325001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325001</v>
      </c>
      <c r="S8" s="148"/>
      <c r="T8" s="148"/>
      <c r="U8" s="143"/>
    </row>
    <row r="9" spans="1:21" s="144" customFormat="1" x14ac:dyDescent="0.25">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x14ac:dyDescent="0.25">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x14ac:dyDescent="0.25">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x14ac:dyDescent="0.25">
      <c r="A12" s="149" t="s">
        <v>84</v>
      </c>
      <c r="B12" s="146">
        <f t="shared" ref="B12:Q12" si="2">SUM(B8+B11)</f>
        <v>325001</v>
      </c>
      <c r="C12" s="146">
        <f t="shared" si="2"/>
        <v>325001</v>
      </c>
      <c r="D12" s="146">
        <f t="shared" si="2"/>
        <v>0</v>
      </c>
      <c r="E12" s="146">
        <f t="shared" si="2"/>
        <v>325001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325001</v>
      </c>
      <c r="S12" s="148"/>
      <c r="T12" s="148"/>
      <c r="U12" s="143"/>
    </row>
    <row r="13" spans="1:21" s="144" customFormat="1" x14ac:dyDescent="0.25">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x14ac:dyDescent="0.25">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x14ac:dyDescent="0.25">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x14ac:dyDescent="0.25">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x14ac:dyDescent="0.25">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x14ac:dyDescent="0.25">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x14ac:dyDescent="0.25">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x14ac:dyDescent="0.25">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x14ac:dyDescent="0.25">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x14ac:dyDescent="0.25">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x14ac:dyDescent="0.25">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x14ac:dyDescent="0.25">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x14ac:dyDescent="0.25">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x14ac:dyDescent="0.25">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x14ac:dyDescent="0.25">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x14ac:dyDescent="0.25">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x14ac:dyDescent="0.25">
      <c r="A29" s="145" t="s">
        <v>599</v>
      </c>
      <c r="B29" s="146">
        <f t="shared" ref="B29:B38" si="6">SUM(C29+D29)</f>
        <v>4553706</v>
      </c>
      <c r="C29" s="147">
        <v>4553706</v>
      </c>
      <c r="D29" s="147"/>
      <c r="E29" s="147">
        <f>B29</f>
        <v>4553706</v>
      </c>
      <c r="F29" s="147"/>
      <c r="G29" s="147"/>
      <c r="H29" s="147"/>
      <c r="I29" s="147"/>
      <c r="J29" s="147"/>
      <c r="K29" s="147"/>
      <c r="L29" s="147"/>
      <c r="M29" s="147"/>
      <c r="N29" s="147"/>
      <c r="O29" s="147"/>
      <c r="P29" s="147"/>
      <c r="Q29" s="147"/>
      <c r="R29" s="517">
        <f t="shared" ref="R29:R37" si="7">SUM(E29:Q29)</f>
        <v>4553706</v>
      </c>
      <c r="S29" s="147">
        <v>4430555</v>
      </c>
      <c r="T29" s="147"/>
      <c r="U29" s="143"/>
    </row>
    <row r="30" spans="1:21" s="144" customFormat="1" x14ac:dyDescent="0.25">
      <c r="A30" s="145" t="s">
        <v>600</v>
      </c>
      <c r="B30" s="146">
        <f t="shared" si="6"/>
        <v>35552850</v>
      </c>
      <c r="C30" s="147">
        <v>35552850</v>
      </c>
      <c r="D30" s="147"/>
      <c r="E30" s="147"/>
      <c r="F30" s="147">
        <f>F108</f>
        <v>13936131</v>
      </c>
      <c r="G30" s="147">
        <f>G108</f>
        <v>16513169</v>
      </c>
      <c r="H30" s="147">
        <f>C30-SUM(F30,G30)</f>
        <v>5103550</v>
      </c>
      <c r="I30" s="147"/>
      <c r="J30" s="147"/>
      <c r="K30" s="147"/>
      <c r="L30" s="147"/>
      <c r="M30" s="147"/>
      <c r="N30" s="147"/>
      <c r="O30" s="147"/>
      <c r="P30" s="147"/>
      <c r="Q30" s="147"/>
      <c r="R30" s="517">
        <f>SUM(E30:Q30)</f>
        <v>35552850</v>
      </c>
      <c r="S30" s="147">
        <v>34818330</v>
      </c>
      <c r="T30" s="147"/>
      <c r="U30" s="143"/>
    </row>
    <row r="31" spans="1:21" s="144" customFormat="1" x14ac:dyDescent="0.25">
      <c r="A31" s="145" t="s">
        <v>601</v>
      </c>
      <c r="B31" s="146">
        <f t="shared" si="6"/>
        <v>1630262</v>
      </c>
      <c r="C31" s="147">
        <v>1630262</v>
      </c>
      <c r="D31" s="147"/>
      <c r="E31" s="147">
        <f>B31</f>
        <v>1630262</v>
      </c>
      <c r="F31" s="147"/>
      <c r="G31" s="147"/>
      <c r="H31" s="147"/>
      <c r="I31" s="147"/>
      <c r="J31" s="147"/>
      <c r="K31" s="147"/>
      <c r="L31" s="147"/>
      <c r="M31" s="147"/>
      <c r="N31" s="147"/>
      <c r="O31" s="147"/>
      <c r="P31" s="147"/>
      <c r="Q31" s="147"/>
      <c r="R31" s="517">
        <f t="shared" si="7"/>
        <v>1630262</v>
      </c>
      <c r="S31" s="147">
        <v>1630262</v>
      </c>
      <c r="T31" s="147"/>
      <c r="U31" s="143"/>
    </row>
    <row r="32" spans="1:21" s="144" customFormat="1" x14ac:dyDescent="0.25">
      <c r="A32" s="145" t="s">
        <v>137</v>
      </c>
      <c r="B32" s="146">
        <f t="shared" si="6"/>
        <v>658131</v>
      </c>
      <c r="C32" s="147">
        <v>658131</v>
      </c>
      <c r="D32" s="147"/>
      <c r="E32" s="147">
        <f>B32</f>
        <v>658131</v>
      </c>
      <c r="F32" s="147"/>
      <c r="G32" s="147"/>
      <c r="H32" s="147"/>
      <c r="I32" s="147"/>
      <c r="J32" s="147"/>
      <c r="K32" s="147"/>
      <c r="L32" s="147"/>
      <c r="M32" s="147"/>
      <c r="N32" s="147"/>
      <c r="O32" s="147"/>
      <c r="P32" s="147"/>
      <c r="Q32" s="147"/>
      <c r="R32" s="517">
        <f t="shared" si="7"/>
        <v>658131</v>
      </c>
      <c r="S32" s="147">
        <v>645753</v>
      </c>
      <c r="T32" s="147"/>
      <c r="U32" s="143"/>
    </row>
    <row r="33" spans="1:21" s="144" customFormat="1" x14ac:dyDescent="0.25">
      <c r="A33" s="145" t="s">
        <v>138</v>
      </c>
      <c r="B33" s="146">
        <f t="shared" si="6"/>
        <v>987197</v>
      </c>
      <c r="C33" s="147">
        <v>987197</v>
      </c>
      <c r="D33" s="147"/>
      <c r="E33" s="147">
        <f>B33</f>
        <v>987197</v>
      </c>
      <c r="F33" s="147"/>
      <c r="G33" s="147"/>
      <c r="H33" s="147"/>
      <c r="I33" s="147"/>
      <c r="J33" s="147"/>
      <c r="K33" s="147"/>
      <c r="L33" s="147"/>
      <c r="M33" s="147"/>
      <c r="N33" s="147"/>
      <c r="O33" s="147"/>
      <c r="P33" s="147"/>
      <c r="Q33" s="147"/>
      <c r="R33" s="517">
        <f t="shared" si="7"/>
        <v>987197</v>
      </c>
      <c r="S33" s="147">
        <v>968630</v>
      </c>
      <c r="T33" s="147"/>
      <c r="U33" s="143"/>
    </row>
    <row r="34" spans="1:21" s="144" customFormat="1" x14ac:dyDescent="0.25">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x14ac:dyDescent="0.25">
      <c r="A35" s="145" t="s">
        <v>140</v>
      </c>
      <c r="B35" s="146">
        <f t="shared" si="6"/>
        <v>475270</v>
      </c>
      <c r="C35" s="147">
        <v>475270</v>
      </c>
      <c r="D35" s="147"/>
      <c r="E35" s="147">
        <f t="shared" ref="E35:E37" si="8">B35</f>
        <v>475270</v>
      </c>
      <c r="F35" s="147"/>
      <c r="G35" s="147"/>
      <c r="H35" s="147"/>
      <c r="I35" s="147"/>
      <c r="J35" s="147"/>
      <c r="K35" s="147"/>
      <c r="L35" s="147"/>
      <c r="M35" s="147"/>
      <c r="N35" s="147"/>
      <c r="O35" s="147"/>
      <c r="P35" s="147"/>
      <c r="Q35" s="147"/>
      <c r="R35" s="517">
        <f t="shared" si="7"/>
        <v>475270</v>
      </c>
      <c r="S35" s="147">
        <v>467190</v>
      </c>
      <c r="T35" s="147"/>
      <c r="U35" s="143"/>
    </row>
    <row r="36" spans="1:21" s="144" customFormat="1" x14ac:dyDescent="0.25">
      <c r="A36" s="284" t="s">
        <v>1641</v>
      </c>
      <c r="B36" s="146">
        <f t="shared" si="6"/>
        <v>420000</v>
      </c>
      <c r="C36" s="147">
        <v>420000</v>
      </c>
      <c r="D36" s="147"/>
      <c r="E36" s="147">
        <f t="shared" si="8"/>
        <v>420000</v>
      </c>
      <c r="F36" s="147"/>
      <c r="G36" s="147"/>
      <c r="H36" s="147"/>
      <c r="I36" s="147"/>
      <c r="J36" s="147"/>
      <c r="K36" s="147"/>
      <c r="L36" s="147"/>
      <c r="M36" s="147"/>
      <c r="N36" s="147"/>
      <c r="O36" s="147"/>
      <c r="P36" s="147"/>
      <c r="Q36" s="147"/>
      <c r="R36" s="517">
        <f t="shared" si="7"/>
        <v>420000</v>
      </c>
      <c r="S36" s="147">
        <v>416052</v>
      </c>
      <c r="T36" s="147"/>
      <c r="U36" s="143"/>
    </row>
    <row r="37" spans="1:21" s="144" customFormat="1" x14ac:dyDescent="0.25">
      <c r="A37" s="1151" t="s">
        <v>2759</v>
      </c>
      <c r="B37" s="146">
        <f t="shared" si="6"/>
        <v>65000</v>
      </c>
      <c r="C37" s="147">
        <v>65000</v>
      </c>
      <c r="D37" s="147"/>
      <c r="E37" s="147">
        <f t="shared" si="8"/>
        <v>65000</v>
      </c>
      <c r="F37" s="147"/>
      <c r="G37" s="147"/>
      <c r="H37" s="147"/>
      <c r="I37" s="147"/>
      <c r="J37" s="147"/>
      <c r="K37" s="147"/>
      <c r="L37" s="147"/>
      <c r="M37" s="147"/>
      <c r="N37" s="147"/>
      <c r="O37" s="147"/>
      <c r="P37" s="147"/>
      <c r="Q37" s="147"/>
      <c r="R37" s="517">
        <f t="shared" si="7"/>
        <v>65000</v>
      </c>
      <c r="S37" s="147">
        <v>63778</v>
      </c>
      <c r="T37" s="147"/>
      <c r="U37" s="143"/>
    </row>
    <row r="38" spans="1:21" s="144" customFormat="1" x14ac:dyDescent="0.25">
      <c r="A38" s="149" t="s">
        <v>143</v>
      </c>
      <c r="B38" s="146">
        <f t="shared" si="6"/>
        <v>44342416</v>
      </c>
      <c r="C38" s="146">
        <f>SUM(C29:C37)</f>
        <v>44342416</v>
      </c>
      <c r="D38" s="146">
        <f t="shared" ref="D38:Q38" si="9">SUM(D29:D37)</f>
        <v>0</v>
      </c>
      <c r="E38" s="146">
        <f>SUM(E29:E37)</f>
        <v>8789566</v>
      </c>
      <c r="F38" s="146">
        <f t="shared" si="9"/>
        <v>13936131</v>
      </c>
      <c r="G38" s="146">
        <f t="shared" si="9"/>
        <v>16513169</v>
      </c>
      <c r="H38" s="146">
        <f t="shared" si="9"/>
        <v>5103550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44342416</v>
      </c>
      <c r="S38" s="150">
        <f>SUM(S29:S37)</f>
        <v>43440550</v>
      </c>
      <c r="T38" s="150">
        <f>SUM(T29:T37)</f>
        <v>0</v>
      </c>
      <c r="U38" s="143"/>
    </row>
    <row r="39" spans="1:21" s="144" customFormat="1" ht="12" x14ac:dyDescent="0.25">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x14ac:dyDescent="0.25">
      <c r="A40" s="145" t="s">
        <v>145</v>
      </c>
      <c r="B40" s="146">
        <f>SUM(C40+D40)</f>
        <v>749000</v>
      </c>
      <c r="C40" s="147">
        <v>749000</v>
      </c>
      <c r="D40" s="147"/>
      <c r="E40" s="147">
        <f t="shared" ref="E40:E43" si="10">B40</f>
        <v>749000</v>
      </c>
      <c r="F40" s="147"/>
      <c r="G40" s="147"/>
      <c r="H40" s="147"/>
      <c r="I40" s="147"/>
      <c r="J40" s="147"/>
      <c r="K40" s="147"/>
      <c r="L40" s="147"/>
      <c r="M40" s="147"/>
      <c r="N40" s="147"/>
      <c r="O40" s="147"/>
      <c r="P40" s="147"/>
      <c r="Q40" s="147"/>
      <c r="R40" s="517">
        <f>SUM(E40:Q40)</f>
        <v>749000</v>
      </c>
      <c r="S40" s="147">
        <f>739064-35300</f>
        <v>703764</v>
      </c>
      <c r="T40" s="147"/>
      <c r="U40" s="143"/>
    </row>
    <row r="41" spans="1:21" s="144" customFormat="1" x14ac:dyDescent="0.25">
      <c r="A41" s="145" t="s">
        <v>146</v>
      </c>
      <c r="B41" s="146">
        <f>SUM(C41+D41)</f>
        <v>360000</v>
      </c>
      <c r="C41" s="147">
        <v>360000</v>
      </c>
      <c r="D41" s="147"/>
      <c r="E41" s="147">
        <f t="shared" si="10"/>
        <v>360000</v>
      </c>
      <c r="F41" s="147"/>
      <c r="G41" s="147"/>
      <c r="H41" s="147"/>
      <c r="I41" s="147"/>
      <c r="J41" s="147"/>
      <c r="K41" s="147"/>
      <c r="L41" s="147"/>
      <c r="M41" s="147"/>
      <c r="N41" s="147"/>
      <c r="O41" s="147"/>
      <c r="P41" s="147"/>
      <c r="Q41" s="147"/>
      <c r="R41" s="517">
        <f>SUM(E41:Q41)</f>
        <v>360000</v>
      </c>
      <c r="S41" s="147">
        <v>356616</v>
      </c>
      <c r="T41" s="147"/>
      <c r="U41" s="143"/>
    </row>
    <row r="42" spans="1:21" s="144" customFormat="1" x14ac:dyDescent="0.25">
      <c r="A42" s="149" t="s">
        <v>147</v>
      </c>
      <c r="B42" s="146">
        <f>SUM(C42:D42)</f>
        <v>1109000</v>
      </c>
      <c r="C42" s="146">
        <f>SUM(C39:C41)</f>
        <v>1109000</v>
      </c>
      <c r="D42" s="146">
        <f>SUM(D39:D41)</f>
        <v>0</v>
      </c>
      <c r="E42" s="146">
        <f t="shared" ref="E42:T42" si="11">SUM(E40:E41)</f>
        <v>1109000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1109000</v>
      </c>
      <c r="S42" s="150">
        <f t="shared" si="11"/>
        <v>1060380</v>
      </c>
      <c r="T42" s="150">
        <f t="shared" si="11"/>
        <v>0</v>
      </c>
      <c r="U42" s="143"/>
    </row>
    <row r="43" spans="1:21" s="144" customFormat="1" x14ac:dyDescent="0.25">
      <c r="A43" s="149" t="s">
        <v>148</v>
      </c>
      <c r="B43" s="146">
        <f>SUM(C43:D43)</f>
        <v>806500</v>
      </c>
      <c r="C43" s="147">
        <v>806500</v>
      </c>
      <c r="D43" s="147"/>
      <c r="E43" s="147">
        <f t="shared" si="10"/>
        <v>806500</v>
      </c>
      <c r="F43" s="147"/>
      <c r="G43" s="147"/>
      <c r="H43" s="147"/>
      <c r="I43" s="147"/>
      <c r="J43" s="147"/>
      <c r="K43" s="147"/>
      <c r="L43" s="147"/>
      <c r="M43" s="147"/>
      <c r="N43" s="147"/>
      <c r="O43" s="147"/>
      <c r="P43" s="147"/>
      <c r="Q43" s="147"/>
      <c r="R43" s="517">
        <f>SUM(E43:Q43)</f>
        <v>806500</v>
      </c>
      <c r="S43" s="147">
        <v>798703</v>
      </c>
      <c r="T43" s="147"/>
      <c r="U43" s="143"/>
    </row>
    <row r="44" spans="1:21" s="144" customFormat="1" ht="12" x14ac:dyDescent="0.25">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x14ac:dyDescent="0.25">
      <c r="A45" s="145" t="s">
        <v>150</v>
      </c>
      <c r="B45" s="146">
        <f t="shared" ref="B45:B53" si="12">SUM(C45+D45)</f>
        <v>8250000</v>
      </c>
      <c r="C45" s="147">
        <v>8250000</v>
      </c>
      <c r="D45" s="147"/>
      <c r="E45" s="147">
        <f>B45-SUM(F45:Q45)</f>
        <v>5894800</v>
      </c>
      <c r="F45" s="147"/>
      <c r="G45" s="147"/>
      <c r="H45" s="147">
        <f>H108-H30</f>
        <v>2355200</v>
      </c>
      <c r="I45" s="147"/>
      <c r="J45" s="147"/>
      <c r="K45" s="147"/>
      <c r="L45" s="147"/>
      <c r="M45" s="147"/>
      <c r="N45" s="147"/>
      <c r="O45" s="147"/>
      <c r="P45" s="147"/>
      <c r="Q45" s="147"/>
      <c r="R45" s="517">
        <f t="shared" ref="R45:R53" si="13">SUM(E45:Q45)</f>
        <v>8250000</v>
      </c>
      <c r="S45" s="147">
        <v>6760483</v>
      </c>
      <c r="T45" s="147"/>
      <c r="U45" s="143"/>
    </row>
    <row r="46" spans="1:21" s="144" customFormat="1" x14ac:dyDescent="0.25">
      <c r="A46" s="145" t="s">
        <v>151</v>
      </c>
      <c r="B46" s="146">
        <f t="shared" si="12"/>
        <v>400000</v>
      </c>
      <c r="C46" s="147">
        <v>400000</v>
      </c>
      <c r="D46" s="147"/>
      <c r="E46" s="147">
        <f t="shared" ref="E46" si="14">B46</f>
        <v>400000</v>
      </c>
      <c r="F46" s="147"/>
      <c r="G46" s="147"/>
      <c r="H46" s="147"/>
      <c r="I46" s="147"/>
      <c r="J46" s="147"/>
      <c r="K46" s="147"/>
      <c r="L46" s="147"/>
      <c r="M46" s="147"/>
      <c r="N46" s="147"/>
      <c r="O46" s="147"/>
      <c r="P46" s="147"/>
      <c r="Q46" s="147"/>
      <c r="R46" s="517">
        <f t="shared" si="13"/>
        <v>400000</v>
      </c>
      <c r="S46" s="147">
        <v>292480</v>
      </c>
      <c r="T46" s="147"/>
      <c r="U46" s="143"/>
    </row>
    <row r="47" spans="1:21" s="144" customFormat="1" x14ac:dyDescent="0.25">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c r="T47" s="147"/>
      <c r="U47" s="143"/>
    </row>
    <row r="48" spans="1:21" s="144" customFormat="1" x14ac:dyDescent="0.25">
      <c r="A48" s="145" t="s">
        <v>153</v>
      </c>
      <c r="B48" s="146">
        <f t="shared" si="12"/>
        <v>427786</v>
      </c>
      <c r="C48" s="147">
        <v>427786</v>
      </c>
      <c r="D48" s="147"/>
      <c r="E48" s="147">
        <f t="shared" ref="E48:E52" si="15">B48</f>
        <v>427786</v>
      </c>
      <c r="F48" s="147"/>
      <c r="G48" s="147"/>
      <c r="H48" s="147"/>
      <c r="I48" s="147"/>
      <c r="J48" s="147"/>
      <c r="K48" s="147"/>
      <c r="L48" s="147"/>
      <c r="M48" s="147"/>
      <c r="N48" s="147"/>
      <c r="O48" s="147"/>
      <c r="P48" s="147"/>
      <c r="Q48" s="147"/>
      <c r="R48" s="517">
        <f t="shared" si="13"/>
        <v>427786</v>
      </c>
      <c r="S48" s="147">
        <v>420360</v>
      </c>
      <c r="T48" s="147"/>
      <c r="U48" s="143"/>
    </row>
    <row r="49" spans="1:21" s="144" customFormat="1" x14ac:dyDescent="0.25">
      <c r="A49" s="145" t="s">
        <v>57</v>
      </c>
      <c r="B49" s="146">
        <f t="shared" si="12"/>
        <v>262300</v>
      </c>
      <c r="C49" s="147">
        <v>262300</v>
      </c>
      <c r="D49" s="147"/>
      <c r="E49" s="147">
        <f t="shared" si="15"/>
        <v>262300</v>
      </c>
      <c r="F49" s="147"/>
      <c r="G49" s="147"/>
      <c r="H49" s="147"/>
      <c r="I49" s="147"/>
      <c r="J49" s="147"/>
      <c r="K49" s="147"/>
      <c r="L49" s="147"/>
      <c r="M49" s="147"/>
      <c r="N49" s="147"/>
      <c r="O49" s="147"/>
      <c r="P49" s="147"/>
      <c r="Q49" s="147"/>
      <c r="R49" s="517">
        <f t="shared" si="13"/>
        <v>262300</v>
      </c>
      <c r="S49" s="147">
        <v>200176</v>
      </c>
      <c r="T49" s="147"/>
      <c r="U49" s="143"/>
    </row>
    <row r="50" spans="1:21" s="144" customFormat="1" x14ac:dyDescent="0.25">
      <c r="A50" s="145" t="s">
        <v>156</v>
      </c>
      <c r="B50" s="146">
        <f t="shared" si="12"/>
        <v>200000</v>
      </c>
      <c r="C50" s="147">
        <v>200000</v>
      </c>
      <c r="D50" s="147"/>
      <c r="E50" s="147">
        <f t="shared" si="15"/>
        <v>200000</v>
      </c>
      <c r="F50" s="147"/>
      <c r="G50" s="147"/>
      <c r="H50" s="147"/>
      <c r="I50" s="147"/>
      <c r="J50" s="147"/>
      <c r="K50" s="147"/>
      <c r="L50" s="147"/>
      <c r="M50" s="147"/>
      <c r="N50" s="147"/>
      <c r="O50" s="147"/>
      <c r="P50" s="147"/>
      <c r="Q50" s="147"/>
      <c r="R50" s="517">
        <f t="shared" si="13"/>
        <v>200000</v>
      </c>
      <c r="S50" s="147">
        <v>196240</v>
      </c>
      <c r="T50" s="147"/>
      <c r="U50" s="143"/>
    </row>
    <row r="51" spans="1:21" s="144" customFormat="1" x14ac:dyDescent="0.25">
      <c r="A51" s="284" t="s">
        <v>154</v>
      </c>
      <c r="B51" s="146">
        <f t="shared" si="12"/>
        <v>10000</v>
      </c>
      <c r="C51" s="147">
        <v>10000</v>
      </c>
      <c r="D51" s="147"/>
      <c r="E51" s="147">
        <f t="shared" si="15"/>
        <v>10000</v>
      </c>
      <c r="F51" s="147"/>
      <c r="G51" s="147"/>
      <c r="H51" s="147"/>
      <c r="I51" s="147"/>
      <c r="J51" s="147"/>
      <c r="K51" s="147"/>
      <c r="L51" s="147"/>
      <c r="M51" s="147"/>
      <c r="N51" s="147"/>
      <c r="O51" s="147"/>
      <c r="P51" s="147"/>
      <c r="Q51" s="147"/>
      <c r="R51" s="517">
        <f t="shared" si="13"/>
        <v>10000</v>
      </c>
      <c r="S51" s="147">
        <v>9812</v>
      </c>
      <c r="T51" s="147"/>
      <c r="U51" s="143"/>
    </row>
    <row r="52" spans="1:21" s="144" customFormat="1" x14ac:dyDescent="0.25">
      <c r="A52" s="145" t="s">
        <v>155</v>
      </c>
      <c r="B52" s="146">
        <f t="shared" si="12"/>
        <v>1200000</v>
      </c>
      <c r="C52" s="147">
        <v>1200000</v>
      </c>
      <c r="D52" s="147"/>
      <c r="E52" s="147">
        <f t="shared" si="15"/>
        <v>1200000</v>
      </c>
      <c r="F52" s="147"/>
      <c r="G52" s="147"/>
      <c r="H52" s="147"/>
      <c r="I52" s="147"/>
      <c r="J52" s="147"/>
      <c r="K52" s="147"/>
      <c r="L52" s="147"/>
      <c r="M52" s="147"/>
      <c r="N52" s="147"/>
      <c r="O52" s="147"/>
      <c r="P52" s="147"/>
      <c r="Q52" s="147"/>
      <c r="R52" s="517">
        <f t="shared" si="13"/>
        <v>1200000</v>
      </c>
      <c r="S52" s="147">
        <v>1177440</v>
      </c>
      <c r="T52" s="147"/>
      <c r="U52" s="143"/>
    </row>
    <row r="53" spans="1:21" s="144" customFormat="1" x14ac:dyDescent="0.25">
      <c r="A53" s="1151" t="s">
        <v>34</v>
      </c>
      <c r="B53" s="146">
        <f t="shared" si="12"/>
        <v>0</v>
      </c>
      <c r="C53" s="147"/>
      <c r="D53" s="147"/>
      <c r="E53" s="147"/>
      <c r="F53" s="147"/>
      <c r="G53" s="147"/>
      <c r="H53" s="147"/>
      <c r="I53" s="147"/>
      <c r="J53" s="147"/>
      <c r="K53" s="147"/>
      <c r="L53" s="147"/>
      <c r="M53" s="147"/>
      <c r="N53" s="147"/>
      <c r="O53" s="147"/>
      <c r="P53" s="147"/>
      <c r="Q53" s="147"/>
      <c r="R53" s="517">
        <f t="shared" si="13"/>
        <v>0</v>
      </c>
      <c r="S53" s="147"/>
      <c r="T53" s="147"/>
      <c r="U53" s="143"/>
    </row>
    <row r="54" spans="1:21" s="153" customFormat="1" x14ac:dyDescent="0.25">
      <c r="A54" s="149" t="s">
        <v>157</v>
      </c>
      <c r="B54" s="150">
        <f>SUM(C54:D54)</f>
        <v>10750086</v>
      </c>
      <c r="C54" s="150">
        <f t="shared" ref="C54:T54" si="16">SUM(C45:C53)</f>
        <v>10750086</v>
      </c>
      <c r="D54" s="150">
        <f t="shared" si="16"/>
        <v>0</v>
      </c>
      <c r="E54" s="150">
        <f t="shared" si="16"/>
        <v>8394886</v>
      </c>
      <c r="F54" s="150">
        <f t="shared" si="16"/>
        <v>0</v>
      </c>
      <c r="G54" s="150">
        <f t="shared" si="16"/>
        <v>0</v>
      </c>
      <c r="H54" s="150">
        <f t="shared" si="16"/>
        <v>2355200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10750086</v>
      </c>
      <c r="S54" s="150">
        <f t="shared" si="16"/>
        <v>9056991</v>
      </c>
      <c r="T54" s="150">
        <f t="shared" si="16"/>
        <v>0</v>
      </c>
      <c r="U54" s="152"/>
    </row>
    <row r="55" spans="1:21" s="144" customFormat="1" ht="12" x14ac:dyDescent="0.25">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x14ac:dyDescent="0.25">
      <c r="A56" s="145" t="s">
        <v>158</v>
      </c>
      <c r="B56" s="146">
        <f t="shared" ref="B56:B61" si="17">SUM(C56+D56)</f>
        <v>140000</v>
      </c>
      <c r="C56" s="147">
        <v>140000</v>
      </c>
      <c r="D56" s="147"/>
      <c r="E56" s="147">
        <f>C56</f>
        <v>140000</v>
      </c>
      <c r="F56" s="147"/>
      <c r="G56" s="147"/>
      <c r="H56" s="147"/>
      <c r="I56" s="147"/>
      <c r="J56" s="147"/>
      <c r="K56" s="147"/>
      <c r="L56" s="147"/>
      <c r="M56" s="147"/>
      <c r="N56" s="147"/>
      <c r="O56" s="147"/>
      <c r="P56" s="147"/>
      <c r="Q56" s="147"/>
      <c r="R56" s="517">
        <f t="shared" ref="R56:R61" si="18">SUM(E56:Q56)</f>
        <v>140000</v>
      </c>
      <c r="S56" s="148"/>
      <c r="T56" s="148"/>
      <c r="U56" s="143"/>
    </row>
    <row r="57" spans="1:21" s="192" customFormat="1" x14ac:dyDescent="0.25">
      <c r="A57" s="186" t="s">
        <v>152</v>
      </c>
      <c r="B57" s="193">
        <f t="shared" si="17"/>
        <v>0</v>
      </c>
      <c r="C57" s="190"/>
      <c r="D57" s="190"/>
      <c r="E57" s="190"/>
      <c r="F57" s="190"/>
      <c r="G57" s="190"/>
      <c r="H57" s="190"/>
      <c r="I57" s="190"/>
      <c r="J57" s="190"/>
      <c r="K57" s="190"/>
      <c r="L57" s="190"/>
      <c r="M57" s="190"/>
      <c r="N57" s="190"/>
      <c r="O57" s="190"/>
      <c r="P57" s="190"/>
      <c r="Q57" s="190"/>
      <c r="R57" s="517">
        <f t="shared" si="18"/>
        <v>0</v>
      </c>
      <c r="S57" s="194"/>
      <c r="T57" s="194"/>
      <c r="U57" s="191"/>
    </row>
    <row r="58" spans="1:21" s="144" customFormat="1" x14ac:dyDescent="0.25">
      <c r="A58" s="145" t="s">
        <v>156</v>
      </c>
      <c r="B58" s="146">
        <f t="shared" si="17"/>
        <v>23000</v>
      </c>
      <c r="C58" s="147">
        <v>23000</v>
      </c>
      <c r="D58" s="147"/>
      <c r="E58" s="147">
        <f>C58</f>
        <v>23000</v>
      </c>
      <c r="F58" s="147"/>
      <c r="G58" s="147"/>
      <c r="H58" s="147"/>
      <c r="I58" s="147"/>
      <c r="J58" s="147"/>
      <c r="K58" s="147"/>
      <c r="L58" s="147"/>
      <c r="M58" s="147"/>
      <c r="N58" s="147"/>
      <c r="O58" s="147"/>
      <c r="P58" s="147"/>
      <c r="Q58" s="147"/>
      <c r="R58" s="517">
        <f t="shared" si="18"/>
        <v>23000</v>
      </c>
      <c r="S58" s="148"/>
      <c r="T58" s="148"/>
      <c r="U58" s="143"/>
    </row>
    <row r="59" spans="1:21" s="144" customFormat="1" x14ac:dyDescent="0.25">
      <c r="A59" s="284" t="s">
        <v>154</v>
      </c>
      <c r="B59" s="146">
        <f t="shared" si="17"/>
        <v>0</v>
      </c>
      <c r="C59" s="147"/>
      <c r="D59" s="147"/>
      <c r="E59" s="147"/>
      <c r="F59" s="147"/>
      <c r="G59" s="147"/>
      <c r="H59" s="147"/>
      <c r="I59" s="147"/>
      <c r="J59" s="147"/>
      <c r="K59" s="147"/>
      <c r="L59" s="147"/>
      <c r="M59" s="147"/>
      <c r="N59" s="147"/>
      <c r="O59" s="147"/>
      <c r="P59" s="147"/>
      <c r="Q59" s="147"/>
      <c r="R59" s="517">
        <f t="shared" si="18"/>
        <v>0</v>
      </c>
      <c r="S59" s="148"/>
      <c r="T59" s="148"/>
      <c r="U59" s="143"/>
    </row>
    <row r="60" spans="1:21" s="144" customFormat="1" x14ac:dyDescent="0.25">
      <c r="A60" s="145" t="s">
        <v>155</v>
      </c>
      <c r="B60" s="146">
        <f t="shared" si="17"/>
        <v>0</v>
      </c>
      <c r="C60" s="147"/>
      <c r="D60" s="147"/>
      <c r="E60" s="147"/>
      <c r="F60" s="147"/>
      <c r="G60" s="147"/>
      <c r="H60" s="147"/>
      <c r="I60" s="147"/>
      <c r="J60" s="147"/>
      <c r="K60" s="147"/>
      <c r="L60" s="147"/>
      <c r="M60" s="147"/>
      <c r="N60" s="147"/>
      <c r="O60" s="147"/>
      <c r="P60" s="147"/>
      <c r="Q60" s="147"/>
      <c r="R60" s="517">
        <f t="shared" si="18"/>
        <v>0</v>
      </c>
      <c r="S60" s="148"/>
      <c r="T60" s="148"/>
      <c r="U60" s="143"/>
    </row>
    <row r="61" spans="1:21" s="144" customFormat="1" x14ac:dyDescent="0.25">
      <c r="A61" s="1151" t="s">
        <v>34</v>
      </c>
      <c r="B61" s="146">
        <f t="shared" si="17"/>
        <v>0</v>
      </c>
      <c r="C61" s="147"/>
      <c r="D61" s="147"/>
      <c r="E61" s="147"/>
      <c r="F61" s="147"/>
      <c r="G61" s="147"/>
      <c r="H61" s="147"/>
      <c r="I61" s="147"/>
      <c r="J61" s="147"/>
      <c r="K61" s="147"/>
      <c r="L61" s="147"/>
      <c r="M61" s="147"/>
      <c r="N61" s="147"/>
      <c r="O61" s="147"/>
      <c r="P61" s="147"/>
      <c r="Q61" s="147"/>
      <c r="R61" s="517">
        <f t="shared" si="18"/>
        <v>0</v>
      </c>
      <c r="S61" s="148"/>
      <c r="T61" s="148"/>
      <c r="U61" s="143"/>
    </row>
    <row r="62" spans="1:21" s="144" customFormat="1" ht="13.65" customHeight="1" x14ac:dyDescent="0.25">
      <c r="A62" s="149" t="s">
        <v>301</v>
      </c>
      <c r="B62" s="146">
        <f>SUM(C62:D62)</f>
        <v>163000</v>
      </c>
      <c r="C62" s="146">
        <f t="shared" ref="C62:R62" si="19">SUM(C56:C61)</f>
        <v>163000</v>
      </c>
      <c r="D62" s="146">
        <f t="shared" si="19"/>
        <v>0</v>
      </c>
      <c r="E62" s="146">
        <f t="shared" si="19"/>
        <v>163000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163000</v>
      </c>
      <c r="S62" s="148"/>
      <c r="T62" s="148"/>
      <c r="U62" s="143"/>
    </row>
    <row r="63" spans="1:21" s="144" customFormat="1" x14ac:dyDescent="0.25">
      <c r="A63" s="154" t="s">
        <v>302</v>
      </c>
      <c r="B63" s="146">
        <f t="shared" ref="B63:R63" si="20">SUM(B8+B11+B13+B14+B15+B26+B27+B38+B42+B43+B54+B62)</f>
        <v>57496003</v>
      </c>
      <c r="C63" s="146">
        <f t="shared" si="20"/>
        <v>57496003</v>
      </c>
      <c r="D63" s="146">
        <f t="shared" si="20"/>
        <v>0</v>
      </c>
      <c r="E63" s="146">
        <f t="shared" si="20"/>
        <v>19587953</v>
      </c>
      <c r="F63" s="146">
        <f t="shared" si="20"/>
        <v>13936131</v>
      </c>
      <c r="G63" s="146">
        <f t="shared" si="20"/>
        <v>16513169</v>
      </c>
      <c r="H63" s="146">
        <f t="shared" si="20"/>
        <v>7458750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3">
        <f t="shared" si="20"/>
        <v>57496003</v>
      </c>
      <c r="S63" s="146">
        <f>SUM(S10+S13+S14+S15+S26+S27+S38+S42+S43+S54)</f>
        <v>54356624</v>
      </c>
      <c r="T63" s="146">
        <f>SUM(T11+T13+T14+T15+T26+T27+T38+T42+T43+T54)</f>
        <v>0</v>
      </c>
      <c r="U63" s="143"/>
    </row>
    <row r="64" spans="1:21" s="144" customFormat="1" ht="24" x14ac:dyDescent="0.25">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x14ac:dyDescent="0.25">
      <c r="A65" s="145" t="s">
        <v>171</v>
      </c>
      <c r="B65" s="146">
        <f>SUM(C65+D65)</f>
        <v>180000</v>
      </c>
      <c r="C65" s="147">
        <v>180000</v>
      </c>
      <c r="D65" s="147"/>
      <c r="E65" s="147">
        <f t="shared" ref="E65:E67" si="21">B65</f>
        <v>180000</v>
      </c>
      <c r="F65" s="147"/>
      <c r="G65" s="147"/>
      <c r="H65" s="147"/>
      <c r="I65" s="147"/>
      <c r="J65" s="147"/>
      <c r="K65" s="147"/>
      <c r="L65" s="147"/>
      <c r="M65" s="147"/>
      <c r="N65" s="147"/>
      <c r="O65" s="147"/>
      <c r="P65" s="147"/>
      <c r="Q65" s="147"/>
      <c r="R65" s="517">
        <f>SUM(E65:Q65)</f>
        <v>180000</v>
      </c>
      <c r="S65" s="147">
        <v>98120</v>
      </c>
      <c r="T65" s="147"/>
      <c r="U65" s="143"/>
    </row>
    <row r="66" spans="1:21" s="144" customFormat="1" ht="24" customHeight="1" x14ac:dyDescent="0.25">
      <c r="A66" s="284" t="s">
        <v>1642</v>
      </c>
      <c r="B66" s="146">
        <f>SUM(C66+D66)</f>
        <v>185000</v>
      </c>
      <c r="C66" s="147">
        <v>185000</v>
      </c>
      <c r="D66" s="147"/>
      <c r="E66" s="147">
        <f t="shared" si="21"/>
        <v>185000</v>
      </c>
      <c r="F66" s="147"/>
      <c r="G66" s="147"/>
      <c r="H66" s="147"/>
      <c r="I66" s="147"/>
      <c r="J66" s="147"/>
      <c r="K66" s="147"/>
      <c r="L66" s="147"/>
      <c r="M66" s="147"/>
      <c r="N66" s="147"/>
      <c r="O66" s="147"/>
      <c r="P66" s="147"/>
      <c r="Q66" s="147"/>
      <c r="R66" s="517">
        <f>SUM(E66:Q66)</f>
        <v>185000</v>
      </c>
      <c r="S66" s="147"/>
      <c r="T66" s="147"/>
      <c r="U66" s="143"/>
    </row>
    <row r="67" spans="1:21" s="144" customFormat="1" ht="24" customHeight="1" x14ac:dyDescent="0.25">
      <c r="A67" s="284" t="s">
        <v>1643</v>
      </c>
      <c r="B67" s="146">
        <f>SUM(C67+D67)</f>
        <v>50000</v>
      </c>
      <c r="C67" s="147">
        <v>50000</v>
      </c>
      <c r="D67" s="147"/>
      <c r="E67" s="147">
        <f t="shared" si="21"/>
        <v>50000</v>
      </c>
      <c r="F67" s="147"/>
      <c r="G67" s="147"/>
      <c r="H67" s="147"/>
      <c r="I67" s="147"/>
      <c r="J67" s="147"/>
      <c r="K67" s="147"/>
      <c r="L67" s="147"/>
      <c r="M67" s="147"/>
      <c r="N67" s="147"/>
      <c r="O67" s="147"/>
      <c r="P67" s="147"/>
      <c r="Q67" s="147"/>
      <c r="R67" s="517">
        <f>SUM(E67:Q67)</f>
        <v>50000</v>
      </c>
      <c r="S67" s="147">
        <v>49248</v>
      </c>
      <c r="T67" s="147"/>
      <c r="U67" s="143"/>
    </row>
    <row r="68" spans="1:21" s="144" customFormat="1" ht="12" customHeight="1" x14ac:dyDescent="0.25">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x14ac:dyDescent="0.25">
      <c r="A69" s="1151" t="s">
        <v>2751</v>
      </c>
      <c r="B69" s="146">
        <f>SUM(C69+D69)</f>
        <v>120000</v>
      </c>
      <c r="C69" s="147">
        <v>120000</v>
      </c>
      <c r="D69" s="147"/>
      <c r="E69" s="147">
        <f t="shared" ref="E69" si="22">B69</f>
        <v>120000</v>
      </c>
      <c r="F69" s="147"/>
      <c r="G69" s="147"/>
      <c r="H69" s="147"/>
      <c r="I69" s="147"/>
      <c r="J69" s="147"/>
      <c r="K69" s="147"/>
      <c r="L69" s="147"/>
      <c r="M69" s="147"/>
      <c r="N69" s="147"/>
      <c r="O69" s="147"/>
      <c r="P69" s="147"/>
      <c r="Q69" s="147"/>
      <c r="R69" s="517">
        <f>SUM(E69:Q69)</f>
        <v>120000</v>
      </c>
      <c r="S69" s="147">
        <v>115000</v>
      </c>
      <c r="T69" s="147"/>
      <c r="U69" s="143"/>
    </row>
    <row r="70" spans="1:21" s="144" customFormat="1" x14ac:dyDescent="0.25">
      <c r="A70" s="149" t="s">
        <v>1646</v>
      </c>
      <c r="B70" s="146">
        <f>SUM(C70:D70)</f>
        <v>535000</v>
      </c>
      <c r="C70" s="146">
        <f>SUM(C65:C69)</f>
        <v>535000</v>
      </c>
      <c r="D70" s="146">
        <f>SUM(D65:D69)</f>
        <v>0</v>
      </c>
      <c r="E70" s="146">
        <f t="shared" ref="E70:T70" si="23">SUM(E65:E69)</f>
        <v>535000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3">
        <f t="shared" si="23"/>
        <v>535000</v>
      </c>
      <c r="S70" s="150">
        <f t="shared" si="23"/>
        <v>262368</v>
      </c>
      <c r="T70" s="150">
        <f t="shared" si="23"/>
        <v>0</v>
      </c>
      <c r="U70" s="143"/>
    </row>
    <row r="71" spans="1:21" s="144" customFormat="1" ht="12" x14ac:dyDescent="0.25">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x14ac:dyDescent="0.25">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x14ac:dyDescent="0.25">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x14ac:dyDescent="0.25">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x14ac:dyDescent="0.25">
      <c r="A75" s="145" t="s">
        <v>606</v>
      </c>
      <c r="B75" s="146">
        <f>SUM(C75+D75)</f>
        <v>517775</v>
      </c>
      <c r="C75" s="147">
        <v>517775</v>
      </c>
      <c r="D75" s="147"/>
      <c r="E75" s="147">
        <f t="shared" ref="E75" si="24">B75</f>
        <v>517775</v>
      </c>
      <c r="F75" s="147"/>
      <c r="G75" s="147"/>
      <c r="H75" s="147"/>
      <c r="I75" s="147"/>
      <c r="J75" s="147"/>
      <c r="K75" s="147"/>
      <c r="L75" s="147"/>
      <c r="M75" s="147"/>
      <c r="N75" s="147"/>
      <c r="O75" s="147"/>
      <c r="P75" s="147"/>
      <c r="Q75" s="147"/>
      <c r="R75" s="517">
        <f>SUM(E75:Q75)</f>
        <v>517775</v>
      </c>
      <c r="S75" s="148"/>
      <c r="T75" s="148"/>
      <c r="U75" s="143"/>
    </row>
    <row r="76" spans="1:21" s="144" customFormat="1" x14ac:dyDescent="0.25">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x14ac:dyDescent="0.25">
      <c r="A77" s="149" t="s">
        <v>607</v>
      </c>
      <c r="B77" s="146">
        <f>SUM(C77:D77)</f>
        <v>517775</v>
      </c>
      <c r="C77" s="146">
        <f>SUM(C72:C76)</f>
        <v>517775</v>
      </c>
      <c r="D77" s="146">
        <f>SUM(D72:D76)</f>
        <v>0</v>
      </c>
      <c r="E77" s="146">
        <f t="shared" ref="E77:Q77" si="25">SUM(E72:E76)</f>
        <v>517775</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3">
        <f>SUM(R72:R76)</f>
        <v>517775</v>
      </c>
      <c r="S77" s="148"/>
      <c r="T77" s="148"/>
      <c r="U77" s="143"/>
    </row>
    <row r="78" spans="1:21" s="144" customFormat="1" ht="12" x14ac:dyDescent="0.25">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x14ac:dyDescent="0.25">
      <c r="A79" s="284" t="s">
        <v>1213</v>
      </c>
      <c r="B79" s="146">
        <f>SUM(C79:D79)</f>
        <v>4368157</v>
      </c>
      <c r="C79" s="147">
        <v>4368157</v>
      </c>
      <c r="D79" s="147"/>
      <c r="E79" s="147">
        <f t="shared" ref="E79:E80" si="26">B79</f>
        <v>4368157</v>
      </c>
      <c r="F79" s="147"/>
      <c r="G79" s="147"/>
      <c r="H79" s="147"/>
      <c r="I79" s="147"/>
      <c r="J79" s="147"/>
      <c r="K79" s="147"/>
      <c r="L79" s="147"/>
      <c r="M79" s="147"/>
      <c r="N79" s="147"/>
      <c r="O79" s="147"/>
      <c r="P79" s="147"/>
      <c r="Q79" s="147"/>
      <c r="R79" s="517">
        <f>SUM(E79:Q79)</f>
        <v>4368157</v>
      </c>
      <c r="S79" s="147">
        <v>4286036</v>
      </c>
      <c r="T79" s="147"/>
      <c r="U79" s="143"/>
    </row>
    <row r="80" spans="1:21" s="144" customFormat="1" x14ac:dyDescent="0.25">
      <c r="A80" s="284" t="s">
        <v>58</v>
      </c>
      <c r="B80" s="146">
        <f>SUM(C80:D80)</f>
        <v>1226306</v>
      </c>
      <c r="C80" s="147">
        <v>1226306</v>
      </c>
      <c r="D80" s="147"/>
      <c r="E80" s="147">
        <f t="shared" si="26"/>
        <v>1226306</v>
      </c>
      <c r="F80" s="147"/>
      <c r="G80" s="147"/>
      <c r="H80" s="147"/>
      <c r="I80" s="147"/>
      <c r="J80" s="147"/>
      <c r="K80" s="147"/>
      <c r="L80" s="147"/>
      <c r="M80" s="147"/>
      <c r="N80" s="147"/>
      <c r="O80" s="147"/>
      <c r="P80" s="147"/>
      <c r="Q80" s="147"/>
      <c r="R80" s="517">
        <f>SUM(E80:Q80)</f>
        <v>1226306</v>
      </c>
      <c r="S80" s="147">
        <v>1206306</v>
      </c>
      <c r="T80" s="147"/>
      <c r="U80" s="143"/>
    </row>
    <row r="81" spans="1:21" s="144" customFormat="1" x14ac:dyDescent="0.25">
      <c r="A81" s="149" t="s">
        <v>1210</v>
      </c>
      <c r="B81" s="146">
        <f>SUM(C81:D81)</f>
        <v>5594463</v>
      </c>
      <c r="C81" s="510">
        <f>SUM(C79:C80)</f>
        <v>5594463</v>
      </c>
      <c r="D81" s="510">
        <f t="shared" ref="D81:T81" si="27">SUM(D79:D80)</f>
        <v>0</v>
      </c>
      <c r="E81" s="510">
        <f t="shared" si="27"/>
        <v>5594463</v>
      </c>
      <c r="F81" s="510">
        <f t="shared" si="27"/>
        <v>0</v>
      </c>
      <c r="G81" s="510">
        <f t="shared" si="27"/>
        <v>0</v>
      </c>
      <c r="H81" s="510">
        <f t="shared" si="27"/>
        <v>0</v>
      </c>
      <c r="I81" s="510">
        <f t="shared" si="27"/>
        <v>0</v>
      </c>
      <c r="J81" s="510">
        <f t="shared" si="27"/>
        <v>0</v>
      </c>
      <c r="K81" s="510">
        <f t="shared" si="27"/>
        <v>0</v>
      </c>
      <c r="L81" s="510">
        <f t="shared" si="27"/>
        <v>0</v>
      </c>
      <c r="M81" s="510">
        <f t="shared" si="27"/>
        <v>0</v>
      </c>
      <c r="N81" s="510">
        <f t="shared" si="27"/>
        <v>0</v>
      </c>
      <c r="O81" s="510">
        <f t="shared" si="27"/>
        <v>0</v>
      </c>
      <c r="P81" s="510">
        <f t="shared" si="27"/>
        <v>0</v>
      </c>
      <c r="Q81" s="510">
        <f t="shared" si="27"/>
        <v>0</v>
      </c>
      <c r="R81" s="510">
        <f t="shared" si="27"/>
        <v>5594463</v>
      </c>
      <c r="S81" s="510">
        <f t="shared" si="27"/>
        <v>5492342</v>
      </c>
      <c r="T81" s="510">
        <f t="shared" si="27"/>
        <v>0</v>
      </c>
      <c r="U81" s="143"/>
    </row>
    <row r="82" spans="1:21" s="144" customFormat="1" ht="12" x14ac:dyDescent="0.25">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x14ac:dyDescent="0.25">
      <c r="A83" s="145" t="s">
        <v>2097</v>
      </c>
      <c r="B83" s="146">
        <f t="shared" ref="B83:B95" si="28">SUM(C83+D83)</f>
        <v>200000</v>
      </c>
      <c r="C83" s="147">
        <v>200000</v>
      </c>
      <c r="D83" s="147"/>
      <c r="E83" s="147">
        <f t="shared" ref="E83:E95" si="29">B83</f>
        <v>200000</v>
      </c>
      <c r="F83" s="147"/>
      <c r="G83" s="147"/>
      <c r="H83" s="147"/>
      <c r="I83" s="147"/>
      <c r="J83" s="147"/>
      <c r="K83" s="147"/>
      <c r="L83" s="147"/>
      <c r="M83" s="147"/>
      <c r="N83" s="147"/>
      <c r="O83" s="147"/>
      <c r="P83" s="147"/>
      <c r="Q83" s="147"/>
      <c r="R83" s="517">
        <f t="shared" ref="R83:R95" si="30">SUM(E83:Q83)</f>
        <v>200000</v>
      </c>
      <c r="S83" s="148"/>
      <c r="T83" s="148"/>
      <c r="U83" s="143"/>
    </row>
    <row r="84" spans="1:21" s="144" customFormat="1" x14ac:dyDescent="0.25">
      <c r="A84" s="145" t="s">
        <v>768</v>
      </c>
      <c r="B84" s="146">
        <f t="shared" si="28"/>
        <v>95000</v>
      </c>
      <c r="C84" s="147">
        <v>95000</v>
      </c>
      <c r="D84" s="147"/>
      <c r="E84" s="147">
        <f t="shared" si="29"/>
        <v>95000</v>
      </c>
      <c r="F84" s="147"/>
      <c r="G84" s="147"/>
      <c r="H84" s="147"/>
      <c r="I84" s="147"/>
      <c r="J84" s="147"/>
      <c r="K84" s="147"/>
      <c r="L84" s="147"/>
      <c r="M84" s="147"/>
      <c r="N84" s="147"/>
      <c r="O84" s="147"/>
      <c r="P84" s="147"/>
      <c r="Q84" s="147"/>
      <c r="R84" s="517">
        <f t="shared" si="30"/>
        <v>95000</v>
      </c>
      <c r="S84" s="147">
        <v>93214</v>
      </c>
      <c r="T84" s="147"/>
      <c r="U84" s="143"/>
    </row>
    <row r="85" spans="1:21" s="144" customFormat="1" x14ac:dyDescent="0.25">
      <c r="A85" s="145" t="s">
        <v>769</v>
      </c>
      <c r="B85" s="146">
        <f t="shared" si="28"/>
        <v>360860</v>
      </c>
      <c r="C85" s="147">
        <v>360860</v>
      </c>
      <c r="D85" s="147"/>
      <c r="E85" s="147">
        <f t="shared" si="29"/>
        <v>360860</v>
      </c>
      <c r="F85" s="147"/>
      <c r="G85" s="147"/>
      <c r="H85" s="147"/>
      <c r="I85" s="147"/>
      <c r="J85" s="147"/>
      <c r="K85" s="147"/>
      <c r="L85" s="147"/>
      <c r="M85" s="147"/>
      <c r="N85" s="147"/>
      <c r="O85" s="147"/>
      <c r="P85" s="147"/>
      <c r="Q85" s="147"/>
      <c r="R85" s="517">
        <f t="shared" si="30"/>
        <v>360860</v>
      </c>
      <c r="S85" s="147">
        <f>C85</f>
        <v>360860</v>
      </c>
      <c r="T85" s="147"/>
      <c r="U85" s="143"/>
    </row>
    <row r="86" spans="1:21" s="144" customFormat="1" x14ac:dyDescent="0.25">
      <c r="A86" s="145" t="s">
        <v>770</v>
      </c>
      <c r="B86" s="146">
        <f t="shared" si="28"/>
        <v>1117392</v>
      </c>
      <c r="C86" s="147">
        <v>1117392</v>
      </c>
      <c r="D86" s="147"/>
      <c r="E86" s="147">
        <f t="shared" si="29"/>
        <v>1117392</v>
      </c>
      <c r="F86" s="147"/>
      <c r="G86" s="147"/>
      <c r="H86" s="147"/>
      <c r="I86" s="147"/>
      <c r="J86" s="147"/>
      <c r="K86" s="147"/>
      <c r="L86" s="147"/>
      <c r="M86" s="147"/>
      <c r="N86" s="147"/>
      <c r="O86" s="147"/>
      <c r="P86" s="147"/>
      <c r="Q86" s="147"/>
      <c r="R86" s="517">
        <f t="shared" si="30"/>
        <v>1117392</v>
      </c>
      <c r="S86" s="147">
        <v>1106889</v>
      </c>
      <c r="T86" s="147"/>
      <c r="U86" s="143"/>
    </row>
    <row r="87" spans="1:21" s="144" customFormat="1" x14ac:dyDescent="0.25">
      <c r="A87" s="145" t="s">
        <v>771</v>
      </c>
      <c r="B87" s="146">
        <f t="shared" si="28"/>
        <v>0</v>
      </c>
      <c r="C87" s="147"/>
      <c r="D87" s="147"/>
      <c r="E87" s="147"/>
      <c r="F87" s="147"/>
      <c r="G87" s="147"/>
      <c r="H87" s="147"/>
      <c r="I87" s="147"/>
      <c r="J87" s="147"/>
      <c r="K87" s="147"/>
      <c r="L87" s="147"/>
      <c r="M87" s="147"/>
      <c r="N87" s="147"/>
      <c r="O87" s="147"/>
      <c r="P87" s="147"/>
      <c r="Q87" s="147"/>
      <c r="R87" s="517">
        <f t="shared" si="30"/>
        <v>0</v>
      </c>
      <c r="S87" s="147"/>
      <c r="T87" s="147"/>
      <c r="U87" s="143"/>
    </row>
    <row r="88" spans="1:21" s="144" customFormat="1" x14ac:dyDescent="0.25">
      <c r="A88" s="145" t="s">
        <v>772</v>
      </c>
      <c r="B88" s="146">
        <f t="shared" si="28"/>
        <v>100000</v>
      </c>
      <c r="C88" s="147">
        <v>100000</v>
      </c>
      <c r="D88" s="147"/>
      <c r="E88" s="147">
        <f t="shared" si="29"/>
        <v>100000</v>
      </c>
      <c r="F88" s="147"/>
      <c r="G88" s="147"/>
      <c r="H88" s="147"/>
      <c r="I88" s="147"/>
      <c r="J88" s="147"/>
      <c r="K88" s="147"/>
      <c r="L88" s="147"/>
      <c r="M88" s="147"/>
      <c r="N88" s="147"/>
      <c r="O88" s="147"/>
      <c r="P88" s="147"/>
      <c r="Q88" s="147"/>
      <c r="R88" s="517">
        <f t="shared" si="30"/>
        <v>100000</v>
      </c>
      <c r="S88" s="148"/>
      <c r="T88" s="148"/>
      <c r="U88" s="143"/>
    </row>
    <row r="89" spans="1:21" s="144" customFormat="1" x14ac:dyDescent="0.25">
      <c r="A89" s="145" t="s">
        <v>773</v>
      </c>
      <c r="B89" s="146">
        <f t="shared" si="28"/>
        <v>553500</v>
      </c>
      <c r="C89" s="147">
        <v>553500</v>
      </c>
      <c r="D89" s="147"/>
      <c r="E89" s="147">
        <f t="shared" si="29"/>
        <v>553500</v>
      </c>
      <c r="F89" s="147"/>
      <c r="G89" s="147"/>
      <c r="H89" s="147"/>
      <c r="I89" s="147"/>
      <c r="J89" s="147"/>
      <c r="K89" s="147"/>
      <c r="L89" s="147"/>
      <c r="M89" s="147"/>
      <c r="N89" s="147"/>
      <c r="O89" s="147"/>
      <c r="P89" s="147"/>
      <c r="Q89" s="147"/>
      <c r="R89" s="517">
        <f t="shared" si="30"/>
        <v>553500</v>
      </c>
      <c r="S89" s="147">
        <f>C89</f>
        <v>553500</v>
      </c>
      <c r="T89" s="147"/>
      <c r="U89" s="143"/>
    </row>
    <row r="90" spans="1:21" s="144" customFormat="1" x14ac:dyDescent="0.25">
      <c r="A90" s="145" t="s">
        <v>774</v>
      </c>
      <c r="B90" s="146">
        <f t="shared" si="28"/>
        <v>13200</v>
      </c>
      <c r="C90" s="147">
        <v>13200</v>
      </c>
      <c r="D90" s="147"/>
      <c r="E90" s="147">
        <f t="shared" si="29"/>
        <v>13200</v>
      </c>
      <c r="F90" s="147"/>
      <c r="G90" s="147"/>
      <c r="H90" s="147"/>
      <c r="I90" s="147"/>
      <c r="J90" s="147"/>
      <c r="K90" s="147"/>
      <c r="L90" s="147"/>
      <c r="M90" s="147"/>
      <c r="N90" s="147"/>
      <c r="O90" s="147"/>
      <c r="P90" s="147"/>
      <c r="Q90" s="147"/>
      <c r="R90" s="517">
        <f t="shared" si="30"/>
        <v>13200</v>
      </c>
      <c r="S90" s="147">
        <f>C90</f>
        <v>13200</v>
      </c>
      <c r="T90" s="147"/>
      <c r="U90" s="143"/>
    </row>
    <row r="91" spans="1:21" s="144" customFormat="1" x14ac:dyDescent="0.25">
      <c r="A91" s="145" t="s">
        <v>372</v>
      </c>
      <c r="B91" s="146">
        <f t="shared" si="28"/>
        <v>130000</v>
      </c>
      <c r="C91" s="147">
        <v>130000</v>
      </c>
      <c r="D91" s="147"/>
      <c r="E91" s="147">
        <f t="shared" si="29"/>
        <v>130000</v>
      </c>
      <c r="F91" s="147"/>
      <c r="G91" s="147"/>
      <c r="H91" s="147"/>
      <c r="I91" s="147"/>
      <c r="J91" s="147"/>
      <c r="K91" s="147"/>
      <c r="L91" s="147"/>
      <c r="M91" s="147"/>
      <c r="N91" s="147"/>
      <c r="O91" s="147"/>
      <c r="P91" s="147"/>
      <c r="Q91" s="147"/>
      <c r="R91" s="517">
        <f t="shared" si="30"/>
        <v>130000</v>
      </c>
      <c r="S91" s="147">
        <f>C91</f>
        <v>130000</v>
      </c>
      <c r="T91" s="147"/>
      <c r="U91" s="143"/>
    </row>
    <row r="92" spans="1:21" s="144" customFormat="1" x14ac:dyDescent="0.25">
      <c r="A92" s="284" t="s">
        <v>1212</v>
      </c>
      <c r="B92" s="146">
        <f t="shared" si="28"/>
        <v>25000</v>
      </c>
      <c r="C92" s="147">
        <v>25000</v>
      </c>
      <c r="D92" s="147"/>
      <c r="E92" s="147">
        <f t="shared" si="29"/>
        <v>25000</v>
      </c>
      <c r="F92" s="147"/>
      <c r="G92" s="147"/>
      <c r="H92" s="147"/>
      <c r="I92" s="147"/>
      <c r="J92" s="147"/>
      <c r="K92" s="147"/>
      <c r="L92" s="147"/>
      <c r="M92" s="147"/>
      <c r="N92" s="147"/>
      <c r="O92" s="147"/>
      <c r="P92" s="147"/>
      <c r="Q92" s="147"/>
      <c r="R92" s="517">
        <f t="shared" si="30"/>
        <v>25000</v>
      </c>
      <c r="S92" s="147">
        <f>C92</f>
        <v>25000</v>
      </c>
      <c r="T92" s="147"/>
      <c r="U92" s="143"/>
    </row>
    <row r="93" spans="1:21" s="144" customFormat="1" x14ac:dyDescent="0.25">
      <c r="A93" s="1151" t="s">
        <v>2752</v>
      </c>
      <c r="B93" s="146">
        <f t="shared" si="28"/>
        <v>353500</v>
      </c>
      <c r="C93" s="147">
        <v>353500</v>
      </c>
      <c r="D93" s="147"/>
      <c r="E93" s="147">
        <f t="shared" si="29"/>
        <v>353500</v>
      </c>
      <c r="F93" s="147"/>
      <c r="G93" s="147"/>
      <c r="H93" s="147"/>
      <c r="I93" s="147"/>
      <c r="J93" s="147"/>
      <c r="K93" s="147"/>
      <c r="L93" s="147"/>
      <c r="M93" s="147"/>
      <c r="N93" s="147"/>
      <c r="O93" s="147"/>
      <c r="P93" s="147"/>
      <c r="Q93" s="147"/>
      <c r="R93" s="517">
        <f t="shared" si="30"/>
        <v>353500</v>
      </c>
      <c r="S93" s="147">
        <v>180000</v>
      </c>
      <c r="T93" s="147"/>
      <c r="U93" s="143"/>
    </row>
    <row r="94" spans="1:21" s="144" customFormat="1" x14ac:dyDescent="0.25">
      <c r="A94" s="1151" t="s">
        <v>2753</v>
      </c>
      <c r="B94" s="146">
        <f t="shared" si="28"/>
        <v>215000</v>
      </c>
      <c r="C94" s="147">
        <v>215000</v>
      </c>
      <c r="D94" s="147"/>
      <c r="E94" s="147">
        <f t="shared" si="29"/>
        <v>215000</v>
      </c>
      <c r="F94" s="147"/>
      <c r="G94" s="147"/>
      <c r="H94" s="147"/>
      <c r="I94" s="147"/>
      <c r="J94" s="147"/>
      <c r="K94" s="147"/>
      <c r="L94" s="147"/>
      <c r="M94" s="147"/>
      <c r="N94" s="147"/>
      <c r="O94" s="147"/>
      <c r="P94" s="147"/>
      <c r="Q94" s="147"/>
      <c r="R94" s="517">
        <f t="shared" si="30"/>
        <v>215000</v>
      </c>
      <c r="S94" s="147">
        <v>212180</v>
      </c>
      <c r="T94" s="147"/>
      <c r="U94" s="143"/>
    </row>
    <row r="95" spans="1:21" s="144" customFormat="1" x14ac:dyDescent="0.25">
      <c r="A95" s="1151" t="s">
        <v>2754</v>
      </c>
      <c r="B95" s="146">
        <f t="shared" si="28"/>
        <v>290000</v>
      </c>
      <c r="C95" s="147">
        <v>290000</v>
      </c>
      <c r="D95" s="147"/>
      <c r="E95" s="147">
        <f t="shared" si="29"/>
        <v>290000</v>
      </c>
      <c r="F95" s="147"/>
      <c r="G95" s="147"/>
      <c r="H95" s="147"/>
      <c r="I95" s="147"/>
      <c r="J95" s="147"/>
      <c r="K95" s="147"/>
      <c r="L95" s="147"/>
      <c r="M95" s="147"/>
      <c r="N95" s="147"/>
      <c r="O95" s="147"/>
      <c r="P95" s="147"/>
      <c r="Q95" s="147"/>
      <c r="R95" s="517">
        <f t="shared" si="30"/>
        <v>290000</v>
      </c>
      <c r="S95" s="147">
        <v>287650</v>
      </c>
      <c r="T95" s="147"/>
      <c r="U95" s="143"/>
    </row>
    <row r="96" spans="1:21" s="144" customFormat="1" x14ac:dyDescent="0.25">
      <c r="A96" s="149" t="s">
        <v>775</v>
      </c>
      <c r="B96" s="146">
        <f>SUM(C96:D96)</f>
        <v>3453452</v>
      </c>
      <c r="C96" s="146">
        <f t="shared" ref="C96:R96" si="31">SUM(C83:C95)</f>
        <v>3453452</v>
      </c>
      <c r="D96" s="146">
        <f t="shared" si="31"/>
        <v>0</v>
      </c>
      <c r="E96" s="146">
        <f t="shared" si="31"/>
        <v>3453452</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3">
        <f t="shared" si="31"/>
        <v>3453452</v>
      </c>
      <c r="S96" s="150">
        <f>SUM(S84:S87,S89:S95)</f>
        <v>2962493</v>
      </c>
      <c r="T96" s="146">
        <f>SUM(T84:T87,T89:T95)</f>
        <v>0</v>
      </c>
      <c r="U96" s="143"/>
    </row>
    <row r="97" spans="1:21" s="144" customFormat="1" x14ac:dyDescent="0.25">
      <c r="A97" s="149" t="s">
        <v>776</v>
      </c>
      <c r="B97" s="146">
        <f>SUM(C97:D97)</f>
        <v>67596693</v>
      </c>
      <c r="C97" s="146">
        <f t="shared" ref="C97:R97" si="32">SUM(C63+C70+C77+C81+C96)</f>
        <v>67596693</v>
      </c>
      <c r="D97" s="146">
        <f t="shared" si="32"/>
        <v>0</v>
      </c>
      <c r="E97" s="146">
        <f t="shared" si="32"/>
        <v>29688643</v>
      </c>
      <c r="F97" s="146">
        <f t="shared" si="32"/>
        <v>13936131</v>
      </c>
      <c r="G97" s="146">
        <f t="shared" si="32"/>
        <v>16513169</v>
      </c>
      <c r="H97" s="146">
        <f t="shared" si="32"/>
        <v>7458750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67596693</v>
      </c>
      <c r="S97" s="146">
        <f>SUM(S63+S70+S81+S96)</f>
        <v>63073827</v>
      </c>
      <c r="T97" s="146">
        <f>SUM(T63+T70+T81+T96)</f>
        <v>0</v>
      </c>
      <c r="U97" s="143"/>
    </row>
    <row r="98" spans="1:21" s="144" customFormat="1" ht="12" x14ac:dyDescent="0.25">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x14ac:dyDescent="0.25">
      <c r="A99" s="145" t="s">
        <v>778</v>
      </c>
      <c r="B99" s="146">
        <f>SUM(C99+D99)</f>
        <v>9461074</v>
      </c>
      <c r="C99" s="980">
        <v>9461074</v>
      </c>
      <c r="D99" s="980"/>
      <c r="E99" s="980">
        <f>C99-I99</f>
        <v>3500000</v>
      </c>
      <c r="F99" s="147"/>
      <c r="G99" s="147"/>
      <c r="H99" s="147"/>
      <c r="I99" s="147">
        <v>5961074</v>
      </c>
      <c r="J99" s="147"/>
      <c r="K99" s="147"/>
      <c r="L99" s="147"/>
      <c r="M99" s="147"/>
      <c r="N99" s="147"/>
      <c r="O99" s="147"/>
      <c r="P99" s="147"/>
      <c r="Q99" s="147"/>
      <c r="R99" s="517">
        <f>SUM(E99:Q99)</f>
        <v>9461074</v>
      </c>
      <c r="S99" s="147">
        <f>C99</f>
        <v>9461074</v>
      </c>
      <c r="T99" s="147"/>
      <c r="U99" s="143"/>
    </row>
    <row r="100" spans="1:21" s="144" customFormat="1" x14ac:dyDescent="0.25">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x14ac:dyDescent="0.25">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x14ac:dyDescent="0.25">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x14ac:dyDescent="0.25">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x14ac:dyDescent="0.25">
      <c r="A104" s="149" t="s">
        <v>780</v>
      </c>
      <c r="B104" s="146">
        <f>SUM(C104:D104)</f>
        <v>9461074</v>
      </c>
      <c r="C104" s="146">
        <f>SUM(C99:C103)</f>
        <v>9461074</v>
      </c>
      <c r="D104" s="146">
        <f t="shared" ref="D104:T104" si="33">SUM(D99:D103)</f>
        <v>0</v>
      </c>
      <c r="E104" s="146">
        <f t="shared" si="33"/>
        <v>3500000</v>
      </c>
      <c r="F104" s="146">
        <f t="shared" si="33"/>
        <v>0</v>
      </c>
      <c r="G104" s="146">
        <f t="shared" si="33"/>
        <v>0</v>
      </c>
      <c r="H104" s="146">
        <f t="shared" si="33"/>
        <v>0</v>
      </c>
      <c r="I104" s="146">
        <f t="shared" si="33"/>
        <v>5961074</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3">
        <f t="shared" si="33"/>
        <v>9461074</v>
      </c>
      <c r="S104" s="150">
        <f t="shared" si="33"/>
        <v>9461074</v>
      </c>
      <c r="T104" s="150">
        <f t="shared" si="33"/>
        <v>0</v>
      </c>
      <c r="U104" s="143"/>
    </row>
    <row r="105" spans="1:21" s="144" customFormat="1" x14ac:dyDescent="0.25">
      <c r="A105" s="149" t="s">
        <v>781</v>
      </c>
      <c r="B105" s="150">
        <f>SUM(C105:D105)</f>
        <v>77057767</v>
      </c>
      <c r="C105" s="150">
        <f t="shared" ref="C105:R105" si="34">SUM(C97+C104)</f>
        <v>77057767</v>
      </c>
      <c r="D105" s="150">
        <f t="shared" si="34"/>
        <v>0</v>
      </c>
      <c r="E105" s="150">
        <f t="shared" si="34"/>
        <v>33188643</v>
      </c>
      <c r="F105" s="150">
        <f t="shared" si="34"/>
        <v>13936131</v>
      </c>
      <c r="G105" s="150">
        <f t="shared" si="34"/>
        <v>16513169</v>
      </c>
      <c r="H105" s="150">
        <f t="shared" si="34"/>
        <v>7458750</v>
      </c>
      <c r="I105" s="150">
        <f t="shared" si="34"/>
        <v>5961074</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3">
        <f t="shared" si="34"/>
        <v>77057767</v>
      </c>
      <c r="S105" s="150">
        <f>S97+S104</f>
        <v>72534901</v>
      </c>
      <c r="T105" s="150">
        <f>T97+T104</f>
        <v>0</v>
      </c>
      <c r="U105" s="143"/>
    </row>
    <row r="106" spans="1:21" x14ac:dyDescent="0.25">
      <c r="A106" s="515" t="s">
        <v>1021</v>
      </c>
      <c r="B106" s="157"/>
      <c r="C106" s="157"/>
      <c r="D106" s="157"/>
      <c r="H106" s="159" t="s">
        <v>92</v>
      </c>
      <c r="I106" s="159"/>
      <c r="J106" s="159"/>
      <c r="R106" s="160" t="s">
        <v>93</v>
      </c>
      <c r="S106" s="147"/>
      <c r="T106" s="147"/>
    </row>
    <row r="107" spans="1:21" x14ac:dyDescent="0.25">
      <c r="A107" s="157" t="s">
        <v>184</v>
      </c>
      <c r="C107" s="157"/>
      <c r="D107" s="157"/>
      <c r="I107" s="162" t="s">
        <v>350</v>
      </c>
      <c r="J107" s="162"/>
      <c r="R107" s="160" t="s">
        <v>94</v>
      </c>
      <c r="S107" s="150">
        <f>S105+S106</f>
        <v>72534901</v>
      </c>
      <c r="T107" s="150">
        <f>T105+T106</f>
        <v>0</v>
      </c>
    </row>
    <row r="108" spans="1:21" s="189" customFormat="1" x14ac:dyDescent="0.25">
      <c r="A108" s="162" t="s">
        <v>880</v>
      </c>
      <c r="B108" s="157"/>
      <c r="C108" s="157"/>
      <c r="D108" s="157"/>
      <c r="E108" s="302">
        <f>Application!AO640</f>
        <v>33188643</v>
      </c>
      <c r="F108" s="302">
        <f>Application!AO627</f>
        <v>13936131</v>
      </c>
      <c r="G108" s="302">
        <f>Application!AO628</f>
        <v>16513169</v>
      </c>
      <c r="H108" s="302">
        <f>Application!AO629</f>
        <v>7458750</v>
      </c>
      <c r="I108" s="302">
        <f>Application!AO630</f>
        <v>5961074</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x14ac:dyDescent="0.25">
      <c r="A109" s="157"/>
      <c r="B109" s="157"/>
      <c r="C109" s="157"/>
      <c r="D109" s="157"/>
    </row>
    <row r="110" spans="1:21" x14ac:dyDescent="0.25">
      <c r="A110" s="162" t="s">
        <v>959</v>
      </c>
      <c r="B110" s="157"/>
      <c r="C110" s="157"/>
      <c r="D110" s="157"/>
    </row>
    <row r="111" spans="1:21" x14ac:dyDescent="0.25">
      <c r="A111" s="156" t="s">
        <v>960</v>
      </c>
      <c r="B111" s="157"/>
      <c r="C111" s="157"/>
      <c r="D111" s="157"/>
    </row>
    <row r="112" spans="1:21" ht="12" customHeight="1" x14ac:dyDescent="0.25">
      <c r="A112" s="313"/>
      <c r="B112" s="157"/>
      <c r="C112" s="157"/>
      <c r="D112" s="157"/>
    </row>
    <row r="113" spans="1:21" x14ac:dyDescent="0.25">
      <c r="A113" s="156" t="s">
        <v>1020</v>
      </c>
      <c r="B113" s="157"/>
      <c r="C113" s="157"/>
      <c r="D113" s="157"/>
    </row>
    <row r="114" spans="1:21" x14ac:dyDescent="0.25">
      <c r="A114" s="156" t="s">
        <v>2098</v>
      </c>
      <c r="B114" s="157"/>
      <c r="C114" s="157"/>
      <c r="D114" s="157"/>
    </row>
    <row r="115" spans="1:21" ht="12" customHeight="1" x14ac:dyDescent="0.25">
      <c r="A115" s="313"/>
      <c r="B115" s="157"/>
      <c r="C115" s="157"/>
      <c r="D115" s="157"/>
    </row>
    <row r="116" spans="1:21" x14ac:dyDescent="0.25">
      <c r="A116" s="346" t="s">
        <v>1023</v>
      </c>
      <c r="B116" s="157"/>
      <c r="C116" s="157"/>
      <c r="D116" s="157"/>
    </row>
    <row r="117" spans="1:21" x14ac:dyDescent="0.25">
      <c r="A117" s="346" t="s">
        <v>1224</v>
      </c>
      <c r="B117" s="157"/>
      <c r="C117" s="157"/>
      <c r="D117" s="157"/>
    </row>
    <row r="118" spans="1:21" x14ac:dyDescent="0.25">
      <c r="A118" s="346" t="s">
        <v>1022</v>
      </c>
      <c r="B118" s="157"/>
      <c r="C118" s="157"/>
      <c r="D118" s="157"/>
    </row>
    <row r="119" spans="1:21" x14ac:dyDescent="0.25">
      <c r="A119" s="346" t="s">
        <v>1024</v>
      </c>
      <c r="B119" s="157"/>
      <c r="C119" s="157"/>
      <c r="D119" s="157"/>
    </row>
    <row r="120" spans="1:21" ht="12" customHeight="1" x14ac:dyDescent="0.25">
      <c r="A120" s="345"/>
      <c r="B120" s="157"/>
      <c r="C120" s="157"/>
      <c r="D120" s="157"/>
    </row>
    <row r="121" spans="1:21" ht="15.5" x14ac:dyDescent="0.25">
      <c r="A121" s="339" t="s">
        <v>1006</v>
      </c>
      <c r="B121" s="157"/>
      <c r="C121" s="157"/>
      <c r="D121" s="157"/>
    </row>
    <row r="122" spans="1:21" x14ac:dyDescent="0.25">
      <c r="A122" s="326" t="s">
        <v>990</v>
      </c>
      <c r="B122" s="325"/>
      <c r="C122" s="325"/>
      <c r="D122" s="1863" t="s">
        <v>991</v>
      </c>
      <c r="E122" s="1863"/>
      <c r="F122" s="1863"/>
      <c r="G122" s="325"/>
      <c r="H122" s="325"/>
      <c r="I122" s="325"/>
      <c r="J122" s="325"/>
      <c r="K122" s="325"/>
      <c r="L122" s="325"/>
      <c r="M122" s="325"/>
      <c r="N122" s="325"/>
      <c r="O122" s="325"/>
      <c r="P122" s="325"/>
      <c r="Q122" s="325"/>
      <c r="R122" s="325"/>
      <c r="S122" s="325"/>
      <c r="T122" s="325"/>
      <c r="U122" s="327"/>
    </row>
    <row r="123" spans="1:21" x14ac:dyDescent="0.25">
      <c r="A123" s="325" t="s">
        <v>992</v>
      </c>
      <c r="B123" s="334"/>
      <c r="C123" s="325"/>
      <c r="D123" s="1865" t="s">
        <v>1225</v>
      </c>
      <c r="E123" s="1785"/>
      <c r="F123" s="1785"/>
      <c r="G123" s="1785"/>
      <c r="H123" s="1785"/>
      <c r="I123" s="1785"/>
      <c r="J123" s="1785"/>
      <c r="K123" s="1785"/>
      <c r="L123" s="1785"/>
      <c r="M123" s="1785"/>
      <c r="N123" s="1785"/>
      <c r="O123" s="1785"/>
      <c r="P123" s="1785"/>
      <c r="Q123" s="1785"/>
      <c r="R123" s="1785"/>
      <c r="S123" s="1785"/>
      <c r="T123" s="325"/>
      <c r="U123" s="327"/>
    </row>
    <row r="124" spans="1:21" ht="12.5" x14ac:dyDescent="0.25">
      <c r="A124" s="117" t="s">
        <v>993</v>
      </c>
      <c r="B124" s="334"/>
      <c r="C124" s="117"/>
      <c r="D124" s="1785"/>
      <c r="E124" s="1785"/>
      <c r="F124" s="1785"/>
      <c r="G124" s="1785"/>
      <c r="H124" s="1785"/>
      <c r="I124" s="1785"/>
      <c r="J124" s="1785"/>
      <c r="K124" s="1785"/>
      <c r="L124" s="1785"/>
      <c r="M124" s="1785"/>
      <c r="N124" s="1785"/>
      <c r="O124" s="1785"/>
      <c r="P124" s="1785"/>
      <c r="Q124" s="1785"/>
      <c r="R124" s="1785"/>
      <c r="S124" s="1785"/>
      <c r="T124" s="325"/>
      <c r="U124" s="327"/>
    </row>
    <row r="125" spans="1:21" ht="12.5" x14ac:dyDescent="0.25">
      <c r="A125" s="117" t="s">
        <v>994</v>
      </c>
      <c r="B125" s="334"/>
      <c r="C125" s="117"/>
      <c r="D125" s="1785"/>
      <c r="E125" s="1785"/>
      <c r="F125" s="1785"/>
      <c r="G125" s="1785"/>
      <c r="H125" s="1785"/>
      <c r="I125" s="1785"/>
      <c r="J125" s="1785"/>
      <c r="K125" s="1785"/>
      <c r="L125" s="1785"/>
      <c r="M125" s="1785"/>
      <c r="N125" s="1785"/>
      <c r="O125" s="1785"/>
      <c r="P125" s="1785"/>
      <c r="Q125" s="1785"/>
      <c r="R125" s="1785"/>
      <c r="S125" s="1785"/>
      <c r="T125" s="325"/>
      <c r="U125" s="327"/>
    </row>
    <row r="126" spans="1:21" ht="12.5" x14ac:dyDescent="0.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x14ac:dyDescent="0.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x14ac:dyDescent="0.25">
      <c r="A128" s="117" t="s">
        <v>997</v>
      </c>
      <c r="B128" s="334"/>
      <c r="C128" s="117"/>
      <c r="D128" s="1860"/>
      <c r="E128" s="1860"/>
      <c r="F128" s="1860"/>
      <c r="G128" s="1860"/>
      <c r="H128" s="1860"/>
      <c r="I128" s="117"/>
      <c r="J128" s="1861"/>
      <c r="K128" s="1861"/>
      <c r="L128" s="117"/>
      <c r="M128" s="117"/>
      <c r="N128" s="117"/>
      <c r="O128" s="117"/>
      <c r="P128" s="117"/>
      <c r="Q128" s="117"/>
      <c r="R128" s="117"/>
      <c r="S128" s="117"/>
      <c r="T128" s="325"/>
      <c r="U128" s="327"/>
    </row>
    <row r="129" spans="1:21" ht="12.5" x14ac:dyDescent="0.25">
      <c r="A129" s="117" t="s">
        <v>300</v>
      </c>
      <c r="B129" s="334"/>
      <c r="C129" s="117"/>
      <c r="D129" s="1862" t="s">
        <v>998</v>
      </c>
      <c r="E129" s="1862"/>
      <c r="F129" s="1862"/>
      <c r="G129" s="1862"/>
      <c r="H129" s="1862"/>
      <c r="I129" s="117"/>
      <c r="J129" s="117" t="s">
        <v>999</v>
      </c>
      <c r="K129" s="117"/>
      <c r="L129" s="117"/>
      <c r="M129" s="117"/>
      <c r="N129" s="117"/>
      <c r="O129" s="117"/>
      <c r="P129" s="117"/>
      <c r="Q129" s="117"/>
      <c r="R129" s="117"/>
      <c r="S129" s="117"/>
      <c r="T129" s="325"/>
      <c r="U129" s="327"/>
    </row>
    <row r="130" spans="1:21" ht="12" customHeight="1" x14ac:dyDescent="0.25">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x14ac:dyDescent="0.25">
      <c r="A131" s="336" t="s">
        <v>1000</v>
      </c>
      <c r="B131" s="335">
        <f>SUM(B123:B129)</f>
        <v>0</v>
      </c>
      <c r="C131" s="117"/>
      <c r="D131" s="1813"/>
      <c r="E131" s="1813"/>
      <c r="F131" s="1813"/>
      <c r="G131" s="1813"/>
      <c r="H131" s="1813"/>
      <c r="I131" s="117"/>
      <c r="J131" s="1813"/>
      <c r="K131" s="1813"/>
      <c r="L131" s="1813"/>
      <c r="M131" s="1813"/>
      <c r="N131" s="117"/>
      <c r="O131" s="117"/>
      <c r="P131" s="117"/>
      <c r="Q131" s="117"/>
      <c r="R131" s="117"/>
      <c r="S131" s="117"/>
      <c r="T131" s="325"/>
      <c r="U131" s="327"/>
    </row>
    <row r="132" spans="1:21" ht="12" customHeight="1" x14ac:dyDescent="0.25">
      <c r="A132" s="337"/>
      <c r="B132" s="117"/>
      <c r="C132" s="117"/>
      <c r="D132" s="1866" t="s">
        <v>1001</v>
      </c>
      <c r="E132" s="1866"/>
      <c r="F132" s="1866"/>
      <c r="G132" s="1866"/>
      <c r="H132" s="1866"/>
      <c r="I132" s="117"/>
      <c r="J132" s="1866" t="s">
        <v>1002</v>
      </c>
      <c r="K132" s="1866"/>
      <c r="L132" s="1866"/>
      <c r="M132" s="1866"/>
      <c r="N132" s="117"/>
      <c r="O132" s="117"/>
      <c r="P132" s="117"/>
      <c r="Q132" s="117"/>
      <c r="R132" s="117"/>
      <c r="S132" s="117"/>
      <c r="T132" s="325"/>
      <c r="U132" s="327"/>
    </row>
    <row r="133" spans="1:21" ht="12" customHeight="1" x14ac:dyDescent="0.25">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x14ac:dyDescent="0.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x14ac:dyDescent="0.2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x14ac:dyDescent="0.25">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x14ac:dyDescent="0.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x14ac:dyDescent="0.25">
      <c r="A138" s="1867"/>
      <c r="B138" s="1860"/>
      <c r="C138" s="1860"/>
      <c r="D138" s="329"/>
      <c r="E138" s="1861"/>
      <c r="F138" s="1861"/>
      <c r="G138" s="117"/>
      <c r="H138" s="117"/>
      <c r="I138" s="117"/>
      <c r="J138" s="117"/>
      <c r="K138" s="117"/>
      <c r="L138" s="117"/>
      <c r="M138" s="117"/>
      <c r="N138" s="117"/>
      <c r="O138" s="117"/>
      <c r="P138" s="117"/>
      <c r="Q138" s="117"/>
      <c r="R138" s="117"/>
      <c r="S138" s="117"/>
      <c r="T138" s="331"/>
      <c r="U138" s="332"/>
    </row>
    <row r="139" spans="1:21" ht="13" x14ac:dyDescent="0.25">
      <c r="A139" s="1864" t="s">
        <v>1005</v>
      </c>
      <c r="B139" s="1864"/>
      <c r="C139" s="1864"/>
      <c r="D139" s="329"/>
      <c r="E139" s="117" t="s">
        <v>999</v>
      </c>
      <c r="F139" s="117"/>
      <c r="G139" s="117"/>
      <c r="H139" s="117"/>
      <c r="I139" s="117"/>
      <c r="J139" s="117"/>
      <c r="K139" s="117"/>
      <c r="L139" s="117"/>
      <c r="M139" s="117"/>
      <c r="N139" s="117"/>
      <c r="O139" s="117"/>
      <c r="P139" s="117"/>
      <c r="Q139" s="117"/>
      <c r="R139" s="117"/>
      <c r="S139" s="117"/>
      <c r="T139" s="331"/>
      <c r="U139" s="332"/>
    </row>
    <row r="140" spans="1:21" ht="13" x14ac:dyDescent="0.2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x14ac:dyDescent="0.25"/>
    <row r="152" x14ac:dyDescent="0.25"/>
    <row r="153" x14ac:dyDescent="0.25"/>
    <row r="154" x14ac:dyDescent="0.25"/>
    <row r="155" x14ac:dyDescent="0.2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13" sqref="A13"/>
    </sheetView>
  </sheetViews>
  <sheetFormatPr defaultColWidth="0" defaultRowHeight="11.5" zeroHeight="1" x14ac:dyDescent="0.25"/>
  <cols>
    <col min="1" max="1" width="32.6328125" style="398" customWidth="1"/>
    <col min="2" max="3" width="12.08984375" style="394" customWidth="1"/>
    <col min="4" max="6" width="12.90625" style="394" customWidth="1"/>
    <col min="7" max="9" width="12.08984375" style="394" customWidth="1"/>
    <col min="10" max="10" width="12.08984375" style="395" customWidth="1"/>
    <col min="11" max="11" width="8.90625" style="396" hidden="1" customWidth="1"/>
    <col min="12" max="21" width="8.90625" style="394" hidden="1" customWidth="1"/>
    <col min="22" max="23" width="0" style="394" hidden="1"/>
    <col min="24" max="256" width="8.90625" style="394" hidden="1"/>
    <col min="257" max="257" width="32.6328125" style="394" hidden="1" customWidth="1"/>
    <col min="258" max="259" width="12.08984375" style="394" hidden="1" customWidth="1"/>
    <col min="260" max="260" width="12.90625" style="394" hidden="1" customWidth="1"/>
    <col min="261" max="266" width="12.08984375" style="394" hidden="1" customWidth="1"/>
    <col min="267" max="277" width="8.90625" style="394" hidden="1" customWidth="1"/>
    <col min="278" max="512" width="8.90625" style="394" hidden="1"/>
    <col min="513" max="513" width="32.6328125" style="394" hidden="1" customWidth="1"/>
    <col min="514" max="515" width="12.08984375" style="394" hidden="1" customWidth="1"/>
    <col min="516" max="516" width="12.90625" style="394" hidden="1" customWidth="1"/>
    <col min="517" max="522" width="12.08984375" style="394" hidden="1" customWidth="1"/>
    <col min="523" max="533" width="8.90625" style="394" hidden="1" customWidth="1"/>
    <col min="534" max="768" width="8.90625" style="394" hidden="1"/>
    <col min="769" max="769" width="32.6328125" style="394" hidden="1" customWidth="1"/>
    <col min="770" max="771" width="12.08984375" style="394" hidden="1" customWidth="1"/>
    <col min="772" max="772" width="12.90625" style="394" hidden="1" customWidth="1"/>
    <col min="773" max="778" width="12.08984375" style="394" hidden="1" customWidth="1"/>
    <col min="779" max="789" width="8.90625" style="394" hidden="1" customWidth="1"/>
    <col min="790" max="1024" width="8.90625" style="394" hidden="1"/>
    <col min="1025" max="1025" width="32.6328125" style="394" hidden="1" customWidth="1"/>
    <col min="1026" max="1027" width="12.08984375" style="394" hidden="1" customWidth="1"/>
    <col min="1028" max="1028" width="12.90625" style="394" hidden="1" customWidth="1"/>
    <col min="1029" max="1034" width="12.08984375" style="394" hidden="1" customWidth="1"/>
    <col min="1035" max="1045" width="8.90625" style="394" hidden="1" customWidth="1"/>
    <col min="1046" max="1280" width="8.90625" style="394" hidden="1"/>
    <col min="1281" max="1281" width="32.6328125" style="394" hidden="1" customWidth="1"/>
    <col min="1282" max="1283" width="12.08984375" style="394" hidden="1" customWidth="1"/>
    <col min="1284" max="1284" width="12.90625" style="394" hidden="1" customWidth="1"/>
    <col min="1285" max="1290" width="12.08984375" style="394" hidden="1" customWidth="1"/>
    <col min="1291" max="1301" width="8.90625" style="394" hidden="1" customWidth="1"/>
    <col min="1302" max="1536" width="8.90625" style="394" hidden="1"/>
    <col min="1537" max="1537" width="32.6328125" style="394" hidden="1" customWidth="1"/>
    <col min="1538" max="1539" width="12.08984375" style="394" hidden="1" customWidth="1"/>
    <col min="1540" max="1540" width="12.90625" style="394" hidden="1" customWidth="1"/>
    <col min="1541" max="1546" width="12.08984375" style="394" hidden="1" customWidth="1"/>
    <col min="1547" max="1557" width="8.90625" style="394" hidden="1" customWidth="1"/>
    <col min="1558" max="1792" width="8.90625" style="394" hidden="1"/>
    <col min="1793" max="1793" width="32.6328125" style="394" hidden="1" customWidth="1"/>
    <col min="1794" max="1795" width="12.08984375" style="394" hidden="1" customWidth="1"/>
    <col min="1796" max="1796" width="12.90625" style="394" hidden="1" customWidth="1"/>
    <col min="1797" max="1802" width="12.08984375" style="394" hidden="1" customWidth="1"/>
    <col min="1803" max="1813" width="8.90625" style="394" hidden="1" customWidth="1"/>
    <col min="1814" max="2048" width="8.90625" style="394" hidden="1"/>
    <col min="2049" max="2049" width="32.6328125" style="394" hidden="1" customWidth="1"/>
    <col min="2050" max="2051" width="12.08984375" style="394" hidden="1" customWidth="1"/>
    <col min="2052" max="2052" width="12.90625" style="394" hidden="1" customWidth="1"/>
    <col min="2053" max="2058" width="12.08984375" style="394" hidden="1" customWidth="1"/>
    <col min="2059" max="2069" width="8.90625" style="394" hidden="1" customWidth="1"/>
    <col min="2070" max="2304" width="8.90625" style="394" hidden="1"/>
    <col min="2305" max="2305" width="32.6328125" style="394" hidden="1" customWidth="1"/>
    <col min="2306" max="2307" width="12.08984375" style="394" hidden="1" customWidth="1"/>
    <col min="2308" max="2308" width="12.90625" style="394" hidden="1" customWidth="1"/>
    <col min="2309" max="2314" width="12.08984375" style="394" hidden="1" customWidth="1"/>
    <col min="2315" max="2325" width="8.90625" style="394" hidden="1" customWidth="1"/>
    <col min="2326" max="2560" width="8.90625" style="394" hidden="1"/>
    <col min="2561" max="2561" width="32.6328125" style="394" hidden="1" customWidth="1"/>
    <col min="2562" max="2563" width="12.08984375" style="394" hidden="1" customWidth="1"/>
    <col min="2564" max="2564" width="12.90625" style="394" hidden="1" customWidth="1"/>
    <col min="2565" max="2570" width="12.08984375" style="394" hidden="1" customWidth="1"/>
    <col min="2571" max="2581" width="8.90625" style="394" hidden="1" customWidth="1"/>
    <col min="2582" max="2816" width="8.90625" style="394" hidden="1"/>
    <col min="2817" max="2817" width="32.6328125" style="394" hidden="1" customWidth="1"/>
    <col min="2818" max="2819" width="12.08984375" style="394" hidden="1" customWidth="1"/>
    <col min="2820" max="2820" width="12.90625" style="394" hidden="1" customWidth="1"/>
    <col min="2821" max="2826" width="12.08984375" style="394" hidden="1" customWidth="1"/>
    <col min="2827" max="2837" width="8.90625" style="394" hidden="1" customWidth="1"/>
    <col min="2838" max="3072" width="8.90625" style="394" hidden="1"/>
    <col min="3073" max="3073" width="32.6328125" style="394" hidden="1" customWidth="1"/>
    <col min="3074" max="3075" width="12.08984375" style="394" hidden="1" customWidth="1"/>
    <col min="3076" max="3076" width="12.90625" style="394" hidden="1" customWidth="1"/>
    <col min="3077" max="3082" width="12.08984375" style="394" hidden="1" customWidth="1"/>
    <col min="3083" max="3093" width="8.90625" style="394" hidden="1" customWidth="1"/>
    <col min="3094" max="3328" width="8.90625" style="394" hidden="1"/>
    <col min="3329" max="3329" width="32.6328125" style="394" hidden="1" customWidth="1"/>
    <col min="3330" max="3331" width="12.08984375" style="394" hidden="1" customWidth="1"/>
    <col min="3332" max="3332" width="12.90625" style="394" hidden="1" customWidth="1"/>
    <col min="3333" max="3338" width="12.08984375" style="394" hidden="1" customWidth="1"/>
    <col min="3339" max="3349" width="8.90625" style="394" hidden="1" customWidth="1"/>
    <col min="3350" max="3584" width="8.90625" style="394" hidden="1"/>
    <col min="3585" max="3585" width="32.6328125" style="394" hidden="1" customWidth="1"/>
    <col min="3586" max="3587" width="12.08984375" style="394" hidden="1" customWidth="1"/>
    <col min="3588" max="3588" width="12.90625" style="394" hidden="1" customWidth="1"/>
    <col min="3589" max="3594" width="12.08984375" style="394" hidden="1" customWidth="1"/>
    <col min="3595" max="3605" width="8.90625" style="394" hidden="1" customWidth="1"/>
    <col min="3606" max="3840" width="8.90625" style="394" hidden="1"/>
    <col min="3841" max="3841" width="32.6328125" style="394" hidden="1" customWidth="1"/>
    <col min="3842" max="3843" width="12.08984375" style="394" hidden="1" customWidth="1"/>
    <col min="3844" max="3844" width="12.90625" style="394" hidden="1" customWidth="1"/>
    <col min="3845" max="3850" width="12.08984375" style="394" hidden="1" customWidth="1"/>
    <col min="3851" max="3861" width="8.90625" style="394" hidden="1" customWidth="1"/>
    <col min="3862" max="4096" width="8.90625" style="394" hidden="1"/>
    <col min="4097" max="4097" width="32.6328125" style="394" hidden="1" customWidth="1"/>
    <col min="4098" max="4099" width="12.08984375" style="394" hidden="1" customWidth="1"/>
    <col min="4100" max="4100" width="12.90625" style="394" hidden="1" customWidth="1"/>
    <col min="4101" max="4106" width="12.08984375" style="394" hidden="1" customWidth="1"/>
    <col min="4107" max="4117" width="8.90625" style="394" hidden="1" customWidth="1"/>
    <col min="4118" max="4352" width="8.90625" style="394" hidden="1"/>
    <col min="4353" max="4353" width="32.6328125" style="394" hidden="1" customWidth="1"/>
    <col min="4354" max="4355" width="12.08984375" style="394" hidden="1" customWidth="1"/>
    <col min="4356" max="4356" width="12.90625" style="394" hidden="1" customWidth="1"/>
    <col min="4357" max="4362" width="12.08984375" style="394" hidden="1" customWidth="1"/>
    <col min="4363" max="4373" width="8.90625" style="394" hidden="1" customWidth="1"/>
    <col min="4374" max="4608" width="8.90625" style="394" hidden="1"/>
    <col min="4609" max="4609" width="32.6328125" style="394" hidden="1" customWidth="1"/>
    <col min="4610" max="4611" width="12.08984375" style="394" hidden="1" customWidth="1"/>
    <col min="4612" max="4612" width="12.90625" style="394" hidden="1" customWidth="1"/>
    <col min="4613" max="4618" width="12.08984375" style="394" hidden="1" customWidth="1"/>
    <col min="4619" max="4629" width="8.90625" style="394" hidden="1" customWidth="1"/>
    <col min="4630" max="4864" width="8.90625" style="394" hidden="1"/>
    <col min="4865" max="4865" width="32.6328125" style="394" hidden="1" customWidth="1"/>
    <col min="4866" max="4867" width="12.08984375" style="394" hidden="1" customWidth="1"/>
    <col min="4868" max="4868" width="12.90625" style="394" hidden="1" customWidth="1"/>
    <col min="4869" max="4874" width="12.08984375" style="394" hidden="1" customWidth="1"/>
    <col min="4875" max="4885" width="8.90625" style="394" hidden="1" customWidth="1"/>
    <col min="4886" max="5120" width="8.90625" style="394" hidden="1"/>
    <col min="5121" max="5121" width="32.6328125" style="394" hidden="1" customWidth="1"/>
    <col min="5122" max="5123" width="12.08984375" style="394" hidden="1" customWidth="1"/>
    <col min="5124" max="5124" width="12.90625" style="394" hidden="1" customWidth="1"/>
    <col min="5125" max="5130" width="12.08984375" style="394" hidden="1" customWidth="1"/>
    <col min="5131" max="5141" width="8.90625" style="394" hidden="1" customWidth="1"/>
    <col min="5142" max="5376" width="8.90625" style="394" hidden="1"/>
    <col min="5377" max="5377" width="32.6328125" style="394" hidden="1" customWidth="1"/>
    <col min="5378" max="5379" width="12.08984375" style="394" hidden="1" customWidth="1"/>
    <col min="5380" max="5380" width="12.90625" style="394" hidden="1" customWidth="1"/>
    <col min="5381" max="5386" width="12.08984375" style="394" hidden="1" customWidth="1"/>
    <col min="5387" max="5397" width="8.90625" style="394" hidden="1" customWidth="1"/>
    <col min="5398" max="5632" width="8.90625" style="394" hidden="1"/>
    <col min="5633" max="5633" width="32.6328125" style="394" hidden="1" customWidth="1"/>
    <col min="5634" max="5635" width="12.08984375" style="394" hidden="1" customWidth="1"/>
    <col min="5636" max="5636" width="12.90625" style="394" hidden="1" customWidth="1"/>
    <col min="5637" max="5642" width="12.08984375" style="394" hidden="1" customWidth="1"/>
    <col min="5643" max="5653" width="8.90625" style="394" hidden="1" customWidth="1"/>
    <col min="5654" max="5888" width="8.90625" style="394" hidden="1"/>
    <col min="5889" max="5889" width="32.6328125" style="394" hidden="1" customWidth="1"/>
    <col min="5890" max="5891" width="12.08984375" style="394" hidden="1" customWidth="1"/>
    <col min="5892" max="5892" width="12.90625" style="394" hidden="1" customWidth="1"/>
    <col min="5893" max="5898" width="12.08984375" style="394" hidden="1" customWidth="1"/>
    <col min="5899" max="5909" width="8.90625" style="394" hidden="1" customWidth="1"/>
    <col min="5910" max="6144" width="8.90625" style="394" hidden="1"/>
    <col min="6145" max="6145" width="32.6328125" style="394" hidden="1" customWidth="1"/>
    <col min="6146" max="6147" width="12.08984375" style="394" hidden="1" customWidth="1"/>
    <col min="6148" max="6148" width="12.90625" style="394" hidden="1" customWidth="1"/>
    <col min="6149" max="6154" width="12.08984375" style="394" hidden="1" customWidth="1"/>
    <col min="6155" max="6165" width="8.90625" style="394" hidden="1" customWidth="1"/>
    <col min="6166" max="6400" width="8.90625" style="394" hidden="1"/>
    <col min="6401" max="6401" width="32.6328125" style="394" hidden="1" customWidth="1"/>
    <col min="6402" max="6403" width="12.08984375" style="394" hidden="1" customWidth="1"/>
    <col min="6404" max="6404" width="12.90625" style="394" hidden="1" customWidth="1"/>
    <col min="6405" max="6410" width="12.08984375" style="394" hidden="1" customWidth="1"/>
    <col min="6411" max="6421" width="8.90625" style="394" hidden="1" customWidth="1"/>
    <col min="6422" max="6656" width="8.90625" style="394" hidden="1"/>
    <col min="6657" max="6657" width="32.6328125" style="394" hidden="1" customWidth="1"/>
    <col min="6658" max="6659" width="12.08984375" style="394" hidden="1" customWidth="1"/>
    <col min="6660" max="6660" width="12.90625" style="394" hidden="1" customWidth="1"/>
    <col min="6661" max="6666" width="12.08984375" style="394" hidden="1" customWidth="1"/>
    <col min="6667" max="6677" width="8.90625" style="394" hidden="1" customWidth="1"/>
    <col min="6678" max="6912" width="8.90625" style="394" hidden="1"/>
    <col min="6913" max="6913" width="32.6328125" style="394" hidden="1" customWidth="1"/>
    <col min="6914" max="6915" width="12.08984375" style="394" hidden="1" customWidth="1"/>
    <col min="6916" max="6916" width="12.90625" style="394" hidden="1" customWidth="1"/>
    <col min="6917" max="6922" width="12.08984375" style="394" hidden="1" customWidth="1"/>
    <col min="6923" max="6933" width="8.90625" style="394" hidden="1" customWidth="1"/>
    <col min="6934" max="7168" width="8.90625" style="394" hidden="1"/>
    <col min="7169" max="7169" width="32.6328125" style="394" hidden="1" customWidth="1"/>
    <col min="7170" max="7171" width="12.08984375" style="394" hidden="1" customWidth="1"/>
    <col min="7172" max="7172" width="12.90625" style="394" hidden="1" customWidth="1"/>
    <col min="7173" max="7178" width="12.08984375" style="394" hidden="1" customWidth="1"/>
    <col min="7179" max="7189" width="8.90625" style="394" hidden="1" customWidth="1"/>
    <col min="7190" max="7424" width="8.90625" style="394" hidden="1"/>
    <col min="7425" max="7425" width="32.6328125" style="394" hidden="1" customWidth="1"/>
    <col min="7426" max="7427" width="12.08984375" style="394" hidden="1" customWidth="1"/>
    <col min="7428" max="7428" width="12.90625" style="394" hidden="1" customWidth="1"/>
    <col min="7429" max="7434" width="12.08984375" style="394" hidden="1" customWidth="1"/>
    <col min="7435" max="7445" width="8.90625" style="394" hidden="1" customWidth="1"/>
    <col min="7446" max="7680" width="8.90625" style="394" hidden="1"/>
    <col min="7681" max="7681" width="32.6328125" style="394" hidden="1" customWidth="1"/>
    <col min="7682" max="7683" width="12.08984375" style="394" hidden="1" customWidth="1"/>
    <col min="7684" max="7684" width="12.90625" style="394" hidden="1" customWidth="1"/>
    <col min="7685" max="7690" width="12.08984375" style="394" hidden="1" customWidth="1"/>
    <col min="7691" max="7701" width="8.90625" style="394" hidden="1" customWidth="1"/>
    <col min="7702" max="7936" width="8.90625" style="394" hidden="1"/>
    <col min="7937" max="7937" width="32.6328125" style="394" hidden="1" customWidth="1"/>
    <col min="7938" max="7939" width="12.08984375" style="394" hidden="1" customWidth="1"/>
    <col min="7940" max="7940" width="12.90625" style="394" hidden="1" customWidth="1"/>
    <col min="7941" max="7946" width="12.08984375" style="394" hidden="1" customWidth="1"/>
    <col min="7947" max="7957" width="8.90625" style="394" hidden="1" customWidth="1"/>
    <col min="7958" max="8192" width="8.90625" style="394" hidden="1"/>
    <col min="8193" max="8193" width="32.6328125" style="394" hidden="1" customWidth="1"/>
    <col min="8194" max="8195" width="12.08984375" style="394" hidden="1" customWidth="1"/>
    <col min="8196" max="8196" width="12.90625" style="394" hidden="1" customWidth="1"/>
    <col min="8197" max="8202" width="12.08984375" style="394" hidden="1" customWidth="1"/>
    <col min="8203" max="8213" width="8.90625" style="394" hidden="1" customWidth="1"/>
    <col min="8214" max="8448" width="8.90625" style="394" hidden="1"/>
    <col min="8449" max="8449" width="32.6328125" style="394" hidden="1" customWidth="1"/>
    <col min="8450" max="8451" width="12.08984375" style="394" hidden="1" customWidth="1"/>
    <col min="8452" max="8452" width="12.90625" style="394" hidden="1" customWidth="1"/>
    <col min="8453" max="8458" width="12.08984375" style="394" hidden="1" customWidth="1"/>
    <col min="8459" max="8469" width="8.90625" style="394" hidden="1" customWidth="1"/>
    <col min="8470" max="8704" width="8.90625" style="394" hidden="1"/>
    <col min="8705" max="8705" width="32.6328125" style="394" hidden="1" customWidth="1"/>
    <col min="8706" max="8707" width="12.08984375" style="394" hidden="1" customWidth="1"/>
    <col min="8708" max="8708" width="12.90625" style="394" hidden="1" customWidth="1"/>
    <col min="8709" max="8714" width="12.08984375" style="394" hidden="1" customWidth="1"/>
    <col min="8715" max="8725" width="8.90625" style="394" hidden="1" customWidth="1"/>
    <col min="8726" max="8960" width="8.90625" style="394" hidden="1"/>
    <col min="8961" max="8961" width="32.6328125" style="394" hidden="1" customWidth="1"/>
    <col min="8962" max="8963" width="12.08984375" style="394" hidden="1" customWidth="1"/>
    <col min="8964" max="8964" width="12.90625" style="394" hidden="1" customWidth="1"/>
    <col min="8965" max="8970" width="12.08984375" style="394" hidden="1" customWidth="1"/>
    <col min="8971" max="8981" width="8.90625" style="394" hidden="1" customWidth="1"/>
    <col min="8982" max="9216" width="8.90625" style="394" hidden="1"/>
    <col min="9217" max="9217" width="32.6328125" style="394" hidden="1" customWidth="1"/>
    <col min="9218" max="9219" width="12.08984375" style="394" hidden="1" customWidth="1"/>
    <col min="9220" max="9220" width="12.90625" style="394" hidden="1" customWidth="1"/>
    <col min="9221" max="9226" width="12.08984375" style="394" hidden="1" customWidth="1"/>
    <col min="9227" max="9237" width="8.90625" style="394" hidden="1" customWidth="1"/>
    <col min="9238" max="9472" width="8.90625" style="394" hidden="1"/>
    <col min="9473" max="9473" width="32.6328125" style="394" hidden="1" customWidth="1"/>
    <col min="9474" max="9475" width="12.08984375" style="394" hidden="1" customWidth="1"/>
    <col min="9476" max="9476" width="12.90625" style="394" hidden="1" customWidth="1"/>
    <col min="9477" max="9482" width="12.08984375" style="394" hidden="1" customWidth="1"/>
    <col min="9483" max="9493" width="8.90625" style="394" hidden="1" customWidth="1"/>
    <col min="9494" max="9728" width="8.90625" style="394" hidden="1"/>
    <col min="9729" max="9729" width="32.6328125" style="394" hidden="1" customWidth="1"/>
    <col min="9730" max="9731" width="12.08984375" style="394" hidden="1" customWidth="1"/>
    <col min="9732" max="9732" width="12.90625" style="394" hidden="1" customWidth="1"/>
    <col min="9733" max="9738" width="12.08984375" style="394" hidden="1" customWidth="1"/>
    <col min="9739" max="9749" width="8.90625" style="394" hidden="1" customWidth="1"/>
    <col min="9750" max="9984" width="8.90625" style="394" hidden="1"/>
    <col min="9985" max="9985" width="32.6328125" style="394" hidden="1" customWidth="1"/>
    <col min="9986" max="9987" width="12.08984375" style="394" hidden="1" customWidth="1"/>
    <col min="9988" max="9988" width="12.90625" style="394" hidden="1" customWidth="1"/>
    <col min="9989" max="9994" width="12.08984375" style="394" hidden="1" customWidth="1"/>
    <col min="9995" max="10005" width="8.90625" style="394" hidden="1" customWidth="1"/>
    <col min="10006" max="10240" width="8.90625" style="394" hidden="1"/>
    <col min="10241" max="10241" width="32.6328125" style="394" hidden="1" customWidth="1"/>
    <col min="10242" max="10243" width="12.08984375" style="394" hidden="1" customWidth="1"/>
    <col min="10244" max="10244" width="12.90625" style="394" hidden="1" customWidth="1"/>
    <col min="10245" max="10250" width="12.08984375" style="394" hidden="1" customWidth="1"/>
    <col min="10251" max="10261" width="8.90625" style="394" hidden="1" customWidth="1"/>
    <col min="10262" max="10496" width="8.90625" style="394" hidden="1"/>
    <col min="10497" max="10497" width="32.6328125" style="394" hidden="1" customWidth="1"/>
    <col min="10498" max="10499" width="12.08984375" style="394" hidden="1" customWidth="1"/>
    <col min="10500" max="10500" width="12.90625" style="394" hidden="1" customWidth="1"/>
    <col min="10501" max="10506" width="12.08984375" style="394" hidden="1" customWidth="1"/>
    <col min="10507" max="10517" width="8.90625" style="394" hidden="1" customWidth="1"/>
    <col min="10518" max="10752" width="8.90625" style="394" hidden="1"/>
    <col min="10753" max="10753" width="32.6328125" style="394" hidden="1" customWidth="1"/>
    <col min="10754" max="10755" width="12.08984375" style="394" hidden="1" customWidth="1"/>
    <col min="10756" max="10756" width="12.90625" style="394" hidden="1" customWidth="1"/>
    <col min="10757" max="10762" width="12.08984375" style="394" hidden="1" customWidth="1"/>
    <col min="10763" max="10773" width="8.90625" style="394" hidden="1" customWidth="1"/>
    <col min="10774" max="11008" width="8.90625" style="394" hidden="1"/>
    <col min="11009" max="11009" width="32.6328125" style="394" hidden="1" customWidth="1"/>
    <col min="11010" max="11011" width="12.08984375" style="394" hidden="1" customWidth="1"/>
    <col min="11012" max="11012" width="12.90625" style="394" hidden="1" customWidth="1"/>
    <col min="11013" max="11018" width="12.08984375" style="394" hidden="1" customWidth="1"/>
    <col min="11019" max="11029" width="8.90625" style="394" hidden="1" customWidth="1"/>
    <col min="11030" max="11264" width="8.90625" style="394" hidden="1"/>
    <col min="11265" max="11265" width="32.6328125" style="394" hidden="1" customWidth="1"/>
    <col min="11266" max="11267" width="12.08984375" style="394" hidden="1" customWidth="1"/>
    <col min="11268" max="11268" width="12.90625" style="394" hidden="1" customWidth="1"/>
    <col min="11269" max="11274" width="12.08984375" style="394" hidden="1" customWidth="1"/>
    <col min="11275" max="11285" width="8.90625" style="394" hidden="1" customWidth="1"/>
    <col min="11286" max="11520" width="8.90625" style="394" hidden="1"/>
    <col min="11521" max="11521" width="32.6328125" style="394" hidden="1" customWidth="1"/>
    <col min="11522" max="11523" width="12.08984375" style="394" hidden="1" customWidth="1"/>
    <col min="11524" max="11524" width="12.90625" style="394" hidden="1" customWidth="1"/>
    <col min="11525" max="11530" width="12.08984375" style="394" hidden="1" customWidth="1"/>
    <col min="11531" max="11541" width="8.90625" style="394" hidden="1" customWidth="1"/>
    <col min="11542" max="11776" width="8.90625" style="394" hidden="1"/>
    <col min="11777" max="11777" width="32.6328125" style="394" hidden="1" customWidth="1"/>
    <col min="11778" max="11779" width="12.08984375" style="394" hidden="1" customWidth="1"/>
    <col min="11780" max="11780" width="12.90625" style="394" hidden="1" customWidth="1"/>
    <col min="11781" max="11786" width="12.08984375" style="394" hidden="1" customWidth="1"/>
    <col min="11787" max="11797" width="8.90625" style="394" hidden="1" customWidth="1"/>
    <col min="11798" max="12032" width="8.90625" style="394" hidden="1"/>
    <col min="12033" max="12033" width="32.6328125" style="394" hidden="1" customWidth="1"/>
    <col min="12034" max="12035" width="12.08984375" style="394" hidden="1" customWidth="1"/>
    <col min="12036" max="12036" width="12.90625" style="394" hidden="1" customWidth="1"/>
    <col min="12037" max="12042" width="12.08984375" style="394" hidden="1" customWidth="1"/>
    <col min="12043" max="12053" width="8.90625" style="394" hidden="1" customWidth="1"/>
    <col min="12054" max="12288" width="8.90625" style="394" hidden="1"/>
    <col min="12289" max="12289" width="32.6328125" style="394" hidden="1" customWidth="1"/>
    <col min="12290" max="12291" width="12.08984375" style="394" hidden="1" customWidth="1"/>
    <col min="12292" max="12292" width="12.90625" style="394" hidden="1" customWidth="1"/>
    <col min="12293" max="12298" width="12.08984375" style="394" hidden="1" customWidth="1"/>
    <col min="12299" max="12309" width="8.90625" style="394" hidden="1" customWidth="1"/>
    <col min="12310" max="12544" width="8.90625" style="394" hidden="1"/>
    <col min="12545" max="12545" width="32.6328125" style="394" hidden="1" customWidth="1"/>
    <col min="12546" max="12547" width="12.08984375" style="394" hidden="1" customWidth="1"/>
    <col min="12548" max="12548" width="12.90625" style="394" hidden="1" customWidth="1"/>
    <col min="12549" max="12554" width="12.08984375" style="394" hidden="1" customWidth="1"/>
    <col min="12555" max="12565" width="8.90625" style="394" hidden="1" customWidth="1"/>
    <col min="12566" max="12800" width="8.90625" style="394" hidden="1"/>
    <col min="12801" max="12801" width="32.6328125" style="394" hidden="1" customWidth="1"/>
    <col min="12802" max="12803" width="12.08984375" style="394" hidden="1" customWidth="1"/>
    <col min="12804" max="12804" width="12.90625" style="394" hidden="1" customWidth="1"/>
    <col min="12805" max="12810" width="12.08984375" style="394" hidden="1" customWidth="1"/>
    <col min="12811" max="12821" width="8.90625" style="394" hidden="1" customWidth="1"/>
    <col min="12822" max="13056" width="8.90625" style="394" hidden="1"/>
    <col min="13057" max="13057" width="32.6328125" style="394" hidden="1" customWidth="1"/>
    <col min="13058" max="13059" width="12.08984375" style="394" hidden="1" customWidth="1"/>
    <col min="13060" max="13060" width="12.90625" style="394" hidden="1" customWidth="1"/>
    <col min="13061" max="13066" width="12.08984375" style="394" hidden="1" customWidth="1"/>
    <col min="13067" max="13077" width="8.90625" style="394" hidden="1" customWidth="1"/>
    <col min="13078" max="13312" width="8.90625" style="394" hidden="1"/>
    <col min="13313" max="13313" width="32.6328125" style="394" hidden="1" customWidth="1"/>
    <col min="13314" max="13315" width="12.08984375" style="394" hidden="1" customWidth="1"/>
    <col min="13316" max="13316" width="12.90625" style="394" hidden="1" customWidth="1"/>
    <col min="13317" max="13322" width="12.08984375" style="394" hidden="1" customWidth="1"/>
    <col min="13323" max="13333" width="8.90625" style="394" hidden="1" customWidth="1"/>
    <col min="13334" max="13568" width="8.90625" style="394" hidden="1"/>
    <col min="13569" max="13569" width="32.6328125" style="394" hidden="1" customWidth="1"/>
    <col min="13570" max="13571" width="12.08984375" style="394" hidden="1" customWidth="1"/>
    <col min="13572" max="13572" width="12.90625" style="394" hidden="1" customWidth="1"/>
    <col min="13573" max="13578" width="12.08984375" style="394" hidden="1" customWidth="1"/>
    <col min="13579" max="13589" width="8.90625" style="394" hidden="1" customWidth="1"/>
    <col min="13590" max="13824" width="8.90625" style="394" hidden="1"/>
    <col min="13825" max="13825" width="32.6328125" style="394" hidden="1" customWidth="1"/>
    <col min="13826" max="13827" width="12.08984375" style="394" hidden="1" customWidth="1"/>
    <col min="13828" max="13828" width="12.90625" style="394" hidden="1" customWidth="1"/>
    <col min="13829" max="13834" width="12.08984375" style="394" hidden="1" customWidth="1"/>
    <col min="13835" max="13845" width="8.90625" style="394" hidden="1" customWidth="1"/>
    <col min="13846" max="14080" width="8.90625" style="394" hidden="1"/>
    <col min="14081" max="14081" width="32.6328125" style="394" hidden="1" customWidth="1"/>
    <col min="14082" max="14083" width="12.08984375" style="394" hidden="1" customWidth="1"/>
    <col min="14084" max="14084" width="12.90625" style="394" hidden="1" customWidth="1"/>
    <col min="14085" max="14090" width="12.08984375" style="394" hidden="1" customWidth="1"/>
    <col min="14091" max="14101" width="8.90625" style="394" hidden="1" customWidth="1"/>
    <col min="14102" max="14336" width="8.90625" style="394" hidden="1"/>
    <col min="14337" max="14337" width="32.6328125" style="394" hidden="1" customWidth="1"/>
    <col min="14338" max="14339" width="12.08984375" style="394" hidden="1" customWidth="1"/>
    <col min="14340" max="14340" width="12.90625" style="394" hidden="1" customWidth="1"/>
    <col min="14341" max="14346" width="12.08984375" style="394" hidden="1" customWidth="1"/>
    <col min="14347" max="14357" width="8.90625" style="394" hidden="1" customWidth="1"/>
    <col min="14358" max="14592" width="8.90625" style="394" hidden="1"/>
    <col min="14593" max="14593" width="32.6328125" style="394" hidden="1" customWidth="1"/>
    <col min="14594" max="14595" width="12.08984375" style="394" hidden="1" customWidth="1"/>
    <col min="14596" max="14596" width="12.90625" style="394" hidden="1" customWidth="1"/>
    <col min="14597" max="14602" width="12.08984375" style="394" hidden="1" customWidth="1"/>
    <col min="14603" max="14613" width="8.90625" style="394" hidden="1" customWidth="1"/>
    <col min="14614" max="14848" width="8.90625" style="394" hidden="1"/>
    <col min="14849" max="14849" width="32.6328125" style="394" hidden="1" customWidth="1"/>
    <col min="14850" max="14851" width="12.08984375" style="394" hidden="1" customWidth="1"/>
    <col min="14852" max="14852" width="12.90625" style="394" hidden="1" customWidth="1"/>
    <col min="14853" max="14858" width="12.08984375" style="394" hidden="1" customWidth="1"/>
    <col min="14859" max="14869" width="8.90625" style="394" hidden="1" customWidth="1"/>
    <col min="14870" max="15104" width="8.90625" style="394" hidden="1"/>
    <col min="15105" max="15105" width="32.6328125" style="394" hidden="1" customWidth="1"/>
    <col min="15106" max="15107" width="12.08984375" style="394" hidden="1" customWidth="1"/>
    <col min="15108" max="15108" width="12.90625" style="394" hidden="1" customWidth="1"/>
    <col min="15109" max="15114" width="12.08984375" style="394" hidden="1" customWidth="1"/>
    <col min="15115" max="15125" width="8.90625" style="394" hidden="1" customWidth="1"/>
    <col min="15126" max="15360" width="8.90625" style="394" hidden="1"/>
    <col min="15361" max="15361" width="32.6328125" style="394" hidden="1" customWidth="1"/>
    <col min="15362" max="15363" width="12.08984375" style="394" hidden="1" customWidth="1"/>
    <col min="15364" max="15364" width="12.90625" style="394" hidden="1" customWidth="1"/>
    <col min="15365" max="15370" width="12.08984375" style="394" hidden="1" customWidth="1"/>
    <col min="15371" max="15381" width="8.90625" style="394" hidden="1" customWidth="1"/>
    <col min="15382" max="15616" width="8.90625" style="394" hidden="1"/>
    <col min="15617" max="15617" width="32.6328125" style="394" hidden="1" customWidth="1"/>
    <col min="15618" max="15619" width="12.08984375" style="394" hidden="1" customWidth="1"/>
    <col min="15620" max="15620" width="12.90625" style="394" hidden="1" customWidth="1"/>
    <col min="15621" max="15626" width="12.08984375" style="394" hidden="1" customWidth="1"/>
    <col min="15627" max="15637" width="8.90625" style="394" hidden="1" customWidth="1"/>
    <col min="15638" max="15872" width="8.90625" style="394" hidden="1"/>
    <col min="15873" max="15873" width="32.6328125" style="394" hidden="1" customWidth="1"/>
    <col min="15874" max="15875" width="12.08984375" style="394" hidden="1" customWidth="1"/>
    <col min="15876" max="15876" width="12.90625" style="394" hidden="1" customWidth="1"/>
    <col min="15877" max="15882" width="12.08984375" style="394" hidden="1" customWidth="1"/>
    <col min="15883" max="15893" width="8.90625" style="394" hidden="1" customWidth="1"/>
    <col min="15894" max="16128" width="8.90625" style="394" hidden="1"/>
    <col min="16129" max="16129" width="32.6328125" style="394" hidden="1" customWidth="1"/>
    <col min="16130" max="16131" width="12.08984375" style="394" hidden="1" customWidth="1"/>
    <col min="16132" max="16132" width="12.90625" style="394" hidden="1" customWidth="1"/>
    <col min="16133" max="16138" width="12.08984375" style="394" hidden="1" customWidth="1"/>
    <col min="16139" max="16149" width="8.90625" style="394" hidden="1" customWidth="1"/>
    <col min="16150" max="16384" width="8.90625" style="394" hidden="1"/>
  </cols>
  <sheetData>
    <row r="1" spans="1:11" s="357" customFormat="1" ht="13" x14ac:dyDescent="0.25">
      <c r="A1" s="1870" t="s">
        <v>1228</v>
      </c>
      <c r="B1" s="1871"/>
      <c r="C1" s="1871"/>
      <c r="D1" s="1871"/>
      <c r="E1" s="1871"/>
      <c r="F1" s="1871"/>
      <c r="G1" s="1871"/>
      <c r="H1" s="1871"/>
      <c r="I1" s="1871"/>
      <c r="J1" s="1872"/>
      <c r="K1" s="356"/>
    </row>
    <row r="2" spans="1:11" s="402" customFormat="1" ht="69" x14ac:dyDescent="0.25">
      <c r="A2" s="399"/>
      <c r="B2" s="400" t="s">
        <v>1028</v>
      </c>
      <c r="C2" s="400" t="s">
        <v>1230</v>
      </c>
      <c r="D2" s="400" t="s">
        <v>1231</v>
      </c>
      <c r="E2" s="400" t="s">
        <v>1159</v>
      </c>
      <c r="F2" s="400" t="s">
        <v>1232</v>
      </c>
      <c r="G2" s="400" t="s">
        <v>1233</v>
      </c>
      <c r="H2" s="400" t="s">
        <v>1029</v>
      </c>
      <c r="I2" s="400" t="s">
        <v>1234</v>
      </c>
      <c r="J2" s="400" t="s">
        <v>1235</v>
      </c>
      <c r="K2" s="401"/>
    </row>
    <row r="3" spans="1:11" s="361" customFormat="1" ht="12" x14ac:dyDescent="0.25">
      <c r="A3" s="358" t="s">
        <v>26</v>
      </c>
      <c r="B3" s="359"/>
      <c r="C3" s="359"/>
      <c r="D3" s="359"/>
      <c r="E3" s="359"/>
      <c r="F3" s="359"/>
      <c r="G3" s="359"/>
      <c r="H3" s="359"/>
      <c r="I3" s="359"/>
      <c r="J3" s="359"/>
      <c r="K3" s="360"/>
    </row>
    <row r="4" spans="1:11" s="361" customFormat="1" x14ac:dyDescent="0.25">
      <c r="A4" s="365" t="s">
        <v>27</v>
      </c>
      <c r="B4" s="362">
        <f>'Sources and Uses Budget'!C4</f>
        <v>1</v>
      </c>
      <c r="C4" s="363"/>
      <c r="D4" s="363"/>
      <c r="E4" s="364"/>
      <c r="F4" s="364"/>
      <c r="G4" s="364"/>
      <c r="H4" s="364"/>
      <c r="I4" s="364"/>
      <c r="J4" s="364"/>
      <c r="K4" s="360"/>
    </row>
    <row r="5" spans="1:11" s="361" customFormat="1" x14ac:dyDescent="0.25">
      <c r="A5" s="365" t="s">
        <v>28</v>
      </c>
      <c r="B5" s="362">
        <f>'Sources and Uses Budget'!C5</f>
        <v>325000</v>
      </c>
      <c r="C5" s="363"/>
      <c r="D5" s="363"/>
      <c r="E5" s="364"/>
      <c r="F5" s="364"/>
      <c r="G5" s="364"/>
      <c r="H5" s="364"/>
      <c r="I5" s="364"/>
      <c r="J5" s="364"/>
      <c r="K5" s="360"/>
    </row>
    <row r="6" spans="1:11" s="361" customFormat="1" x14ac:dyDescent="0.25">
      <c r="A6" s="365" t="s">
        <v>29</v>
      </c>
      <c r="B6" s="362">
        <f>'Sources and Uses Budget'!C6</f>
        <v>0</v>
      </c>
      <c r="C6" s="363"/>
      <c r="D6" s="363"/>
      <c r="E6" s="364"/>
      <c r="F6" s="364"/>
      <c r="G6" s="364"/>
      <c r="H6" s="364"/>
      <c r="I6" s="364"/>
      <c r="J6" s="364"/>
      <c r="K6" s="360"/>
    </row>
    <row r="7" spans="1:11" s="361" customFormat="1" x14ac:dyDescent="0.25">
      <c r="A7" s="365" t="s">
        <v>97</v>
      </c>
      <c r="B7" s="362">
        <f>'Sources and Uses Budget'!C7</f>
        <v>0</v>
      </c>
      <c r="C7" s="363"/>
      <c r="D7" s="363"/>
      <c r="E7" s="364"/>
      <c r="F7" s="364"/>
      <c r="G7" s="364"/>
      <c r="H7" s="364"/>
      <c r="I7" s="364"/>
      <c r="J7" s="364"/>
      <c r="K7" s="360"/>
    </row>
    <row r="8" spans="1:11" s="361" customFormat="1" x14ac:dyDescent="0.25">
      <c r="A8" s="366" t="s">
        <v>594</v>
      </c>
      <c r="B8" s="362">
        <f>'Sources and Uses Budget'!C8</f>
        <v>325001</v>
      </c>
      <c r="C8" s="362">
        <f>SUM(C4:C7)</f>
        <v>0</v>
      </c>
      <c r="D8" s="362">
        <f>SUM(D4:D7)</f>
        <v>0</v>
      </c>
      <c r="E8" s="364"/>
      <c r="F8" s="364"/>
      <c r="G8" s="364"/>
      <c r="H8" s="364"/>
      <c r="I8" s="364"/>
      <c r="J8" s="364"/>
      <c r="K8" s="360"/>
    </row>
    <row r="9" spans="1:11" s="361" customFormat="1" x14ac:dyDescent="0.25">
      <c r="A9" s="365" t="s">
        <v>595</v>
      </c>
      <c r="B9" s="362">
        <f>'Sources and Uses Budget'!C9</f>
        <v>0</v>
      </c>
      <c r="C9" s="363"/>
      <c r="D9" s="363"/>
      <c r="E9" s="364"/>
      <c r="F9" s="364"/>
      <c r="G9" s="364"/>
      <c r="H9" s="362">
        <f>'Sources and Uses Budget'!T9</f>
        <v>0</v>
      </c>
      <c r="I9" s="363"/>
      <c r="J9" s="363"/>
      <c r="K9" s="360"/>
    </row>
    <row r="10" spans="1:11" s="361" customFormat="1" x14ac:dyDescent="0.25">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x14ac:dyDescent="0.25">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x14ac:dyDescent="0.25">
      <c r="A12" s="366" t="s">
        <v>84</v>
      </c>
      <c r="B12" s="362">
        <f>'Sources and Uses Budget'!C12</f>
        <v>325001</v>
      </c>
      <c r="C12" s="362">
        <f>SUM(C8+C11)</f>
        <v>0</v>
      </c>
      <c r="D12" s="362">
        <f>SUM(D8+D11)</f>
        <v>0</v>
      </c>
      <c r="E12" s="364"/>
      <c r="F12" s="364"/>
      <c r="G12" s="364"/>
      <c r="H12" s="364"/>
      <c r="I12" s="364"/>
      <c r="J12" s="364"/>
      <c r="K12" s="360"/>
    </row>
    <row r="13" spans="1:11" s="361" customFormat="1" x14ac:dyDescent="0.25">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x14ac:dyDescent="0.25">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x14ac:dyDescent="0.25">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x14ac:dyDescent="0.25">
      <c r="A16" s="358" t="s">
        <v>598</v>
      </c>
      <c r="B16" s="359"/>
      <c r="C16" s="359"/>
      <c r="D16" s="359"/>
      <c r="E16" s="359"/>
      <c r="F16" s="359"/>
      <c r="G16" s="359"/>
      <c r="H16" s="359"/>
      <c r="I16" s="359"/>
      <c r="J16" s="359"/>
      <c r="K16" s="360"/>
    </row>
    <row r="17" spans="1:11" s="361" customFormat="1" x14ac:dyDescent="0.25">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x14ac:dyDescent="0.25">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x14ac:dyDescent="0.25">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x14ac:dyDescent="0.25">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x14ac:dyDescent="0.25">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x14ac:dyDescent="0.25">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x14ac:dyDescent="0.25">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x14ac:dyDescent="0.25">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x14ac:dyDescent="0.25">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x14ac:dyDescent="0.25">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x14ac:dyDescent="0.25">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x14ac:dyDescent="0.25">
      <c r="A28" s="358" t="s">
        <v>142</v>
      </c>
      <c r="B28" s="359"/>
      <c r="C28" s="359"/>
      <c r="D28" s="359"/>
      <c r="E28" s="359"/>
      <c r="F28" s="359"/>
      <c r="G28" s="359"/>
      <c r="H28" s="359"/>
      <c r="I28" s="359"/>
      <c r="J28" s="359"/>
      <c r="K28" s="360"/>
    </row>
    <row r="29" spans="1:11" s="361" customFormat="1" x14ac:dyDescent="0.25">
      <c r="A29" s="145" t="s">
        <v>599</v>
      </c>
      <c r="B29" s="362">
        <f>'Sources and Uses Budget'!C29</f>
        <v>4553706</v>
      </c>
      <c r="C29" s="363"/>
      <c r="D29" s="363"/>
      <c r="E29" s="362">
        <f>'Sources and Uses Budget'!S29</f>
        <v>4430555</v>
      </c>
      <c r="F29" s="363"/>
      <c r="G29" s="363"/>
      <c r="H29" s="362">
        <f>'Sources and Uses Budget'!T29</f>
        <v>0</v>
      </c>
      <c r="I29" s="363"/>
      <c r="J29" s="363"/>
      <c r="K29" s="360"/>
    </row>
    <row r="30" spans="1:11" s="361" customFormat="1" x14ac:dyDescent="0.25">
      <c r="A30" s="145" t="s">
        <v>600</v>
      </c>
      <c r="B30" s="362">
        <f>'Sources and Uses Budget'!C30</f>
        <v>35552850</v>
      </c>
      <c r="C30" s="363"/>
      <c r="D30" s="363"/>
      <c r="E30" s="362">
        <f>'Sources and Uses Budget'!S30</f>
        <v>34818330</v>
      </c>
      <c r="F30" s="363"/>
      <c r="G30" s="363"/>
      <c r="H30" s="362">
        <f>'Sources and Uses Budget'!T30</f>
        <v>0</v>
      </c>
      <c r="I30" s="363"/>
      <c r="J30" s="363"/>
      <c r="K30" s="360"/>
    </row>
    <row r="31" spans="1:11" s="361" customFormat="1" x14ac:dyDescent="0.25">
      <c r="A31" s="145" t="s">
        <v>601</v>
      </c>
      <c r="B31" s="362">
        <f>'Sources and Uses Budget'!C31</f>
        <v>1630262</v>
      </c>
      <c r="C31" s="363"/>
      <c r="D31" s="363"/>
      <c r="E31" s="362">
        <f>'Sources and Uses Budget'!S31</f>
        <v>1630262</v>
      </c>
      <c r="F31" s="363"/>
      <c r="G31" s="363"/>
      <c r="H31" s="362">
        <f>'Sources and Uses Budget'!T31</f>
        <v>0</v>
      </c>
      <c r="I31" s="363"/>
      <c r="J31" s="363"/>
      <c r="K31" s="360"/>
    </row>
    <row r="32" spans="1:11" s="361" customFormat="1" x14ac:dyDescent="0.25">
      <c r="A32" s="145" t="s">
        <v>137</v>
      </c>
      <c r="B32" s="362">
        <f>'Sources and Uses Budget'!C32</f>
        <v>658131</v>
      </c>
      <c r="C32" s="363"/>
      <c r="D32" s="363"/>
      <c r="E32" s="362">
        <f>'Sources and Uses Budget'!S32</f>
        <v>645753</v>
      </c>
      <c r="F32" s="363"/>
      <c r="G32" s="363"/>
      <c r="H32" s="362">
        <f>'Sources and Uses Budget'!T32</f>
        <v>0</v>
      </c>
      <c r="I32" s="363"/>
      <c r="J32" s="363"/>
      <c r="K32" s="360"/>
    </row>
    <row r="33" spans="1:11" s="361" customFormat="1" x14ac:dyDescent="0.25">
      <c r="A33" s="145" t="s">
        <v>138</v>
      </c>
      <c r="B33" s="362">
        <f>'Sources and Uses Budget'!C33</f>
        <v>987197</v>
      </c>
      <c r="C33" s="363"/>
      <c r="D33" s="363"/>
      <c r="E33" s="362">
        <f>'Sources and Uses Budget'!S33</f>
        <v>968630</v>
      </c>
      <c r="F33" s="363"/>
      <c r="G33" s="363"/>
      <c r="H33" s="362">
        <f>'Sources and Uses Budget'!T33</f>
        <v>0</v>
      </c>
      <c r="I33" s="363"/>
      <c r="J33" s="363"/>
      <c r="K33" s="360"/>
    </row>
    <row r="34" spans="1:11" s="361" customFormat="1" x14ac:dyDescent="0.25">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x14ac:dyDescent="0.25">
      <c r="A35" s="145" t="s">
        <v>140</v>
      </c>
      <c r="B35" s="362">
        <f>'Sources and Uses Budget'!C35</f>
        <v>475270</v>
      </c>
      <c r="C35" s="363"/>
      <c r="D35" s="363"/>
      <c r="E35" s="362">
        <f>'Sources and Uses Budget'!S35</f>
        <v>467190</v>
      </c>
      <c r="F35" s="363"/>
      <c r="G35" s="363"/>
      <c r="H35" s="362">
        <f>'Sources and Uses Budget'!T35</f>
        <v>0</v>
      </c>
      <c r="I35" s="363"/>
      <c r="J35" s="363"/>
      <c r="K35" s="360"/>
    </row>
    <row r="36" spans="1:11" s="361" customFormat="1" x14ac:dyDescent="0.25">
      <c r="A36" s="509" t="s">
        <v>1641</v>
      </c>
      <c r="B36" s="362">
        <f>'Sources and Uses Budget'!C36</f>
        <v>420000</v>
      </c>
      <c r="C36" s="363"/>
      <c r="D36" s="363"/>
      <c r="E36" s="362">
        <f>'Sources and Uses Budget'!S36</f>
        <v>416052</v>
      </c>
      <c r="F36" s="363"/>
      <c r="G36" s="363"/>
      <c r="H36" s="362">
        <f>'Sources and Uses Budget'!T36</f>
        <v>0</v>
      </c>
      <c r="I36" s="363"/>
      <c r="J36" s="363"/>
      <c r="K36" s="360"/>
    </row>
    <row r="37" spans="1:11" s="361" customFormat="1" x14ac:dyDescent="0.25">
      <c r="A37" s="365" t="str">
        <f>'Sources and Uses Budget'!$A37</f>
        <v>Other: Preconstruction Services</v>
      </c>
      <c r="B37" s="362">
        <f>'Sources and Uses Budget'!C37</f>
        <v>65000</v>
      </c>
      <c r="C37" s="363"/>
      <c r="D37" s="363"/>
      <c r="E37" s="362">
        <f>'Sources and Uses Budget'!S37</f>
        <v>63778</v>
      </c>
      <c r="F37" s="363"/>
      <c r="G37" s="363"/>
      <c r="H37" s="362">
        <f>'Sources and Uses Budget'!T37</f>
        <v>0</v>
      </c>
      <c r="I37" s="363"/>
      <c r="J37" s="363"/>
      <c r="K37" s="360"/>
    </row>
    <row r="38" spans="1:11" s="361" customFormat="1" x14ac:dyDescent="0.25">
      <c r="A38" s="366" t="s">
        <v>143</v>
      </c>
      <c r="B38" s="362">
        <f>'Sources and Uses Budget'!C38</f>
        <v>44342416</v>
      </c>
      <c r="C38" s="362">
        <f>SUM(C29:C37)</f>
        <v>0</v>
      </c>
      <c r="D38" s="362">
        <f>SUM(D29:D37)</f>
        <v>0</v>
      </c>
      <c r="E38" s="362">
        <f>'Sources and Uses Budget'!S38</f>
        <v>43440550</v>
      </c>
      <c r="F38" s="368">
        <f>SUM(F29:F37)</f>
        <v>0</v>
      </c>
      <c r="G38" s="368">
        <f>SUM(G29:G37)</f>
        <v>0</v>
      </c>
      <c r="H38" s="362">
        <f>'Sources and Uses Budget'!T38</f>
        <v>0</v>
      </c>
      <c r="I38" s="368">
        <f>SUM(I29:I37)</f>
        <v>0</v>
      </c>
      <c r="J38" s="368">
        <f>SUM(J29:J37)</f>
        <v>0</v>
      </c>
      <c r="K38" s="360"/>
    </row>
    <row r="39" spans="1:11" s="361" customFormat="1" ht="12" x14ac:dyDescent="0.25">
      <c r="A39" s="358" t="s">
        <v>144</v>
      </c>
      <c r="B39" s="359"/>
      <c r="C39" s="359"/>
      <c r="D39" s="359"/>
      <c r="E39" s="359"/>
      <c r="F39" s="359"/>
      <c r="G39" s="359"/>
      <c r="H39" s="359"/>
      <c r="I39" s="359"/>
      <c r="J39" s="359"/>
      <c r="K39" s="360"/>
    </row>
    <row r="40" spans="1:11" s="361" customFormat="1" x14ac:dyDescent="0.25">
      <c r="A40" s="365" t="s">
        <v>145</v>
      </c>
      <c r="B40" s="362">
        <f>'Sources and Uses Budget'!C40</f>
        <v>749000</v>
      </c>
      <c r="C40" s="363"/>
      <c r="D40" s="363"/>
      <c r="E40" s="362">
        <f>'Sources and Uses Budget'!S40</f>
        <v>703764</v>
      </c>
      <c r="F40" s="363"/>
      <c r="G40" s="363"/>
      <c r="H40" s="362">
        <f>'Sources and Uses Budget'!T40</f>
        <v>0</v>
      </c>
      <c r="I40" s="363"/>
      <c r="J40" s="363"/>
      <c r="K40" s="360"/>
    </row>
    <row r="41" spans="1:11" s="361" customFormat="1" x14ac:dyDescent="0.25">
      <c r="A41" s="365" t="s">
        <v>146</v>
      </c>
      <c r="B41" s="362">
        <f>'Sources and Uses Budget'!C41</f>
        <v>360000</v>
      </c>
      <c r="C41" s="363"/>
      <c r="D41" s="363"/>
      <c r="E41" s="362">
        <f>'Sources and Uses Budget'!S41</f>
        <v>356616</v>
      </c>
      <c r="F41" s="363"/>
      <c r="G41" s="363"/>
      <c r="H41" s="362">
        <f>'Sources and Uses Budget'!T41</f>
        <v>0</v>
      </c>
      <c r="I41" s="363"/>
      <c r="J41" s="363"/>
      <c r="K41" s="360"/>
    </row>
    <row r="42" spans="1:11" s="361" customFormat="1" x14ac:dyDescent="0.25">
      <c r="A42" s="366" t="s">
        <v>147</v>
      </c>
      <c r="B42" s="362">
        <f>'Sources and Uses Budget'!C42</f>
        <v>1109000</v>
      </c>
      <c r="C42" s="362">
        <f>SUM(C39:C41)</f>
        <v>0</v>
      </c>
      <c r="D42" s="362">
        <f>SUM(D39:D41)</f>
        <v>0</v>
      </c>
      <c r="E42" s="362">
        <f>'Sources and Uses Budget'!S42</f>
        <v>1060380</v>
      </c>
      <c r="F42" s="368">
        <f>SUM(F40:F41)</f>
        <v>0</v>
      </c>
      <c r="G42" s="368">
        <f>SUM(G40:G41)</f>
        <v>0</v>
      </c>
      <c r="H42" s="362">
        <f>'Sources and Uses Budget'!T42</f>
        <v>0</v>
      </c>
      <c r="I42" s="368">
        <f>SUM(I40:I41)</f>
        <v>0</v>
      </c>
      <c r="J42" s="368">
        <f>SUM(J40:J41)</f>
        <v>0</v>
      </c>
      <c r="K42" s="360"/>
    </row>
    <row r="43" spans="1:11" s="361" customFormat="1" x14ac:dyDescent="0.25">
      <c r="A43" s="366" t="s">
        <v>148</v>
      </c>
      <c r="B43" s="362">
        <f>'Sources and Uses Budget'!C43</f>
        <v>806500</v>
      </c>
      <c r="C43" s="363"/>
      <c r="D43" s="363"/>
      <c r="E43" s="362">
        <f>'Sources and Uses Budget'!S43</f>
        <v>798703</v>
      </c>
      <c r="F43" s="363"/>
      <c r="G43" s="363"/>
      <c r="H43" s="362">
        <f>'Sources and Uses Budget'!T43</f>
        <v>0</v>
      </c>
      <c r="I43" s="363"/>
      <c r="J43" s="363"/>
      <c r="K43" s="360"/>
    </row>
    <row r="44" spans="1:11" s="361" customFormat="1" ht="12" x14ac:dyDescent="0.25">
      <c r="A44" s="358" t="s">
        <v>149</v>
      </c>
      <c r="B44" s="359"/>
      <c r="C44" s="359"/>
      <c r="D44" s="359"/>
      <c r="E44" s="359"/>
      <c r="F44" s="359"/>
      <c r="G44" s="359"/>
      <c r="H44" s="359"/>
      <c r="I44" s="359"/>
      <c r="J44" s="359"/>
      <c r="K44" s="360"/>
    </row>
    <row r="45" spans="1:11" s="361" customFormat="1" x14ac:dyDescent="0.25">
      <c r="A45" s="365" t="s">
        <v>150</v>
      </c>
      <c r="B45" s="362">
        <f>'Sources and Uses Budget'!C45</f>
        <v>8250000</v>
      </c>
      <c r="C45" s="363"/>
      <c r="D45" s="363"/>
      <c r="E45" s="362">
        <f>'Sources and Uses Budget'!S45</f>
        <v>6760483</v>
      </c>
      <c r="F45" s="363"/>
      <c r="G45" s="363"/>
      <c r="H45" s="362">
        <f>'Sources and Uses Budget'!T45</f>
        <v>0</v>
      </c>
      <c r="I45" s="363"/>
      <c r="J45" s="363"/>
      <c r="K45" s="360"/>
    </row>
    <row r="46" spans="1:11" s="361" customFormat="1" x14ac:dyDescent="0.25">
      <c r="A46" s="365" t="s">
        <v>151</v>
      </c>
      <c r="B46" s="362">
        <f>'Sources and Uses Budget'!C46</f>
        <v>400000</v>
      </c>
      <c r="C46" s="363"/>
      <c r="D46" s="363"/>
      <c r="E46" s="362">
        <f>'Sources and Uses Budget'!S46</f>
        <v>292480</v>
      </c>
      <c r="F46" s="363"/>
      <c r="G46" s="363"/>
      <c r="H46" s="362">
        <f>'Sources and Uses Budget'!T46</f>
        <v>0</v>
      </c>
      <c r="I46" s="363"/>
      <c r="J46" s="363"/>
      <c r="K46" s="360"/>
    </row>
    <row r="47" spans="1:11" s="361" customFormat="1" ht="12" customHeight="1" x14ac:dyDescent="0.25">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x14ac:dyDescent="0.25">
      <c r="A48" s="365" t="s">
        <v>153</v>
      </c>
      <c r="B48" s="362">
        <f>'Sources and Uses Budget'!C48</f>
        <v>427786</v>
      </c>
      <c r="C48" s="363"/>
      <c r="D48" s="363"/>
      <c r="E48" s="362">
        <f>'Sources and Uses Budget'!S48</f>
        <v>420360</v>
      </c>
      <c r="F48" s="363"/>
      <c r="G48" s="363"/>
      <c r="H48" s="362">
        <f>'Sources and Uses Budget'!T48</f>
        <v>0</v>
      </c>
      <c r="I48" s="363"/>
      <c r="J48" s="363"/>
      <c r="K48" s="360"/>
    </row>
    <row r="49" spans="1:11" s="361" customFormat="1" x14ac:dyDescent="0.25">
      <c r="A49" s="284" t="s">
        <v>57</v>
      </c>
      <c r="B49" s="362">
        <f>'Sources and Uses Budget'!C49</f>
        <v>262300</v>
      </c>
      <c r="C49" s="363"/>
      <c r="D49" s="363"/>
      <c r="E49" s="362">
        <f>'Sources and Uses Budget'!S49</f>
        <v>200176</v>
      </c>
      <c r="F49" s="363"/>
      <c r="G49" s="363"/>
      <c r="H49" s="362">
        <f>'Sources and Uses Budget'!T49</f>
        <v>0</v>
      </c>
      <c r="I49" s="363"/>
      <c r="J49" s="363"/>
      <c r="K49" s="360"/>
    </row>
    <row r="50" spans="1:11" s="361" customFormat="1" x14ac:dyDescent="0.25">
      <c r="A50" s="365" t="s">
        <v>156</v>
      </c>
      <c r="B50" s="362">
        <f>'Sources and Uses Budget'!C50</f>
        <v>200000</v>
      </c>
      <c r="C50" s="363"/>
      <c r="D50" s="363"/>
      <c r="E50" s="362">
        <f>'Sources and Uses Budget'!S50</f>
        <v>196240</v>
      </c>
      <c r="F50" s="363"/>
      <c r="G50" s="363"/>
      <c r="H50" s="362">
        <f>'Sources and Uses Budget'!T50</f>
        <v>0</v>
      </c>
      <c r="I50" s="363"/>
      <c r="J50" s="363"/>
      <c r="K50" s="360"/>
    </row>
    <row r="51" spans="1:11" s="361" customFormat="1" x14ac:dyDescent="0.25">
      <c r="A51" s="365" t="s">
        <v>154</v>
      </c>
      <c r="B51" s="362">
        <f>'Sources and Uses Budget'!C51</f>
        <v>10000</v>
      </c>
      <c r="C51" s="363"/>
      <c r="D51" s="363"/>
      <c r="E51" s="362">
        <f>'Sources and Uses Budget'!S51</f>
        <v>9812</v>
      </c>
      <c r="F51" s="363"/>
      <c r="G51" s="363"/>
      <c r="H51" s="362">
        <f>'Sources and Uses Budget'!T51</f>
        <v>0</v>
      </c>
      <c r="I51" s="363"/>
      <c r="J51" s="363"/>
      <c r="K51" s="360"/>
    </row>
    <row r="52" spans="1:11" s="361" customFormat="1" x14ac:dyDescent="0.25">
      <c r="A52" s="365" t="s">
        <v>155</v>
      </c>
      <c r="B52" s="362">
        <f>'Sources and Uses Budget'!C52</f>
        <v>1200000</v>
      </c>
      <c r="C52" s="363"/>
      <c r="D52" s="363"/>
      <c r="E52" s="362">
        <f>'Sources and Uses Budget'!S52</f>
        <v>1177440</v>
      </c>
      <c r="F52" s="363"/>
      <c r="G52" s="363"/>
      <c r="H52" s="362">
        <f>'Sources and Uses Budget'!T52</f>
        <v>0</v>
      </c>
      <c r="I52" s="363"/>
      <c r="J52" s="363"/>
      <c r="K52" s="360"/>
    </row>
    <row r="53" spans="1:11" s="361" customFormat="1" x14ac:dyDescent="0.25">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x14ac:dyDescent="0.25">
      <c r="A54" s="366" t="s">
        <v>157</v>
      </c>
      <c r="B54" s="362">
        <f>'Sources and Uses Budget'!C54</f>
        <v>10750086</v>
      </c>
      <c r="C54" s="368">
        <f>SUM(C45:C53)</f>
        <v>0</v>
      </c>
      <c r="D54" s="368">
        <f>SUM(D45:D53)</f>
        <v>0</v>
      </c>
      <c r="E54" s="362">
        <f>'Sources and Uses Budget'!S54</f>
        <v>9056991</v>
      </c>
      <c r="F54" s="368">
        <f>SUM(F45:F53)</f>
        <v>0</v>
      </c>
      <c r="G54" s="368">
        <f>SUM(G45:G53)</f>
        <v>0</v>
      </c>
      <c r="H54" s="362">
        <f>'Sources and Uses Budget'!T54</f>
        <v>0</v>
      </c>
      <c r="I54" s="368">
        <f>SUM(I45:I53)</f>
        <v>0</v>
      </c>
      <c r="J54" s="368">
        <f>SUM(J45:J53)</f>
        <v>0</v>
      </c>
      <c r="K54" s="369"/>
    </row>
    <row r="55" spans="1:11" s="361" customFormat="1" ht="12" x14ac:dyDescent="0.25">
      <c r="A55" s="358" t="s">
        <v>418</v>
      </c>
      <c r="B55" s="359"/>
      <c r="C55" s="359"/>
      <c r="D55" s="359"/>
      <c r="E55" s="359"/>
      <c r="F55" s="359"/>
      <c r="G55" s="359"/>
      <c r="H55" s="359"/>
      <c r="I55" s="359"/>
      <c r="J55" s="359"/>
      <c r="K55" s="360"/>
    </row>
    <row r="56" spans="1:11" s="361" customFormat="1" x14ac:dyDescent="0.25">
      <c r="A56" s="365" t="s">
        <v>158</v>
      </c>
      <c r="B56" s="362">
        <f>'Sources and Uses Budget'!C56</f>
        <v>140000</v>
      </c>
      <c r="C56" s="363"/>
      <c r="D56" s="363"/>
      <c r="E56" s="364"/>
      <c r="F56" s="364"/>
      <c r="G56" s="364"/>
      <c r="H56" s="364"/>
      <c r="I56" s="364"/>
      <c r="J56" s="364"/>
      <c r="K56" s="360"/>
    </row>
    <row r="57" spans="1:11" s="361" customFormat="1" ht="12" customHeight="1" x14ac:dyDescent="0.25">
      <c r="A57" s="365" t="s">
        <v>152</v>
      </c>
      <c r="B57" s="362">
        <f>'Sources and Uses Budget'!C57</f>
        <v>0</v>
      </c>
      <c r="C57" s="363"/>
      <c r="D57" s="363"/>
      <c r="E57" s="364"/>
      <c r="F57" s="364"/>
      <c r="G57" s="364"/>
      <c r="H57" s="364"/>
      <c r="I57" s="364"/>
      <c r="J57" s="364"/>
      <c r="K57" s="360"/>
    </row>
    <row r="58" spans="1:11" s="361" customFormat="1" x14ac:dyDescent="0.25">
      <c r="A58" s="365" t="s">
        <v>156</v>
      </c>
      <c r="B58" s="362">
        <f>'Sources and Uses Budget'!C58</f>
        <v>23000</v>
      </c>
      <c r="C58" s="363"/>
      <c r="D58" s="363"/>
      <c r="E58" s="364"/>
      <c r="F58" s="364"/>
      <c r="G58" s="364"/>
      <c r="H58" s="364"/>
      <c r="I58" s="364"/>
      <c r="J58" s="364"/>
      <c r="K58" s="360"/>
    </row>
    <row r="59" spans="1:11" s="361" customFormat="1" x14ac:dyDescent="0.25">
      <c r="A59" s="365" t="s">
        <v>154</v>
      </c>
      <c r="B59" s="362">
        <f>'Sources and Uses Budget'!C59</f>
        <v>0</v>
      </c>
      <c r="C59" s="363"/>
      <c r="D59" s="363"/>
      <c r="E59" s="364"/>
      <c r="F59" s="364"/>
      <c r="G59" s="364"/>
      <c r="H59" s="364"/>
      <c r="I59" s="364"/>
      <c r="J59" s="364"/>
      <c r="K59" s="360"/>
    </row>
    <row r="60" spans="1:11" s="361" customFormat="1" x14ac:dyDescent="0.25">
      <c r="A60" s="365" t="s">
        <v>155</v>
      </c>
      <c r="B60" s="362">
        <f>'Sources and Uses Budget'!C60</f>
        <v>0</v>
      </c>
      <c r="C60" s="363"/>
      <c r="D60" s="363"/>
      <c r="E60" s="364"/>
      <c r="F60" s="364"/>
      <c r="G60" s="364"/>
      <c r="H60" s="364"/>
      <c r="I60" s="364"/>
      <c r="J60" s="364"/>
      <c r="K60" s="360"/>
    </row>
    <row r="61" spans="1:11" s="361" customFormat="1" x14ac:dyDescent="0.25">
      <c r="A61" s="365" t="str">
        <f>'Sources and Uses Budget'!$A61</f>
        <v>Other: (Specify)</v>
      </c>
      <c r="B61" s="362">
        <f>'Sources and Uses Budget'!C61</f>
        <v>0</v>
      </c>
      <c r="C61" s="363"/>
      <c r="D61" s="363"/>
      <c r="E61" s="364"/>
      <c r="F61" s="364"/>
      <c r="G61" s="364"/>
      <c r="H61" s="364"/>
      <c r="I61" s="364"/>
      <c r="J61" s="364"/>
      <c r="K61" s="360"/>
    </row>
    <row r="62" spans="1:11" s="361" customFormat="1" ht="13.65" customHeight="1" x14ac:dyDescent="0.25">
      <c r="A62" s="366" t="s">
        <v>301</v>
      </c>
      <c r="B62" s="362">
        <f>'Sources and Uses Budget'!C62</f>
        <v>163000</v>
      </c>
      <c r="C62" s="362">
        <f>SUM(C56:C61)</f>
        <v>0</v>
      </c>
      <c r="D62" s="362">
        <f>SUM(D56:D61)</f>
        <v>0</v>
      </c>
      <c r="E62" s="364"/>
      <c r="F62" s="364"/>
      <c r="G62" s="364"/>
      <c r="H62" s="364"/>
      <c r="I62" s="364"/>
      <c r="J62" s="364"/>
      <c r="K62" s="360"/>
    </row>
    <row r="63" spans="1:11" s="361" customFormat="1" x14ac:dyDescent="0.25">
      <c r="A63" s="371" t="s">
        <v>302</v>
      </c>
      <c r="B63" s="362">
        <f>'Sources and Uses Budget'!C63</f>
        <v>57496003</v>
      </c>
      <c r="C63" s="362">
        <f>SUM(C8+C11+C13+C14+C15+C26+C27+C38+C42+C43+C54+C62)</f>
        <v>0</v>
      </c>
      <c r="D63" s="362">
        <f>SUM(D8+D11+D13+D14+D15+D26+D27+D38+D42+D43+D54+D62)</f>
        <v>0</v>
      </c>
      <c r="E63" s="362">
        <f>'Sources and Uses Budget'!S63</f>
        <v>54356624</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x14ac:dyDescent="0.25">
      <c r="A64" s="141" t="s">
        <v>1645</v>
      </c>
      <c r="B64" s="359"/>
      <c r="C64" s="359"/>
      <c r="D64" s="359"/>
      <c r="E64" s="359"/>
      <c r="F64" s="359"/>
      <c r="G64" s="359"/>
      <c r="H64" s="359"/>
      <c r="I64" s="359"/>
      <c r="J64" s="359"/>
      <c r="K64" s="360"/>
    </row>
    <row r="65" spans="1:11" s="361" customFormat="1" x14ac:dyDescent="0.25">
      <c r="A65" s="145" t="s">
        <v>171</v>
      </c>
      <c r="B65" s="362">
        <f>'Sources and Uses Budget'!C65</f>
        <v>180000</v>
      </c>
      <c r="C65" s="363"/>
      <c r="D65" s="363"/>
      <c r="E65" s="362">
        <f>'Sources and Uses Budget'!S65</f>
        <v>98120</v>
      </c>
      <c r="F65" s="363"/>
      <c r="G65" s="363"/>
      <c r="H65" s="362">
        <f>'Sources and Uses Budget'!T65</f>
        <v>0</v>
      </c>
      <c r="I65" s="363"/>
      <c r="J65" s="363"/>
      <c r="K65" s="360"/>
    </row>
    <row r="66" spans="1:11" s="361" customFormat="1" ht="23" x14ac:dyDescent="0.25">
      <c r="A66" s="284" t="s">
        <v>1642</v>
      </c>
      <c r="B66" s="362">
        <f>'Sources and Uses Budget'!C66</f>
        <v>185000</v>
      </c>
      <c r="C66" s="363"/>
      <c r="D66" s="363"/>
      <c r="E66" s="362">
        <f>'Sources and Uses Budget'!S66</f>
        <v>0</v>
      </c>
      <c r="F66" s="363"/>
      <c r="G66" s="363"/>
      <c r="H66" s="362">
        <f>'Sources and Uses Budget'!T66</f>
        <v>0</v>
      </c>
      <c r="I66" s="363"/>
      <c r="J66" s="363"/>
      <c r="K66" s="360"/>
    </row>
    <row r="67" spans="1:11" s="361" customFormat="1" ht="23" x14ac:dyDescent="0.25">
      <c r="A67" s="284" t="s">
        <v>1643</v>
      </c>
      <c r="B67" s="362">
        <f>'Sources and Uses Budget'!C67</f>
        <v>50000</v>
      </c>
      <c r="C67" s="363"/>
      <c r="D67" s="363"/>
      <c r="E67" s="362">
        <f>'Sources and Uses Budget'!S67</f>
        <v>49248</v>
      </c>
      <c r="F67" s="363"/>
      <c r="G67" s="363"/>
      <c r="H67" s="362">
        <f>'Sources and Uses Budget'!T67</f>
        <v>0</v>
      </c>
      <c r="I67" s="363"/>
      <c r="J67" s="363"/>
      <c r="K67" s="360"/>
    </row>
    <row r="68" spans="1:11" s="361" customFormat="1" x14ac:dyDescent="0.25">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x14ac:dyDescent="0.25">
      <c r="A69" s="365" t="str">
        <f>'Sources and Uses Budget'!$A69</f>
        <v>Other: Partnership Legal</v>
      </c>
      <c r="B69" s="362">
        <f>'Sources and Uses Budget'!C69</f>
        <v>120000</v>
      </c>
      <c r="C69" s="363"/>
      <c r="D69" s="363"/>
      <c r="E69" s="362">
        <f>'Sources and Uses Budget'!S69</f>
        <v>115000</v>
      </c>
      <c r="F69" s="363"/>
      <c r="G69" s="363"/>
      <c r="H69" s="362">
        <f>'Sources and Uses Budget'!T69</f>
        <v>0</v>
      </c>
      <c r="I69" s="363"/>
      <c r="J69" s="363"/>
      <c r="K69" s="360"/>
    </row>
    <row r="70" spans="1:11" s="361" customFormat="1" x14ac:dyDescent="0.25">
      <c r="A70" s="366" t="s">
        <v>602</v>
      </c>
      <c r="B70" s="362">
        <f>'Sources and Uses Budget'!C70</f>
        <v>535000</v>
      </c>
      <c r="C70" s="362">
        <f>SUM(C64:C69)</f>
        <v>0</v>
      </c>
      <c r="D70" s="362">
        <f>SUM(D64:D69)</f>
        <v>0</v>
      </c>
      <c r="E70" s="362">
        <f>'Sources and Uses Budget'!S70</f>
        <v>262368</v>
      </c>
      <c r="F70" s="368">
        <f>SUM(F65:F69)</f>
        <v>0</v>
      </c>
      <c r="G70" s="368">
        <f>SUM(G65:G69)</f>
        <v>0</v>
      </c>
      <c r="H70" s="362">
        <f>'Sources and Uses Budget'!T70</f>
        <v>0</v>
      </c>
      <c r="I70" s="368">
        <f>SUM(I65:I69)</f>
        <v>0</v>
      </c>
      <c r="J70" s="368">
        <f>SUM(J65:J69)</f>
        <v>0</v>
      </c>
      <c r="K70" s="360"/>
    </row>
    <row r="71" spans="1:11" s="361" customFormat="1" ht="12" x14ac:dyDescent="0.25">
      <c r="A71" s="358" t="s">
        <v>603</v>
      </c>
      <c r="B71" s="359"/>
      <c r="C71" s="359"/>
      <c r="D71" s="359"/>
      <c r="E71" s="359"/>
      <c r="F71" s="359"/>
      <c r="G71" s="359"/>
      <c r="H71" s="359"/>
      <c r="I71" s="359"/>
      <c r="J71" s="359"/>
      <c r="K71" s="360"/>
    </row>
    <row r="72" spans="1:11" s="361" customFormat="1" x14ac:dyDescent="0.25">
      <c r="A72" s="365" t="s">
        <v>604</v>
      </c>
      <c r="B72" s="362">
        <f>'Sources and Uses Budget'!C72</f>
        <v>0</v>
      </c>
      <c r="C72" s="363"/>
      <c r="D72" s="363"/>
      <c r="E72" s="364"/>
      <c r="F72" s="364"/>
      <c r="G72" s="364"/>
      <c r="H72" s="364"/>
      <c r="I72" s="364"/>
      <c r="J72" s="364"/>
      <c r="K72" s="360"/>
    </row>
    <row r="73" spans="1:11" s="361" customFormat="1" x14ac:dyDescent="0.25">
      <c r="A73" s="365" t="s">
        <v>605</v>
      </c>
      <c r="B73" s="362">
        <f>'Sources and Uses Budget'!C73</f>
        <v>0</v>
      </c>
      <c r="C73" s="363"/>
      <c r="D73" s="363"/>
      <c r="E73" s="364"/>
      <c r="F73" s="364"/>
      <c r="G73" s="364"/>
      <c r="H73" s="364"/>
      <c r="I73" s="364"/>
      <c r="J73" s="364"/>
      <c r="K73" s="360"/>
    </row>
    <row r="74" spans="1:11" s="361" customFormat="1" x14ac:dyDescent="0.25">
      <c r="A74" s="367" t="s">
        <v>987</v>
      </c>
      <c r="B74" s="362">
        <f>'Sources and Uses Budget'!C74</f>
        <v>0</v>
      </c>
      <c r="C74" s="363"/>
      <c r="D74" s="363"/>
      <c r="E74" s="364"/>
      <c r="F74" s="364"/>
      <c r="G74" s="364"/>
      <c r="H74" s="364"/>
      <c r="I74" s="364"/>
      <c r="J74" s="364"/>
      <c r="K74" s="360"/>
    </row>
    <row r="75" spans="1:11" s="361" customFormat="1" x14ac:dyDescent="0.25">
      <c r="A75" s="365" t="s">
        <v>606</v>
      </c>
      <c r="B75" s="362">
        <f>'Sources and Uses Budget'!C75</f>
        <v>517775</v>
      </c>
      <c r="C75" s="363"/>
      <c r="D75" s="363"/>
      <c r="E75" s="364"/>
      <c r="F75" s="364"/>
      <c r="G75" s="364"/>
      <c r="H75" s="364"/>
      <c r="I75" s="364"/>
      <c r="J75" s="364"/>
      <c r="K75" s="360"/>
    </row>
    <row r="76" spans="1:11" s="361" customFormat="1" x14ac:dyDescent="0.25">
      <c r="A76" s="365" t="str">
        <f>'Sources and Uses Budget'!$A76</f>
        <v>Other: (Specify)</v>
      </c>
      <c r="B76" s="362">
        <f>'Sources and Uses Budget'!C76</f>
        <v>0</v>
      </c>
      <c r="C76" s="363"/>
      <c r="D76" s="363"/>
      <c r="E76" s="364"/>
      <c r="F76" s="364"/>
      <c r="G76" s="364"/>
      <c r="H76" s="364"/>
      <c r="I76" s="364"/>
      <c r="J76" s="364"/>
      <c r="K76" s="360"/>
    </row>
    <row r="77" spans="1:11" s="361" customFormat="1" x14ac:dyDescent="0.25">
      <c r="A77" s="366" t="s">
        <v>607</v>
      </c>
      <c r="B77" s="362">
        <f>'Sources and Uses Budget'!C77</f>
        <v>517775</v>
      </c>
      <c r="C77" s="362">
        <f>SUM(C72:C76)</f>
        <v>0</v>
      </c>
      <c r="D77" s="362">
        <f>SUM(D72:D76)</f>
        <v>0</v>
      </c>
      <c r="E77" s="364"/>
      <c r="F77" s="364"/>
      <c r="G77" s="364"/>
      <c r="H77" s="364"/>
      <c r="I77" s="364"/>
      <c r="J77" s="364"/>
      <c r="K77" s="360"/>
    </row>
    <row r="78" spans="1:11" s="361" customFormat="1" ht="12" x14ac:dyDescent="0.25">
      <c r="A78" s="358" t="s">
        <v>1211</v>
      </c>
      <c r="B78" s="359"/>
      <c r="C78" s="359"/>
      <c r="D78" s="359"/>
      <c r="E78" s="359"/>
      <c r="F78" s="359"/>
      <c r="G78" s="359"/>
      <c r="H78" s="359"/>
      <c r="I78" s="359"/>
      <c r="J78" s="359"/>
      <c r="K78" s="360"/>
    </row>
    <row r="79" spans="1:11" s="361" customFormat="1" x14ac:dyDescent="0.25">
      <c r="A79" s="365" t="s">
        <v>1213</v>
      </c>
      <c r="B79" s="362">
        <f>'Sources and Uses Budget'!C79</f>
        <v>4368157</v>
      </c>
      <c r="C79" s="363"/>
      <c r="D79" s="363"/>
      <c r="E79" s="362">
        <f>'Sources and Uses Budget'!S79</f>
        <v>4286036</v>
      </c>
      <c r="F79" s="363"/>
      <c r="G79" s="363"/>
      <c r="H79" s="362">
        <f>'Sources and Uses Budget'!T79</f>
        <v>0</v>
      </c>
      <c r="I79" s="363"/>
      <c r="J79" s="363"/>
      <c r="K79" s="360"/>
    </row>
    <row r="80" spans="1:11" s="361" customFormat="1" x14ac:dyDescent="0.25">
      <c r="A80" s="365" t="s">
        <v>58</v>
      </c>
      <c r="B80" s="362">
        <f>'Sources and Uses Budget'!C80</f>
        <v>1226306</v>
      </c>
      <c r="C80" s="363"/>
      <c r="D80" s="363"/>
      <c r="E80" s="362">
        <f>'Sources and Uses Budget'!S80</f>
        <v>1206306</v>
      </c>
      <c r="F80" s="363"/>
      <c r="G80" s="363"/>
      <c r="H80" s="362">
        <f>'Sources and Uses Budget'!T80</f>
        <v>0</v>
      </c>
      <c r="I80" s="363"/>
      <c r="J80" s="363"/>
      <c r="K80" s="360"/>
    </row>
    <row r="81" spans="1:11" s="361" customFormat="1" x14ac:dyDescent="0.25">
      <c r="A81" s="366" t="s">
        <v>1210</v>
      </c>
      <c r="B81" s="362">
        <f>'Sources and Uses Budget'!C81</f>
        <v>5594463</v>
      </c>
      <c r="C81" s="362">
        <f>SUM(C79:C80)</f>
        <v>0</v>
      </c>
      <c r="D81" s="362">
        <f>SUM(D79:D80)</f>
        <v>0</v>
      </c>
      <c r="E81" s="362">
        <f>'Sources and Uses Budget'!S81</f>
        <v>5492342</v>
      </c>
      <c r="F81" s="362">
        <f>SUM(F79:F80)</f>
        <v>0</v>
      </c>
      <c r="G81" s="362">
        <f>SUM(G79:G80)</f>
        <v>0</v>
      </c>
      <c r="H81" s="362">
        <f>'Sources and Uses Budget'!T81</f>
        <v>0</v>
      </c>
      <c r="I81" s="362">
        <f>SUM(I79:I80)</f>
        <v>0</v>
      </c>
      <c r="J81" s="362">
        <f>SUM(J79:J80)</f>
        <v>0</v>
      </c>
      <c r="K81" s="360"/>
    </row>
    <row r="82" spans="1:11" s="361" customFormat="1" ht="12" x14ac:dyDescent="0.25">
      <c r="A82" s="358" t="s">
        <v>766</v>
      </c>
      <c r="B82" s="359"/>
      <c r="C82" s="359"/>
      <c r="D82" s="359"/>
      <c r="E82" s="359"/>
      <c r="F82" s="359"/>
      <c r="G82" s="359"/>
      <c r="H82" s="359"/>
      <c r="I82" s="359"/>
      <c r="J82" s="359"/>
      <c r="K82" s="360"/>
    </row>
    <row r="83" spans="1:11" s="361" customFormat="1" ht="13.65" customHeight="1" x14ac:dyDescent="0.25">
      <c r="A83" s="145" t="s">
        <v>2097</v>
      </c>
      <c r="B83" s="362">
        <f>'Sources and Uses Budget'!C83</f>
        <v>200000</v>
      </c>
      <c r="C83" s="363"/>
      <c r="D83" s="363"/>
      <c r="E83" s="364"/>
      <c r="F83" s="364"/>
      <c r="G83" s="364"/>
      <c r="H83" s="364"/>
      <c r="I83" s="364"/>
      <c r="J83" s="364"/>
      <c r="K83" s="360"/>
    </row>
    <row r="84" spans="1:11" s="361" customFormat="1" x14ac:dyDescent="0.25">
      <c r="A84" s="145" t="s">
        <v>768</v>
      </c>
      <c r="B84" s="362">
        <f>'Sources and Uses Budget'!C84</f>
        <v>95000</v>
      </c>
      <c r="C84" s="363"/>
      <c r="D84" s="363"/>
      <c r="E84" s="362">
        <f>'Sources and Uses Budget'!S84</f>
        <v>93214</v>
      </c>
      <c r="F84" s="363"/>
      <c r="G84" s="363"/>
      <c r="H84" s="362">
        <f>'Sources and Uses Budget'!T84</f>
        <v>0</v>
      </c>
      <c r="I84" s="363"/>
      <c r="J84" s="363"/>
      <c r="K84" s="360"/>
    </row>
    <row r="85" spans="1:11" s="361" customFormat="1" x14ac:dyDescent="0.25">
      <c r="A85" s="145" t="s">
        <v>769</v>
      </c>
      <c r="B85" s="362">
        <f>'Sources and Uses Budget'!C85</f>
        <v>360860</v>
      </c>
      <c r="C85" s="363"/>
      <c r="D85" s="363"/>
      <c r="E85" s="362">
        <f>'Sources and Uses Budget'!S85</f>
        <v>360860</v>
      </c>
      <c r="F85" s="363"/>
      <c r="G85" s="363"/>
      <c r="H85" s="362">
        <f>'Sources and Uses Budget'!T85</f>
        <v>0</v>
      </c>
      <c r="I85" s="363"/>
      <c r="J85" s="363"/>
      <c r="K85" s="360"/>
    </row>
    <row r="86" spans="1:11" s="361" customFormat="1" x14ac:dyDescent="0.25">
      <c r="A86" s="145" t="s">
        <v>770</v>
      </c>
      <c r="B86" s="362">
        <f>'Sources and Uses Budget'!C86</f>
        <v>1117392</v>
      </c>
      <c r="C86" s="363"/>
      <c r="D86" s="363"/>
      <c r="E86" s="362">
        <f>'Sources and Uses Budget'!S86</f>
        <v>1106889</v>
      </c>
      <c r="F86" s="363"/>
      <c r="G86" s="363"/>
      <c r="H86" s="362">
        <f>'Sources and Uses Budget'!T86</f>
        <v>0</v>
      </c>
      <c r="I86" s="363"/>
      <c r="J86" s="363"/>
      <c r="K86" s="360"/>
    </row>
    <row r="87" spans="1:11" s="361" customFormat="1" x14ac:dyDescent="0.25">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x14ac:dyDescent="0.25">
      <c r="A88" s="145" t="s">
        <v>772</v>
      </c>
      <c r="B88" s="362">
        <f>'Sources and Uses Budget'!C88</f>
        <v>100000</v>
      </c>
      <c r="C88" s="363"/>
      <c r="D88" s="363"/>
      <c r="E88" s="364"/>
      <c r="F88" s="364"/>
      <c r="G88" s="364"/>
      <c r="H88" s="364"/>
      <c r="I88" s="364"/>
      <c r="J88" s="364"/>
      <c r="K88" s="360"/>
    </row>
    <row r="89" spans="1:11" s="361" customFormat="1" x14ac:dyDescent="0.25">
      <c r="A89" s="145" t="s">
        <v>773</v>
      </c>
      <c r="B89" s="362">
        <f>'Sources and Uses Budget'!C89</f>
        <v>553500</v>
      </c>
      <c r="C89" s="363"/>
      <c r="D89" s="363"/>
      <c r="E89" s="362">
        <f>'Sources and Uses Budget'!S89</f>
        <v>553500</v>
      </c>
      <c r="F89" s="363"/>
      <c r="G89" s="363"/>
      <c r="H89" s="362">
        <f>'Sources and Uses Budget'!T89</f>
        <v>0</v>
      </c>
      <c r="I89" s="363"/>
      <c r="J89" s="363"/>
      <c r="K89" s="360"/>
    </row>
    <row r="90" spans="1:11" s="361" customFormat="1" x14ac:dyDescent="0.25">
      <c r="A90" s="145" t="s">
        <v>774</v>
      </c>
      <c r="B90" s="362">
        <f>'Sources and Uses Budget'!C90</f>
        <v>13200</v>
      </c>
      <c r="C90" s="363"/>
      <c r="D90" s="363"/>
      <c r="E90" s="362">
        <f>'Sources and Uses Budget'!S90</f>
        <v>13200</v>
      </c>
      <c r="F90" s="363"/>
      <c r="G90" s="363"/>
      <c r="H90" s="362">
        <f>'Sources and Uses Budget'!T90</f>
        <v>0</v>
      </c>
      <c r="I90" s="363"/>
      <c r="J90" s="363"/>
      <c r="K90" s="360"/>
    </row>
    <row r="91" spans="1:11" s="361" customFormat="1" x14ac:dyDescent="0.25">
      <c r="A91" s="155" t="s">
        <v>372</v>
      </c>
      <c r="B91" s="362">
        <f>'Sources and Uses Budget'!C91</f>
        <v>130000</v>
      </c>
      <c r="C91" s="363"/>
      <c r="D91" s="363"/>
      <c r="E91" s="362">
        <f>'Sources and Uses Budget'!S91</f>
        <v>130000</v>
      </c>
      <c r="F91" s="363"/>
      <c r="G91" s="363"/>
      <c r="H91" s="362">
        <f>'Sources and Uses Budget'!T91</f>
        <v>0</v>
      </c>
      <c r="I91" s="363"/>
      <c r="J91" s="363"/>
      <c r="K91" s="360"/>
    </row>
    <row r="92" spans="1:11" s="361" customFormat="1" x14ac:dyDescent="0.25">
      <c r="A92" s="509" t="s">
        <v>1212</v>
      </c>
      <c r="B92" s="362">
        <f>'Sources and Uses Budget'!C92</f>
        <v>25000</v>
      </c>
      <c r="C92" s="363"/>
      <c r="D92" s="363"/>
      <c r="E92" s="362">
        <f>'Sources and Uses Budget'!S92</f>
        <v>25000</v>
      </c>
      <c r="F92" s="363"/>
      <c r="G92" s="363"/>
      <c r="H92" s="362">
        <f>'Sources and Uses Budget'!T92</f>
        <v>0</v>
      </c>
      <c r="I92" s="363"/>
      <c r="J92" s="363"/>
      <c r="K92" s="360"/>
    </row>
    <row r="93" spans="1:11" s="361" customFormat="1" x14ac:dyDescent="0.25">
      <c r="A93" s="365" t="str">
        <f>'Sources and Uses Budget'!$A93</f>
        <v>Other: Master Plan Prevdev Costs</v>
      </c>
      <c r="B93" s="362">
        <f>'Sources and Uses Budget'!C93</f>
        <v>353500</v>
      </c>
      <c r="C93" s="363"/>
      <c r="D93" s="363"/>
      <c r="E93" s="362">
        <f>'Sources and Uses Budget'!S93</f>
        <v>180000</v>
      </c>
      <c r="F93" s="363"/>
      <c r="G93" s="363"/>
      <c r="H93" s="362">
        <f>'Sources and Uses Budget'!T93</f>
        <v>0</v>
      </c>
      <c r="I93" s="363"/>
      <c r="J93" s="363"/>
      <c r="K93" s="360"/>
    </row>
    <row r="94" spans="1:11" s="361" customFormat="1" x14ac:dyDescent="0.25">
      <c r="A94" s="365" t="str">
        <f>'Sources and Uses Budget'!$A94</f>
        <v>Other: Jobs Coordinator, Deputy Inspector</v>
      </c>
      <c r="B94" s="362">
        <f>'Sources and Uses Budget'!C94</f>
        <v>215000</v>
      </c>
      <c r="C94" s="363"/>
      <c r="D94" s="363"/>
      <c r="E94" s="362">
        <f>'Sources and Uses Budget'!S94</f>
        <v>212180</v>
      </c>
      <c r="F94" s="363"/>
      <c r="G94" s="363"/>
      <c r="H94" s="362">
        <f>'Sources and Uses Budget'!T94</f>
        <v>0</v>
      </c>
      <c r="I94" s="363"/>
      <c r="J94" s="363"/>
      <c r="K94" s="360"/>
    </row>
    <row r="95" spans="1:11" s="361" customFormat="1" x14ac:dyDescent="0.25">
      <c r="A95" s="365" t="str">
        <f>'Sources and Uses Budget'!$A95</f>
        <v>Other: Utilitiy Fees, CASP Consultant</v>
      </c>
      <c r="B95" s="362">
        <f>'Sources and Uses Budget'!C95</f>
        <v>290000</v>
      </c>
      <c r="C95" s="363"/>
      <c r="D95" s="363"/>
      <c r="E95" s="362">
        <f>'Sources and Uses Budget'!S95</f>
        <v>287650</v>
      </c>
      <c r="F95" s="363"/>
      <c r="G95" s="363"/>
      <c r="H95" s="362">
        <f>'Sources and Uses Budget'!T95</f>
        <v>0</v>
      </c>
      <c r="I95" s="363"/>
      <c r="J95" s="363"/>
      <c r="K95" s="360"/>
    </row>
    <row r="96" spans="1:11" s="361" customFormat="1" x14ac:dyDescent="0.25">
      <c r="A96" s="366" t="s">
        <v>775</v>
      </c>
      <c r="B96" s="362">
        <f>'Sources and Uses Budget'!C96</f>
        <v>3453452</v>
      </c>
      <c r="C96" s="362">
        <f>SUM(C83:C95)</f>
        <v>0</v>
      </c>
      <c r="D96" s="362">
        <f>SUM(D83:D95)</f>
        <v>0</v>
      </c>
      <c r="E96" s="362">
        <f>'Sources and Uses Budget'!S96</f>
        <v>2962493</v>
      </c>
      <c r="F96" s="368">
        <f>SUM(F84:F87,F89:F95)</f>
        <v>0</v>
      </c>
      <c r="G96" s="368">
        <f>SUM(G84:G87,G89:G95)</f>
        <v>0</v>
      </c>
      <c r="H96" s="362">
        <f>'Sources and Uses Budget'!T96</f>
        <v>0</v>
      </c>
      <c r="I96" s="362">
        <f>SUM(I84:I87,I89:I95)</f>
        <v>0</v>
      </c>
      <c r="J96" s="362">
        <f>SUM(J84:J87,J89:J95)</f>
        <v>0</v>
      </c>
      <c r="K96" s="360"/>
    </row>
    <row r="97" spans="1:11" s="361" customFormat="1" x14ac:dyDescent="0.25">
      <c r="A97" s="366" t="s">
        <v>1030</v>
      </c>
      <c r="B97" s="362">
        <f>'Sources and Uses Budget'!C97</f>
        <v>67596693</v>
      </c>
      <c r="C97" s="362">
        <f>SUM(C63+C70+C77+C81+C96)</f>
        <v>0</v>
      </c>
      <c r="D97" s="362">
        <f>SUM(D63+D70+D77+D81+D96)</f>
        <v>0</v>
      </c>
      <c r="E97" s="362">
        <f>'Sources and Uses Budget'!S97</f>
        <v>63073827</v>
      </c>
      <c r="F97" s="368">
        <f>SUM(+F63+F70+F81+F96)</f>
        <v>0</v>
      </c>
      <c r="G97" s="368">
        <f>SUM(+G63+G70+G81+G96)</f>
        <v>0</v>
      </c>
      <c r="H97" s="362">
        <f>'Sources and Uses Budget'!T97</f>
        <v>0</v>
      </c>
      <c r="I97" s="368">
        <f>SUM(I63+I70+I81+I96)</f>
        <v>0</v>
      </c>
      <c r="J97" s="368">
        <f>SUM(J63+J70+J81+J96)</f>
        <v>0</v>
      </c>
      <c r="K97" s="360"/>
    </row>
    <row r="98" spans="1:11" s="361" customFormat="1" ht="12" x14ac:dyDescent="0.25">
      <c r="A98" s="358" t="s">
        <v>777</v>
      </c>
      <c r="B98" s="359"/>
      <c r="C98" s="359"/>
      <c r="D98" s="359"/>
      <c r="E98" s="359"/>
      <c r="F98" s="359"/>
      <c r="G98" s="359"/>
      <c r="H98" s="359"/>
      <c r="I98" s="359"/>
      <c r="J98" s="359"/>
      <c r="K98" s="360"/>
    </row>
    <row r="99" spans="1:11" s="361" customFormat="1" x14ac:dyDescent="0.25">
      <c r="A99" s="145" t="s">
        <v>778</v>
      </c>
      <c r="B99" s="362">
        <f>'Sources and Uses Budget'!C99</f>
        <v>9461074</v>
      </c>
      <c r="C99" s="363"/>
      <c r="D99" s="363"/>
      <c r="E99" s="362">
        <f>'Sources and Uses Budget'!S99</f>
        <v>9461074</v>
      </c>
      <c r="F99" s="363"/>
      <c r="G99" s="363"/>
      <c r="H99" s="362">
        <f>'Sources and Uses Budget'!T99</f>
        <v>0</v>
      </c>
      <c r="I99" s="363"/>
      <c r="J99" s="363"/>
      <c r="K99" s="360"/>
    </row>
    <row r="100" spans="1:11" s="361" customFormat="1" x14ac:dyDescent="0.25">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x14ac:dyDescent="0.25">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x14ac:dyDescent="0.25">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x14ac:dyDescent="0.25">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x14ac:dyDescent="0.25">
      <c r="A104" s="366" t="s">
        <v>780</v>
      </c>
      <c r="B104" s="362">
        <f>'Sources and Uses Budget'!C104</f>
        <v>9461074</v>
      </c>
      <c r="C104" s="362">
        <f>SUM(C99:C103)</f>
        <v>0</v>
      </c>
      <c r="D104" s="362">
        <f>SUM(D99:D103)</f>
        <v>0</v>
      </c>
      <c r="E104" s="362">
        <f>'Sources and Uses Budget'!S104</f>
        <v>9461074</v>
      </c>
      <c r="F104" s="368">
        <f>SUM(F99:F103)</f>
        <v>0</v>
      </c>
      <c r="G104" s="368">
        <f>SUM(G99:G103)</f>
        <v>0</v>
      </c>
      <c r="H104" s="362">
        <f>'Sources and Uses Budget'!T104</f>
        <v>0</v>
      </c>
      <c r="I104" s="368">
        <f>SUM(I99:I103)</f>
        <v>0</v>
      </c>
      <c r="J104" s="368">
        <f>SUM(J99:J103)</f>
        <v>0</v>
      </c>
      <c r="K104" s="360"/>
    </row>
    <row r="105" spans="1:11" s="361" customFormat="1" x14ac:dyDescent="0.25">
      <c r="A105" s="366" t="s">
        <v>1031</v>
      </c>
      <c r="B105" s="362">
        <f>'Sources and Uses Budget'!C105</f>
        <v>77057767</v>
      </c>
      <c r="C105" s="368">
        <f>SUM(C97+C104)</f>
        <v>0</v>
      </c>
      <c r="D105" s="368">
        <f>SUM(D97+D104)</f>
        <v>0</v>
      </c>
      <c r="E105" s="362">
        <f>'Sources and Uses Budget'!S105</f>
        <v>72534901</v>
      </c>
      <c r="F105" s="368">
        <f>F97+F104</f>
        <v>0</v>
      </c>
      <c r="G105" s="368">
        <f>G97+G104</f>
        <v>0</v>
      </c>
      <c r="H105" s="362">
        <f>'Sources and Uses Budget'!T105</f>
        <v>0</v>
      </c>
      <c r="I105" s="368">
        <f>I97+I104</f>
        <v>0</v>
      </c>
      <c r="J105" s="368">
        <f>J97+J104</f>
        <v>0</v>
      </c>
      <c r="K105" s="360"/>
    </row>
    <row r="106" spans="1:11" s="361" customFormat="1" x14ac:dyDescent="0.25">
      <c r="A106" s="372"/>
      <c r="B106" s="373"/>
      <c r="C106" s="373"/>
      <c r="D106" s="373"/>
      <c r="E106" s="362">
        <f>'Sources and Uses Budget'!S106</f>
        <v>0</v>
      </c>
      <c r="F106" s="363"/>
      <c r="G106" s="363"/>
      <c r="H106" s="362">
        <f>'Sources and Uses Budget'!T106</f>
        <v>0</v>
      </c>
      <c r="I106" s="363"/>
      <c r="J106" s="363"/>
      <c r="K106" s="360"/>
    </row>
    <row r="107" spans="1:11" s="361" customFormat="1" x14ac:dyDescent="0.25">
      <c r="A107" s="374"/>
      <c r="B107" s="375"/>
      <c r="C107" s="373"/>
      <c r="D107" s="455" t="s">
        <v>375</v>
      </c>
      <c r="E107" s="362">
        <f>'Sources and Uses Budget'!S107</f>
        <v>72534901</v>
      </c>
      <c r="F107" s="368">
        <f>F105+F106</f>
        <v>0</v>
      </c>
      <c r="G107" s="368">
        <f>G105+G106</f>
        <v>0</v>
      </c>
      <c r="H107" s="362">
        <f>'Sources and Uses Budget'!T107</f>
        <v>0</v>
      </c>
      <c r="I107" s="368">
        <f>I105+I106</f>
        <v>0</v>
      </c>
      <c r="J107" s="368">
        <f>J105+J106</f>
        <v>0</v>
      </c>
      <c r="K107" s="360"/>
    </row>
    <row r="108" spans="1:11" s="361" customFormat="1" x14ac:dyDescent="0.25">
      <c r="A108" s="374"/>
      <c r="B108" s="376"/>
      <c r="C108" s="376"/>
      <c r="D108" s="376"/>
      <c r="J108" s="377"/>
      <c r="K108" s="360"/>
    </row>
    <row r="109" spans="1:11" s="361" customFormat="1" x14ac:dyDescent="0.25">
      <c r="A109" s="374"/>
      <c r="B109" s="376"/>
      <c r="C109" s="376"/>
      <c r="D109" s="376"/>
      <c r="J109" s="377"/>
      <c r="K109" s="360"/>
    </row>
    <row r="110" spans="1:11" s="361" customFormat="1" x14ac:dyDescent="0.25">
      <c r="A110" s="374"/>
      <c r="B110" s="376"/>
      <c r="C110" s="376"/>
      <c r="D110" s="376"/>
      <c r="J110" s="377"/>
      <c r="K110" s="360"/>
    </row>
    <row r="111" spans="1:11" s="361" customFormat="1" ht="13" x14ac:dyDescent="0.25">
      <c r="A111" s="378"/>
      <c r="B111" s="376"/>
      <c r="C111" s="376"/>
      <c r="D111" s="376"/>
      <c r="J111" s="377"/>
      <c r="K111" s="360"/>
    </row>
    <row r="112" spans="1:11" s="361" customFormat="1" ht="13" x14ac:dyDescent="0.25">
      <c r="A112" s="378"/>
      <c r="B112" s="376"/>
      <c r="C112" s="376"/>
      <c r="D112" s="376"/>
      <c r="J112" s="377"/>
      <c r="K112" s="360"/>
    </row>
    <row r="113" spans="1:11" s="361" customFormat="1" ht="15" x14ac:dyDescent="0.25">
      <c r="A113" s="379"/>
      <c r="B113" s="376"/>
      <c r="C113" s="376"/>
      <c r="D113" s="376"/>
      <c r="J113" s="377"/>
      <c r="K113" s="360"/>
    </row>
    <row r="114" spans="1:11" s="361" customFormat="1" ht="13" x14ac:dyDescent="0.25">
      <c r="A114" s="378"/>
      <c r="J114" s="377"/>
      <c r="K114" s="360"/>
    </row>
    <row r="115" spans="1:11" s="361" customFormat="1" ht="15" x14ac:dyDescent="0.25">
      <c r="A115" s="379"/>
      <c r="J115" s="377"/>
      <c r="K115" s="360"/>
    </row>
    <row r="116" spans="1:11" s="361" customFormat="1" ht="15" x14ac:dyDescent="0.25">
      <c r="A116" s="379"/>
      <c r="J116" s="377"/>
      <c r="K116" s="360"/>
    </row>
    <row r="117" spans="1:11" s="361" customFormat="1" x14ac:dyDescent="0.25">
      <c r="B117" s="376"/>
      <c r="C117" s="376"/>
      <c r="D117" s="376"/>
      <c r="J117" s="377"/>
      <c r="K117" s="360"/>
    </row>
    <row r="118" spans="1:11" s="361" customFormat="1" x14ac:dyDescent="0.25">
      <c r="J118" s="377"/>
      <c r="K118" s="360"/>
    </row>
    <row r="119" spans="1:11" s="361" customFormat="1" x14ac:dyDescent="0.25">
      <c r="J119" s="377"/>
      <c r="K119" s="360"/>
    </row>
    <row r="120" spans="1:11" s="361" customFormat="1" x14ac:dyDescent="0.25">
      <c r="J120" s="377"/>
      <c r="K120" s="360"/>
    </row>
    <row r="121" spans="1:11" s="361" customFormat="1" ht="15" x14ac:dyDescent="0.25">
      <c r="A121" s="379"/>
      <c r="J121" s="377"/>
      <c r="K121" s="360"/>
    </row>
    <row r="122" spans="1:11" s="381" customFormat="1" ht="15.5" x14ac:dyDescent="0.25">
      <c r="A122" s="380"/>
      <c r="J122" s="382"/>
      <c r="K122" s="383"/>
    </row>
    <row r="123" spans="1:11" s="361" customFormat="1" x14ac:dyDescent="0.25">
      <c r="A123" s="384"/>
      <c r="J123" s="377"/>
      <c r="K123" s="360"/>
    </row>
    <row r="124" spans="1:11" s="361" customFormat="1" x14ac:dyDescent="0.25">
      <c r="B124" s="385"/>
      <c r="D124" s="1868"/>
      <c r="E124" s="1313"/>
      <c r="F124" s="1313"/>
      <c r="G124" s="1313"/>
      <c r="H124" s="1313"/>
      <c r="I124" s="1313"/>
      <c r="J124" s="377"/>
      <c r="K124" s="360"/>
    </row>
    <row r="125" spans="1:11" s="361" customFormat="1" ht="12.5" x14ac:dyDescent="0.25">
      <c r="A125" s="386"/>
      <c r="B125" s="385"/>
      <c r="C125" s="386"/>
      <c r="D125" s="1313"/>
      <c r="E125" s="1313"/>
      <c r="F125" s="1313"/>
      <c r="G125" s="1313"/>
      <c r="H125" s="1313"/>
      <c r="I125" s="1313"/>
      <c r="J125" s="377"/>
      <c r="K125" s="360"/>
    </row>
    <row r="126" spans="1:11" s="361" customFormat="1" ht="12.5" x14ac:dyDescent="0.25">
      <c r="A126" s="386"/>
      <c r="B126" s="385"/>
      <c r="C126" s="386"/>
      <c r="D126" s="1313"/>
      <c r="E126" s="1313"/>
      <c r="F126" s="1313"/>
      <c r="G126" s="1313"/>
      <c r="H126" s="1313"/>
      <c r="I126" s="1313"/>
      <c r="J126" s="377"/>
      <c r="K126" s="360"/>
    </row>
    <row r="127" spans="1:11" s="361" customFormat="1" ht="12.5" x14ac:dyDescent="0.25">
      <c r="A127" s="386"/>
      <c r="B127" s="385"/>
      <c r="C127" s="386"/>
      <c r="D127" s="387"/>
      <c r="E127" s="386"/>
      <c r="F127" s="386"/>
      <c r="G127" s="386"/>
      <c r="J127" s="377"/>
      <c r="K127" s="360"/>
    </row>
    <row r="128" spans="1:11" s="361" customFormat="1" ht="12.5" x14ac:dyDescent="0.25">
      <c r="A128" s="386"/>
      <c r="B128" s="385"/>
      <c r="C128" s="386"/>
      <c r="D128" s="387"/>
      <c r="E128" s="386"/>
      <c r="F128" s="386"/>
      <c r="G128" s="386"/>
      <c r="J128" s="377"/>
      <c r="K128" s="360"/>
    </row>
    <row r="129" spans="1:11" s="361" customFormat="1" ht="12.5" x14ac:dyDescent="0.25">
      <c r="A129" s="386"/>
      <c r="B129" s="385"/>
      <c r="C129" s="386"/>
      <c r="D129" s="386"/>
      <c r="E129" s="386"/>
      <c r="F129" s="386"/>
      <c r="G129" s="386"/>
      <c r="J129" s="377"/>
      <c r="K129" s="360"/>
    </row>
    <row r="130" spans="1:11" s="361" customFormat="1" ht="12.5" x14ac:dyDescent="0.25">
      <c r="A130" s="386"/>
      <c r="B130" s="385"/>
      <c r="C130" s="386"/>
      <c r="D130" s="386"/>
      <c r="E130" s="386"/>
      <c r="F130" s="386"/>
      <c r="G130" s="386"/>
      <c r="J130" s="377"/>
      <c r="K130" s="360"/>
    </row>
    <row r="131" spans="1:11" s="361" customFormat="1" ht="12.5" x14ac:dyDescent="0.25">
      <c r="A131" s="386"/>
      <c r="B131" s="388"/>
      <c r="C131" s="386"/>
      <c r="D131" s="386"/>
      <c r="E131" s="386"/>
      <c r="F131" s="386"/>
      <c r="G131" s="386"/>
      <c r="J131" s="377"/>
      <c r="K131" s="360"/>
    </row>
    <row r="132" spans="1:11" s="361" customFormat="1" ht="13" x14ac:dyDescent="0.25">
      <c r="A132" s="389"/>
      <c r="B132" s="390"/>
      <c r="C132" s="386"/>
      <c r="D132" s="391"/>
      <c r="E132" s="386"/>
      <c r="F132" s="386"/>
      <c r="G132" s="386"/>
      <c r="J132" s="377"/>
      <c r="K132" s="360"/>
    </row>
    <row r="133" spans="1:11" s="361" customFormat="1" ht="12.5" x14ac:dyDescent="0.25">
      <c r="A133" s="392"/>
      <c r="B133" s="386"/>
      <c r="C133" s="386"/>
      <c r="D133" s="386"/>
      <c r="E133" s="386"/>
      <c r="F133" s="386"/>
      <c r="G133" s="386"/>
      <c r="J133" s="377"/>
      <c r="K133" s="360"/>
    </row>
    <row r="134" spans="1:11" s="361" customFormat="1" ht="12.5" x14ac:dyDescent="0.25">
      <c r="A134" s="392"/>
      <c r="B134" s="386"/>
      <c r="C134" s="386"/>
      <c r="D134" s="386"/>
      <c r="E134" s="386"/>
      <c r="F134" s="386"/>
      <c r="G134" s="386"/>
      <c r="J134" s="377"/>
      <c r="K134" s="360"/>
    </row>
    <row r="135" spans="1:11" s="361" customFormat="1" ht="12.5" x14ac:dyDescent="0.25">
      <c r="A135" s="393"/>
      <c r="B135" s="386"/>
      <c r="C135" s="386"/>
      <c r="D135" s="386"/>
      <c r="E135" s="386"/>
      <c r="F135" s="386"/>
      <c r="G135" s="386"/>
      <c r="J135" s="377"/>
      <c r="K135" s="360"/>
    </row>
    <row r="136" spans="1:11" s="361" customFormat="1" ht="13" x14ac:dyDescent="0.25">
      <c r="A136" s="378"/>
      <c r="B136" s="386"/>
      <c r="C136" s="386"/>
      <c r="D136" s="386"/>
      <c r="E136" s="386"/>
      <c r="F136" s="386"/>
      <c r="G136" s="386"/>
      <c r="J136" s="377"/>
      <c r="K136" s="360"/>
    </row>
    <row r="137" spans="1:11" ht="12.5" x14ac:dyDescent="0.25">
      <c r="A137" s="392"/>
      <c r="B137" s="386"/>
      <c r="C137" s="386"/>
      <c r="D137" s="386"/>
      <c r="E137" s="386"/>
      <c r="F137" s="386"/>
      <c r="G137" s="386"/>
    </row>
    <row r="138" spans="1:11" ht="12" customHeight="1" x14ac:dyDescent="0.25">
      <c r="A138" s="392"/>
      <c r="B138" s="386"/>
      <c r="C138" s="386"/>
      <c r="D138" s="386"/>
      <c r="E138" s="386"/>
      <c r="F138" s="386"/>
      <c r="G138" s="386"/>
    </row>
    <row r="139" spans="1:11" ht="12" customHeight="1" x14ac:dyDescent="0.25">
      <c r="A139" s="1869"/>
      <c r="B139" s="1313"/>
      <c r="C139" s="1313"/>
      <c r="D139" s="357"/>
      <c r="E139" s="386"/>
      <c r="F139" s="386"/>
      <c r="G139" s="386"/>
    </row>
    <row r="140" spans="1:11" ht="12" customHeight="1" x14ac:dyDescent="0.25">
      <c r="A140" s="1300"/>
      <c r="B140" s="1300"/>
      <c r="C140" s="1300"/>
      <c r="D140" s="357"/>
      <c r="E140" s="386"/>
      <c r="F140" s="386"/>
      <c r="G140" s="386"/>
    </row>
    <row r="141" spans="1:11" ht="12" customHeight="1" x14ac:dyDescent="0.25">
      <c r="A141" s="392"/>
      <c r="B141" s="386"/>
      <c r="C141" s="386"/>
      <c r="D141" s="357"/>
      <c r="E141" s="386"/>
      <c r="F141" s="386"/>
      <c r="G141" s="386"/>
      <c r="H141" s="395"/>
      <c r="I141" s="395"/>
    </row>
    <row r="142" spans="1:11" ht="12" customHeight="1" x14ac:dyDescent="0.25">
      <c r="A142" s="397"/>
      <c r="B142" s="357"/>
      <c r="C142" s="357"/>
      <c r="D142" s="357"/>
      <c r="E142" s="386"/>
      <c r="F142" s="386"/>
      <c r="G142" s="386"/>
      <c r="H142" s="395"/>
      <c r="I142" s="395"/>
    </row>
    <row r="143" spans="1:11" x14ac:dyDescent="0.25"/>
    <row r="144" spans="1:11" x14ac:dyDescent="0.25"/>
    <row r="145" x14ac:dyDescent="0.25"/>
    <row r="146" x14ac:dyDescent="0.25"/>
    <row r="147" x14ac:dyDescent="0.25"/>
    <row r="148" x14ac:dyDescent="0.25"/>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6328125" defaultRowHeight="15.75" customHeight="1" x14ac:dyDescent="0.35"/>
  <cols>
    <col min="1" max="8" width="2.6328125" style="1189"/>
    <col min="9" max="9" width="7.6328125" style="1189" customWidth="1"/>
    <col min="10" max="13" width="2.6328125" style="1189"/>
    <col min="14" max="14" width="4.6328125" style="1189" customWidth="1"/>
    <col min="15" max="19" width="2.6328125" style="1189"/>
    <col min="20" max="20" width="3.6328125" style="1189" customWidth="1"/>
    <col min="21" max="37" width="2.6328125" style="1189"/>
    <col min="38" max="38" width="3" style="1189" customWidth="1"/>
    <col min="39" max="45" width="2.6328125" style="1189"/>
    <col min="46" max="46" width="4.6328125" style="1189" customWidth="1"/>
    <col min="47" max="64" width="2.63281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08984375" style="1189" hidden="1" customWidth="1"/>
    <col min="72" max="76" width="5.54296875" style="1189" hidden="1" customWidth="1"/>
    <col min="77" max="77" width="6.08984375" style="1189" bestFit="1" customWidth="1"/>
    <col min="78" max="78" width="5.54296875" style="1189" bestFit="1" customWidth="1"/>
    <col min="79" max="16384" width="2.6328125" style="1189"/>
  </cols>
  <sheetData>
    <row r="1" spans="1:65" ht="15.75" customHeight="1" x14ac:dyDescent="0.45">
      <c r="A1" s="2321" t="s">
        <v>2461</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x14ac:dyDescent="0.35">
      <c r="A2" s="2324" t="s">
        <v>2460</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90"/>
    </row>
    <row r="3" spans="1:65" ht="15.75" customHeight="1" thickBot="1" x14ac:dyDescent="0.4">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x14ac:dyDescent="0.4">
      <c r="A4" s="1191"/>
      <c r="B4" s="1194" t="s">
        <v>657</v>
      </c>
      <c r="C4" s="1194"/>
      <c r="D4" s="1194"/>
      <c r="E4" s="1194"/>
      <c r="F4" s="1194"/>
      <c r="G4" s="1192"/>
      <c r="H4" s="1192"/>
      <c r="I4" s="1192"/>
      <c r="J4" s="1192"/>
      <c r="K4" s="1192"/>
      <c r="L4" s="2313" t="str">
        <f>IF(Application!H18="","",Application!H18)</f>
        <v>VA Building 408</v>
      </c>
      <c r="M4" s="2314"/>
      <c r="N4" s="2314"/>
      <c r="O4" s="2314"/>
      <c r="P4" s="2314"/>
      <c r="Q4" s="2314"/>
      <c r="R4" s="2314"/>
      <c r="S4" s="2314"/>
      <c r="T4" s="2314"/>
      <c r="U4" s="2314"/>
      <c r="V4" s="2314"/>
      <c r="W4" s="2314"/>
      <c r="X4" s="2314"/>
      <c r="Y4" s="2314"/>
      <c r="Z4" s="2314"/>
      <c r="AA4" s="2314"/>
      <c r="AB4" s="2314"/>
      <c r="AC4" s="2315"/>
      <c r="AD4" s="1192"/>
      <c r="AE4" s="1192"/>
      <c r="AF4" s="2309" t="s">
        <v>2459</v>
      </c>
      <c r="AG4" s="2309"/>
      <c r="AH4" s="2309"/>
      <c r="AI4" s="2309"/>
      <c r="AJ4" s="2309"/>
      <c r="AK4" s="2309"/>
      <c r="AL4" s="2309"/>
      <c r="AM4" s="2309"/>
      <c r="AN4" s="2309"/>
      <c r="AO4" s="2309"/>
      <c r="AP4" s="2310"/>
      <c r="AQ4" s="2311"/>
      <c r="AR4" s="2311"/>
      <c r="AS4" s="2311"/>
      <c r="AT4" s="2311"/>
      <c r="AU4" s="2311"/>
      <c r="AV4" s="1192"/>
      <c r="AW4" s="1192"/>
      <c r="AX4" s="1192"/>
      <c r="AY4" s="1192"/>
      <c r="AZ4" s="1192"/>
      <c r="BA4" s="1192"/>
      <c r="BB4" s="1192"/>
      <c r="BC4" s="1192"/>
      <c r="BD4" s="1192"/>
      <c r="BE4" s="1193"/>
    </row>
    <row r="5" spans="1:65" ht="15.75" customHeight="1" thickBot="1" x14ac:dyDescent="0.4">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9" t="s">
        <v>2458</v>
      </c>
      <c r="AG5" s="2309"/>
      <c r="AH5" s="2309"/>
      <c r="AI5" s="2309"/>
      <c r="AJ5" s="2309"/>
      <c r="AK5" s="2309"/>
      <c r="AL5" s="2309"/>
      <c r="AM5" s="2309"/>
      <c r="AN5" s="2309"/>
      <c r="AO5" s="2309"/>
      <c r="AP5" s="2310"/>
      <c r="AQ5" s="2311"/>
      <c r="AR5" s="2311"/>
      <c r="AS5" s="2311"/>
      <c r="AT5" s="2311"/>
      <c r="AU5" s="2311"/>
      <c r="AV5" s="1192"/>
      <c r="AW5" s="1192"/>
      <c r="AX5" s="1192"/>
      <c r="AY5" s="1192"/>
      <c r="AZ5" s="1192"/>
      <c r="BA5" s="1192"/>
      <c r="BB5" s="1192"/>
      <c r="BC5" s="1192"/>
      <c r="BD5" s="1192"/>
      <c r="BE5" s="1193"/>
    </row>
    <row r="6" spans="1:65" ht="15.75" customHeight="1" thickBot="1" x14ac:dyDescent="0.4">
      <c r="A6" s="1191"/>
      <c r="B6" s="1194" t="s">
        <v>2457</v>
      </c>
      <c r="C6" s="1192"/>
      <c r="D6" s="1192"/>
      <c r="E6" s="1192"/>
      <c r="F6" s="1192"/>
      <c r="G6" s="1192"/>
      <c r="H6" s="1192"/>
      <c r="I6" s="1192"/>
      <c r="J6" s="1192"/>
      <c r="K6" s="1192"/>
      <c r="L6" s="2313" t="str">
        <f>IF(Application!H16="","",Application!H16)</f>
        <v>VA Building 408 LP</v>
      </c>
      <c r="M6" s="2314"/>
      <c r="N6" s="2314"/>
      <c r="O6" s="2314"/>
      <c r="P6" s="2314"/>
      <c r="Q6" s="2314"/>
      <c r="R6" s="2314"/>
      <c r="S6" s="2314"/>
      <c r="T6" s="2314"/>
      <c r="U6" s="2314"/>
      <c r="V6" s="2314"/>
      <c r="W6" s="2314"/>
      <c r="X6" s="2314"/>
      <c r="Y6" s="2314"/>
      <c r="Z6" s="2314"/>
      <c r="AA6" s="2314"/>
      <c r="AB6" s="2314"/>
      <c r="AC6" s="2315"/>
      <c r="AD6" s="1192"/>
      <c r="AE6" s="1192"/>
      <c r="AF6" s="2316" t="s">
        <v>2456</v>
      </c>
      <c r="AG6" s="2316"/>
      <c r="AH6" s="2316"/>
      <c r="AI6" s="2316"/>
      <c r="AJ6" s="2316"/>
      <c r="AK6" s="2316"/>
      <c r="AL6" s="2316"/>
      <c r="AM6" s="2316"/>
      <c r="AN6" s="2316"/>
      <c r="AO6" s="2316"/>
      <c r="AP6" s="2317"/>
      <c r="AQ6" s="2317"/>
      <c r="AR6" s="2317"/>
      <c r="AS6" s="2317"/>
      <c r="AT6" s="2317"/>
      <c r="AU6" s="2317"/>
      <c r="AV6" s="1192"/>
      <c r="AW6" s="1192"/>
      <c r="AX6" s="1192"/>
      <c r="AY6" s="1192"/>
      <c r="AZ6" s="1192"/>
      <c r="BA6" s="1192"/>
      <c r="BB6" s="1192"/>
      <c r="BC6" s="1192"/>
      <c r="BD6" s="1192"/>
      <c r="BE6" s="1193"/>
    </row>
    <row r="7" spans="1:65" ht="15" thickBot="1" x14ac:dyDescent="0.4">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6" t="s">
        <v>2455</v>
      </c>
      <c r="AG7" s="2316"/>
      <c r="AH7" s="2316"/>
      <c r="AI7" s="2316"/>
      <c r="AJ7" s="2316"/>
      <c r="AK7" s="2316"/>
      <c r="AL7" s="2316"/>
      <c r="AM7" s="2316"/>
      <c r="AN7" s="2316"/>
      <c r="AO7" s="2316"/>
      <c r="AP7" s="2317"/>
      <c r="AQ7" s="2317"/>
      <c r="AR7" s="2317"/>
      <c r="AS7" s="2317"/>
      <c r="AT7" s="2317"/>
      <c r="AU7" s="2317"/>
      <c r="AV7" s="1192"/>
      <c r="AW7" s="1192"/>
      <c r="AX7" s="1192"/>
      <c r="AY7" s="1192"/>
      <c r="AZ7" s="1192"/>
      <c r="BA7" s="1192"/>
      <c r="BB7" s="1192"/>
      <c r="BC7" s="1192"/>
      <c r="BD7" s="1192"/>
      <c r="BE7" s="1193"/>
    </row>
    <row r="8" spans="1:65" ht="15" thickBot="1" x14ac:dyDescent="0.4">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8" t="str">
        <f>Application!T197</f>
        <v>No</v>
      </c>
      <c r="AC8" s="2319"/>
      <c r="AD8" s="2320"/>
      <c r="AE8" s="1192"/>
      <c r="AF8" s="2316" t="s">
        <v>2453</v>
      </c>
      <c r="AG8" s="2316"/>
      <c r="AH8" s="2316"/>
      <c r="AI8" s="2316"/>
      <c r="AJ8" s="2316"/>
      <c r="AK8" s="2316"/>
      <c r="AL8" s="2316"/>
      <c r="AM8" s="2316"/>
      <c r="AN8" s="2316"/>
      <c r="AO8" s="2316"/>
      <c r="AP8" s="2317" t="s">
        <v>2101</v>
      </c>
      <c r="AQ8" s="2317"/>
      <c r="AR8" s="2317"/>
      <c r="AS8" s="2317"/>
      <c r="AT8" s="2317"/>
      <c r="AU8" s="2317"/>
      <c r="AV8" s="1192"/>
      <c r="AW8" s="1192"/>
      <c r="AX8" s="1192"/>
      <c r="AY8" s="1192"/>
      <c r="AZ8" s="1192"/>
      <c r="BA8" s="1192"/>
      <c r="BB8" s="1192"/>
      <c r="BC8" s="1192"/>
      <c r="BD8" s="1192"/>
      <c r="BE8" s="1193"/>
      <c r="BM8" s="1189" t="s">
        <v>1985</v>
      </c>
    </row>
    <row r="9" spans="1:65" ht="14.5" x14ac:dyDescent="0.3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9" t="s">
        <v>2452</v>
      </c>
      <c r="AG9" s="2309"/>
      <c r="AH9" s="2309"/>
      <c r="AI9" s="2309"/>
      <c r="AJ9" s="2309"/>
      <c r="AK9" s="2309"/>
      <c r="AL9" s="2309"/>
      <c r="AM9" s="2309"/>
      <c r="AN9" s="2309"/>
      <c r="AO9" s="2309"/>
      <c r="AP9" s="2310"/>
      <c r="AQ9" s="2311"/>
      <c r="AR9" s="2311"/>
      <c r="AS9" s="2311"/>
      <c r="AT9" s="2311"/>
      <c r="AU9" s="2311"/>
      <c r="AV9" s="1192"/>
      <c r="AW9" s="1192"/>
      <c r="AX9" s="1192"/>
      <c r="AY9" s="1192"/>
      <c r="AZ9" s="1192"/>
      <c r="BA9" s="1192"/>
      <c r="BB9" s="1192"/>
      <c r="BC9" s="1192"/>
      <c r="BD9" s="1192"/>
      <c r="BE9" s="1193"/>
      <c r="BM9" s="1189" t="s">
        <v>2451</v>
      </c>
    </row>
    <row r="10" spans="1:65" ht="14.5" x14ac:dyDescent="0.35">
      <c r="A10" s="1191"/>
      <c r="B10" s="1194" t="s">
        <v>2450</v>
      </c>
      <c r="C10" s="1194"/>
      <c r="D10" s="1194"/>
      <c r="E10" s="1194"/>
      <c r="F10" s="1194"/>
      <c r="G10" s="1194"/>
      <c r="H10" s="1194"/>
      <c r="I10" s="1194"/>
      <c r="J10" s="1194"/>
      <c r="K10" s="1194"/>
      <c r="L10" s="1194"/>
      <c r="M10" s="1192"/>
      <c r="N10" s="2312">
        <f>Application!AO627</f>
        <v>13936131</v>
      </c>
      <c r="O10" s="2312"/>
      <c r="P10" s="2312"/>
      <c r="Q10" s="2312"/>
      <c r="R10" s="2312"/>
      <c r="S10" s="2312"/>
      <c r="T10" s="2312"/>
      <c r="U10" s="1192"/>
      <c r="V10" s="1192"/>
      <c r="W10" s="1192"/>
      <c r="X10" s="1195"/>
      <c r="Y10" s="1195"/>
      <c r="Z10" s="1195"/>
      <c r="AA10" s="1195"/>
      <c r="AB10" s="1195"/>
      <c r="AC10" s="1195"/>
      <c r="AD10" s="1195"/>
      <c r="AE10" s="1195"/>
      <c r="AF10" s="2309" t="s">
        <v>2449</v>
      </c>
      <c r="AG10" s="2309"/>
      <c r="AH10" s="2309"/>
      <c r="AI10" s="2309"/>
      <c r="AJ10" s="2309"/>
      <c r="AK10" s="2309"/>
      <c r="AL10" s="2309"/>
      <c r="AM10" s="2309"/>
      <c r="AN10" s="2309"/>
      <c r="AO10" s="2309"/>
      <c r="AP10" s="2310"/>
      <c r="AQ10" s="2311"/>
      <c r="AR10" s="2311"/>
      <c r="AS10" s="2311"/>
      <c r="AT10" s="2311"/>
      <c r="AU10" s="2311"/>
      <c r="AV10" s="1195"/>
      <c r="AW10" s="1195"/>
      <c r="AX10" s="1192"/>
      <c r="AY10" s="1192"/>
      <c r="AZ10" s="1192"/>
      <c r="BA10" s="1192"/>
      <c r="BB10" s="1192"/>
      <c r="BC10" s="1192"/>
      <c r="BD10" s="1192"/>
      <c r="BE10" s="1193"/>
      <c r="BM10" s="1189" t="s">
        <v>2448</v>
      </c>
    </row>
    <row r="11" spans="1:65" ht="14.5" x14ac:dyDescent="0.35">
      <c r="A11" s="1191"/>
      <c r="B11" s="1194" t="s">
        <v>2447</v>
      </c>
      <c r="C11" s="1194"/>
      <c r="D11" s="1194"/>
      <c r="E11" s="1194"/>
      <c r="F11" s="1194"/>
      <c r="G11" s="1194"/>
      <c r="H11" s="1194"/>
      <c r="I11" s="1194"/>
      <c r="J11" s="1194"/>
      <c r="K11" s="1194"/>
      <c r="L11" s="1194"/>
      <c r="M11" s="1192"/>
      <c r="N11" s="2312">
        <f>Application!AA933</f>
        <v>0</v>
      </c>
      <c r="O11" s="2312"/>
      <c r="P11" s="2312"/>
      <c r="Q11" s="2312"/>
      <c r="R11" s="2312"/>
      <c r="S11" s="2312"/>
      <c r="T11" s="2312"/>
      <c r="U11" s="1192"/>
      <c r="V11" s="1192"/>
      <c r="W11" s="1192"/>
      <c r="X11" s="1195"/>
      <c r="Y11" s="1195"/>
      <c r="Z11" s="1195"/>
      <c r="AA11" s="1195"/>
      <c r="AB11" s="1195"/>
      <c r="AC11" s="1195"/>
      <c r="AD11" s="1195"/>
      <c r="AE11" s="1195"/>
      <c r="AF11" s="2309" t="s">
        <v>2446</v>
      </c>
      <c r="AG11" s="2309"/>
      <c r="AH11" s="2309"/>
      <c r="AI11" s="2309"/>
      <c r="AJ11" s="2309"/>
      <c r="AK11" s="2309"/>
      <c r="AL11" s="2309"/>
      <c r="AM11" s="2309"/>
      <c r="AN11" s="2309"/>
      <c r="AO11" s="2309"/>
      <c r="AP11" s="2310"/>
      <c r="AQ11" s="2311"/>
      <c r="AR11" s="2311"/>
      <c r="AS11" s="2311"/>
      <c r="AT11" s="2311"/>
      <c r="AU11" s="2311"/>
      <c r="AV11" s="1195"/>
      <c r="AW11" s="1195"/>
      <c r="AX11" s="1192"/>
      <c r="AY11" s="1192"/>
      <c r="AZ11" s="1192"/>
      <c r="BA11" s="1192"/>
      <c r="BB11" s="1192"/>
      <c r="BC11" s="1192"/>
      <c r="BD11" s="1192"/>
      <c r="BE11" s="1193"/>
      <c r="BM11" s="1189" t="s">
        <v>2101</v>
      </c>
    </row>
    <row r="12" spans="1:65" ht="15" thickBot="1" x14ac:dyDescent="0.4">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x14ac:dyDescent="0.4">
      <c r="A13" s="1192"/>
      <c r="B13" s="2300" t="s">
        <v>2444</v>
      </c>
      <c r="C13" s="2301"/>
      <c r="D13" s="2301"/>
      <c r="E13" s="2301"/>
      <c r="F13" s="2301"/>
      <c r="G13" s="2301"/>
      <c r="H13" s="2301"/>
      <c r="I13" s="2301"/>
      <c r="J13" s="2301"/>
      <c r="K13" s="2301"/>
      <c r="L13" s="2301"/>
      <c r="M13" s="2301"/>
      <c r="N13" s="2301"/>
      <c r="O13" s="2301"/>
      <c r="P13" s="2302"/>
      <c r="Q13" s="2303" t="s">
        <v>670</v>
      </c>
      <c r="R13" s="2304"/>
      <c r="S13" s="2304"/>
      <c r="T13" s="2305"/>
      <c r="U13" s="1195"/>
      <c r="V13" s="1192"/>
      <c r="W13" s="1192"/>
      <c r="X13" s="1192"/>
      <c r="Y13" s="1192"/>
      <c r="Z13" s="1192"/>
      <c r="AA13" s="2290" t="s">
        <v>2443</v>
      </c>
      <c r="AB13" s="2290"/>
      <c r="AC13" s="2290"/>
      <c r="AD13" s="2290"/>
      <c r="AE13" s="2290"/>
      <c r="AF13" s="2290"/>
      <c r="AG13" s="2290"/>
      <c r="AH13" s="2290"/>
      <c r="AI13" s="2290"/>
      <c r="AJ13" s="2290"/>
      <c r="AK13" s="2290"/>
      <c r="AL13" s="2290"/>
      <c r="AM13" s="2290"/>
      <c r="AN13" s="2290"/>
      <c r="AO13" s="2306">
        <f>Application!W473</f>
        <v>25</v>
      </c>
      <c r="AP13" s="2307"/>
      <c r="AQ13" s="2307"/>
      <c r="AR13" s="2307"/>
      <c r="AS13" s="2307"/>
      <c r="AT13" s="1195"/>
      <c r="AU13" s="1195"/>
      <c r="AV13" s="1195"/>
      <c r="AW13" s="1195"/>
      <c r="AX13" s="1195"/>
      <c r="AY13" s="1195"/>
      <c r="AZ13" s="1195"/>
      <c r="BA13" s="1195"/>
      <c r="BB13" s="1195"/>
      <c r="BC13" s="1195"/>
      <c r="BD13" s="1195"/>
      <c r="BE13" s="1196"/>
      <c r="BM13" s="1189" t="s">
        <v>2442</v>
      </c>
    </row>
    <row r="14" spans="1:65" ht="15" thickBot="1" x14ac:dyDescent="0.4">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8" t="s">
        <v>2441</v>
      </c>
      <c r="AB14" s="2308"/>
      <c r="AC14" s="2308"/>
      <c r="AD14" s="2308"/>
      <c r="AE14" s="2308"/>
      <c r="AF14" s="2308"/>
      <c r="AG14" s="2308"/>
      <c r="AH14" s="2308"/>
      <c r="AI14" s="2308"/>
      <c r="AJ14" s="2308"/>
      <c r="AK14" s="2308"/>
      <c r="AL14" s="2308"/>
      <c r="AM14" s="2308"/>
      <c r="AN14" s="2308"/>
      <c r="AO14" s="2291"/>
      <c r="AP14" s="2292"/>
      <c r="AQ14" s="2292"/>
      <c r="AR14" s="2292"/>
      <c r="AS14" s="2292"/>
      <c r="AT14" s="1195"/>
      <c r="AU14" s="1195"/>
      <c r="AV14" s="1195"/>
      <c r="AW14" s="1195"/>
      <c r="AX14" s="1195"/>
      <c r="AY14" s="1195"/>
      <c r="AZ14" s="1195"/>
      <c r="BA14" s="1195"/>
      <c r="BB14" s="1195"/>
      <c r="BC14" s="1195"/>
      <c r="BD14" s="1195"/>
      <c r="BE14" s="1196"/>
    </row>
    <row r="15" spans="1:65" ht="15" thickBot="1" x14ac:dyDescent="0.4">
      <c r="A15" s="1192"/>
      <c r="B15" s="2285" t="s">
        <v>2440</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5"/>
      <c r="Y15" s="1192"/>
      <c r="Z15" s="1192"/>
      <c r="AA15" s="2290" t="s">
        <v>2439</v>
      </c>
      <c r="AB15" s="2290"/>
      <c r="AC15" s="2290"/>
      <c r="AD15" s="2290"/>
      <c r="AE15" s="2290"/>
      <c r="AF15" s="2290"/>
      <c r="AG15" s="2290"/>
      <c r="AH15" s="2290"/>
      <c r="AI15" s="2290"/>
      <c r="AJ15" s="2290"/>
      <c r="AK15" s="2290"/>
      <c r="AL15" s="2290"/>
      <c r="AM15" s="2290"/>
      <c r="AN15" s="2290"/>
      <c r="AO15" s="2291"/>
      <c r="AP15" s="2292"/>
      <c r="AQ15" s="2292"/>
      <c r="AR15" s="2292"/>
      <c r="AS15" s="2292"/>
      <c r="AT15" s="1195"/>
      <c r="AU15" s="1195"/>
      <c r="AV15" s="1195"/>
      <c r="AW15" s="1195"/>
      <c r="AX15" s="1195"/>
      <c r="AY15" s="1195"/>
      <c r="AZ15" s="1195"/>
      <c r="BA15" s="1195"/>
      <c r="BB15" s="1195"/>
      <c r="BC15" s="1195"/>
      <c r="BD15" s="1195"/>
      <c r="BE15" s="1196"/>
    </row>
    <row r="16" spans="1:65" ht="15" thickBot="1" x14ac:dyDescent="0.4">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x14ac:dyDescent="0.35">
      <c r="A17" s="1192"/>
      <c r="B17" s="2095" t="s">
        <v>2438</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2"/>
      <c r="BA17" s="1192"/>
      <c r="BB17" s="1192"/>
      <c r="BC17" s="1192"/>
      <c r="BD17" s="1192"/>
      <c r="BE17" s="1196"/>
      <c r="BF17" s="1190"/>
    </row>
    <row r="18" spans="1:58" ht="15.75" customHeight="1" x14ac:dyDescent="0.35">
      <c r="A18" s="1192"/>
      <c r="B18" s="2293" t="s">
        <v>2437</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2436</v>
      </c>
      <c r="AU18" s="2297"/>
      <c r="AV18" s="2297"/>
      <c r="AW18" s="2297"/>
      <c r="AX18" s="2297"/>
      <c r="AY18" s="2299"/>
      <c r="AZ18" s="1192"/>
      <c r="BA18" s="1192"/>
      <c r="BB18" s="1192"/>
      <c r="BC18" s="1192"/>
      <c r="BD18" s="1192"/>
      <c r="BE18" s="1196"/>
    </row>
    <row r="19" spans="1:58" ht="14.5" x14ac:dyDescent="0.35">
      <c r="A19" s="1192"/>
      <c r="B19" s="2279">
        <v>0.3</v>
      </c>
      <c r="C19" s="2280"/>
      <c r="D19" s="2280"/>
      <c r="E19" s="2280"/>
      <c r="F19" s="2280"/>
      <c r="G19" s="2280"/>
      <c r="H19" s="2280"/>
      <c r="I19" s="2281"/>
      <c r="J19" s="2282">
        <f t="shared" ref="J19:J24" si="0">SUM(P19:AS19)</f>
        <v>50</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50</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0.49504950495049505</v>
      </c>
      <c r="AU19" s="2268"/>
      <c r="AV19" s="2268"/>
      <c r="AW19" s="2268"/>
      <c r="AX19" s="2268"/>
      <c r="AY19" s="2269"/>
      <c r="AZ19" s="1197"/>
      <c r="BA19" s="1192"/>
      <c r="BB19" s="1192"/>
      <c r="BC19" s="1192"/>
      <c r="BD19" s="1192"/>
      <c r="BE19" s="1196"/>
    </row>
    <row r="20" spans="1:58" ht="15" customHeight="1" x14ac:dyDescent="0.35">
      <c r="A20" s="1192"/>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2"/>
      <c r="BA20" s="1192"/>
      <c r="BB20" s="1192"/>
      <c r="BC20" s="1192"/>
      <c r="BD20" s="1192"/>
      <c r="BE20" s="1196"/>
    </row>
    <row r="21" spans="1:58" ht="14.5" x14ac:dyDescent="0.35">
      <c r="A21" s="1192"/>
      <c r="B21" s="2279">
        <v>0.5</v>
      </c>
      <c r="C21" s="2280"/>
      <c r="D21" s="2280"/>
      <c r="E21" s="2280"/>
      <c r="F21" s="2280"/>
      <c r="G21" s="2280"/>
      <c r="H21" s="2280"/>
      <c r="I21" s="2281"/>
      <c r="J21" s="2282">
        <f t="shared" si="0"/>
        <v>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v>
      </c>
      <c r="AU21" s="2268"/>
      <c r="AV21" s="2268"/>
      <c r="AW21" s="2268"/>
      <c r="AX21" s="2268"/>
      <c r="AY21" s="2269"/>
      <c r="AZ21" s="1192"/>
      <c r="BA21" s="1192"/>
      <c r="BB21" s="1192"/>
      <c r="BC21" s="1192"/>
      <c r="BD21" s="1192"/>
      <c r="BE21" s="1196"/>
    </row>
    <row r="22" spans="1:58" ht="14.5" x14ac:dyDescent="0.35">
      <c r="A22" s="1192"/>
      <c r="B22" s="2279">
        <v>0.6</v>
      </c>
      <c r="C22" s="2280"/>
      <c r="D22" s="2280"/>
      <c r="E22" s="2280"/>
      <c r="F22" s="2280"/>
      <c r="G22" s="2280"/>
      <c r="H22" s="2280"/>
      <c r="I22" s="2281"/>
      <c r="J22" s="2282">
        <f t="shared" si="0"/>
        <v>25</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25</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0.24752475247524752</v>
      </c>
      <c r="AU22" s="2268"/>
      <c r="AV22" s="2268"/>
      <c r="AW22" s="2268"/>
      <c r="AX22" s="2268"/>
      <c r="AY22" s="2269"/>
      <c r="AZ22" s="1192"/>
      <c r="BA22" s="1192"/>
      <c r="BB22" s="1192"/>
      <c r="BC22" s="1192"/>
      <c r="BD22" s="1192"/>
      <c r="BE22" s="1196"/>
    </row>
    <row r="23" spans="1:58" ht="14.5" x14ac:dyDescent="0.35">
      <c r="A23" s="1192"/>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2"/>
      <c r="BA23" s="1192"/>
      <c r="BB23" s="1192"/>
      <c r="BC23" s="1192"/>
      <c r="BD23" s="1192"/>
      <c r="BE23" s="1196"/>
    </row>
    <row r="24" spans="1:58" ht="14.5" x14ac:dyDescent="0.35">
      <c r="A24" s="1192"/>
      <c r="B24" s="2279">
        <v>0.8</v>
      </c>
      <c r="C24" s="2280"/>
      <c r="D24" s="2280"/>
      <c r="E24" s="2280"/>
      <c r="F24" s="2280"/>
      <c r="G24" s="2280"/>
      <c r="H24" s="2280"/>
      <c r="I24" s="2281"/>
      <c r="J24" s="2282">
        <f t="shared" si="0"/>
        <v>25</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22</v>
      </c>
      <c r="W24" s="2283"/>
      <c r="X24" s="2283"/>
      <c r="Y24" s="2283"/>
      <c r="Z24" s="2283"/>
      <c r="AA24" s="2284"/>
      <c r="AB24" s="2282" cm="1">
        <f t="array" ref="AB24">SUMPRODUCT((Application!$B$714:$B$738 = 'CalHFA Addendum'!AB$18)*(Application!$AC$714:$AC$738 = 'CalHFA Addendum'!$B24),Application!$G$714:$G$738)</f>
        <v>3</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0.24752475247524752</v>
      </c>
      <c r="AU24" s="2268"/>
      <c r="AV24" s="2268"/>
      <c r="AW24" s="2268"/>
      <c r="AX24" s="2268"/>
      <c r="AY24" s="2269"/>
      <c r="AZ24" s="1192"/>
      <c r="BA24" s="1192"/>
      <c r="BB24" s="1192"/>
      <c r="BC24" s="1192"/>
      <c r="BD24" s="1192"/>
      <c r="BE24" s="1196"/>
    </row>
    <row r="25" spans="1:58" ht="14.5" x14ac:dyDescent="0.35">
      <c r="A25" s="1192"/>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2"/>
      <c r="BA25" s="1192"/>
      <c r="BB25" s="1192"/>
      <c r="BC25" s="1192"/>
      <c r="BD25" s="1192"/>
      <c r="BE25" s="1196"/>
    </row>
    <row r="26" spans="1:58" ht="14.5" x14ac:dyDescent="0.35">
      <c r="A26" s="1192"/>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2"/>
      <c r="BA26" s="1192"/>
      <c r="BB26" s="1192"/>
      <c r="BC26" s="1192"/>
      <c r="BD26" s="1192"/>
      <c r="BE26" s="1196"/>
    </row>
    <row r="27" spans="1:58" ht="14.5" x14ac:dyDescent="0.35">
      <c r="A27" s="1192"/>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2"/>
      <c r="BA27" s="1192"/>
      <c r="BB27" s="1192"/>
      <c r="BC27" s="1192"/>
      <c r="BD27" s="1192"/>
      <c r="BE27" s="1196"/>
    </row>
    <row r="28" spans="1:58" ht="15" thickBot="1" x14ac:dyDescent="0.4">
      <c r="A28" s="1192"/>
      <c r="B28" s="2270" t="s">
        <v>2435</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9.9009900990099011E-3</v>
      </c>
      <c r="AU28" s="2277"/>
      <c r="AV28" s="2277"/>
      <c r="AW28" s="2277"/>
      <c r="AX28" s="2277"/>
      <c r="AY28" s="2278"/>
      <c r="AZ28" s="1192"/>
      <c r="BA28" s="1192"/>
      <c r="BB28" s="1192"/>
      <c r="BC28" s="1192"/>
      <c r="BD28" s="1192"/>
      <c r="BE28" s="1196"/>
    </row>
    <row r="29" spans="1:58" ht="15" thickBot="1" x14ac:dyDescent="0.4">
      <c r="A29" s="1192"/>
      <c r="B29" s="2253" t="s">
        <v>1587</v>
      </c>
      <c r="C29" s="2226"/>
      <c r="D29" s="2226"/>
      <c r="E29" s="2226"/>
      <c r="F29" s="2226"/>
      <c r="G29" s="2226"/>
      <c r="H29" s="2226"/>
      <c r="I29" s="2227"/>
      <c r="J29" s="2225">
        <f>SUM(J19:O28)</f>
        <v>101</v>
      </c>
      <c r="K29" s="2226"/>
      <c r="L29" s="2226"/>
      <c r="M29" s="2226"/>
      <c r="N29" s="2226"/>
      <c r="O29" s="2227"/>
      <c r="P29" s="2225">
        <f>SUM(P19:U28)</f>
        <v>0</v>
      </c>
      <c r="Q29" s="2226"/>
      <c r="R29" s="2226"/>
      <c r="S29" s="2226"/>
      <c r="T29" s="2226"/>
      <c r="U29" s="2227"/>
      <c r="V29" s="2225">
        <f>SUM(V19:AA28)</f>
        <v>97</v>
      </c>
      <c r="W29" s="2226"/>
      <c r="X29" s="2226"/>
      <c r="Y29" s="2226"/>
      <c r="Z29" s="2226"/>
      <c r="AA29" s="2227"/>
      <c r="AB29" s="2225">
        <f>SUM(AB19:AG28)</f>
        <v>4</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2"/>
      <c r="BA29" s="1192"/>
      <c r="BB29" s="1192"/>
      <c r="BC29" s="1192"/>
      <c r="BD29" s="1192"/>
      <c r="BE29" s="1196"/>
    </row>
    <row r="30" spans="1:58" ht="15" thickBot="1" x14ac:dyDescent="0.4">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x14ac:dyDescent="0.4">
      <c r="A31" s="1192"/>
      <c r="B31" s="2231" t="s">
        <v>2434</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6"/>
    </row>
    <row r="32" spans="1:58" ht="15" thickBot="1" x14ac:dyDescent="0.4">
      <c r="A32" s="1192"/>
      <c r="B32" s="2234" t="s">
        <v>2433</v>
      </c>
      <c r="C32" s="2235"/>
      <c r="D32" s="2235"/>
      <c r="E32" s="2235"/>
      <c r="F32" s="2235"/>
      <c r="G32" s="2235"/>
      <c r="H32" s="2235"/>
      <c r="I32" s="2235"/>
      <c r="J32" s="2238" t="s">
        <v>2432</v>
      </c>
      <c r="K32" s="2239"/>
      <c r="L32" s="2239"/>
      <c r="M32" s="2239"/>
      <c r="N32" s="2238" t="s">
        <v>2431</v>
      </c>
      <c r="O32" s="2239"/>
      <c r="P32" s="2239"/>
      <c r="Q32" s="2241"/>
      <c r="R32" s="2243" t="s">
        <v>2430</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6"/>
    </row>
    <row r="33" spans="1:58" ht="15" customHeight="1" x14ac:dyDescent="0.35">
      <c r="A33" s="1192"/>
      <c r="B33" s="2236"/>
      <c r="C33" s="2237"/>
      <c r="D33" s="2237"/>
      <c r="E33" s="2237"/>
      <c r="F33" s="2237"/>
      <c r="G33" s="2237"/>
      <c r="H33" s="2237"/>
      <c r="I33" s="2237"/>
      <c r="J33" s="2240"/>
      <c r="K33" s="2240"/>
      <c r="L33" s="2240"/>
      <c r="M33" s="2240"/>
      <c r="N33" s="2240"/>
      <c r="O33" s="2240"/>
      <c r="P33" s="2240"/>
      <c r="Q33" s="2242"/>
      <c r="R33" s="2246" t="s">
        <v>2429</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6"/>
    </row>
    <row r="34" spans="1:58" ht="15.75" customHeight="1" thickBot="1" x14ac:dyDescent="0.4">
      <c r="A34" s="1192"/>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6"/>
    </row>
    <row r="35" spans="1:58" ht="15.75" customHeight="1" x14ac:dyDescent="0.35">
      <c r="A35" s="1192"/>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2428</v>
      </c>
      <c r="AT35" s="2255"/>
      <c r="AU35" s="2255"/>
      <c r="AV35" s="2255"/>
      <c r="AW35" s="2255"/>
      <c r="AX35" s="2263"/>
      <c r="AY35" s="2254" t="s">
        <v>2427</v>
      </c>
      <c r="AZ35" s="2255"/>
      <c r="BA35" s="2255"/>
      <c r="BB35" s="2255"/>
      <c r="BC35" s="2255"/>
      <c r="BD35" s="2256"/>
      <c r="BE35" s="1196"/>
    </row>
    <row r="36" spans="1:58" ht="15.75" customHeight="1" x14ac:dyDescent="0.35">
      <c r="A36" s="1192"/>
      <c r="B36" s="2158" t="s">
        <v>2426</v>
      </c>
      <c r="C36" s="2159"/>
      <c r="D36" s="2159"/>
      <c r="E36" s="2159"/>
      <c r="F36" s="2159"/>
      <c r="G36" s="2159"/>
      <c r="H36" s="2159"/>
      <c r="I36" s="2159"/>
      <c r="J36" s="2223" t="s">
        <v>2425</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6"/>
    </row>
    <row r="37" spans="1:58" ht="15.75" customHeight="1" x14ac:dyDescent="0.35">
      <c r="A37" s="1192"/>
      <c r="B37" s="2158" t="s">
        <v>2424</v>
      </c>
      <c r="C37" s="2159"/>
      <c r="D37" s="2159"/>
      <c r="E37" s="2159"/>
      <c r="F37" s="2159"/>
      <c r="G37" s="2159"/>
      <c r="H37" s="2159"/>
      <c r="I37" s="2159"/>
      <c r="J37" s="2223" t="s">
        <v>2423</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6"/>
    </row>
    <row r="38" spans="1:58" ht="15.75" customHeight="1" x14ac:dyDescent="0.35">
      <c r="A38" s="1192"/>
      <c r="B38" s="2158" t="s">
        <v>2422</v>
      </c>
      <c r="C38" s="2159"/>
      <c r="D38" s="2159"/>
      <c r="E38" s="2159"/>
      <c r="F38" s="2159"/>
      <c r="G38" s="2159"/>
      <c r="H38" s="2159"/>
      <c r="I38" s="2159"/>
      <c r="J38" s="2223" t="s">
        <v>2421</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6"/>
    </row>
    <row r="39" spans="1:58" ht="15.75" customHeight="1" x14ac:dyDescent="0.35">
      <c r="A39" s="1192"/>
      <c r="B39" s="2158" t="s">
        <v>2420</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6"/>
    </row>
    <row r="40" spans="1:58" ht="15.75" customHeight="1" x14ac:dyDescent="0.35">
      <c r="A40" s="1192"/>
      <c r="B40" s="2158" t="s">
        <v>2420</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6"/>
    </row>
    <row r="41" spans="1:58" ht="15.75" customHeight="1" x14ac:dyDescent="0.35">
      <c r="A41" s="1192"/>
      <c r="B41" s="2158" t="s">
        <v>2419</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6"/>
    </row>
    <row r="42" spans="1:58" ht="15.75" customHeight="1" x14ac:dyDescent="0.35">
      <c r="A42" s="1192"/>
      <c r="B42" s="2158" t="s">
        <v>2419</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6"/>
    </row>
    <row r="43" spans="1:58" ht="15.75" customHeight="1" x14ac:dyDescent="0.35">
      <c r="A43" s="1192"/>
      <c r="B43" s="2163" t="s">
        <v>2418</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6"/>
    </row>
    <row r="44" spans="1:58" ht="15.75" customHeight="1" x14ac:dyDescent="0.35">
      <c r="A44" s="1192"/>
      <c r="B44" s="2163" t="s">
        <v>2417</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6"/>
    </row>
    <row r="45" spans="1:58" ht="15.75" customHeight="1" x14ac:dyDescent="0.35">
      <c r="A45" s="1192"/>
      <c r="B45" s="2163" t="s">
        <v>2416</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6"/>
    </row>
    <row r="46" spans="1:58" ht="15.75" customHeight="1" x14ac:dyDescent="0.35">
      <c r="A46" s="1192"/>
      <c r="B46" s="2163" t="s">
        <v>2340</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6"/>
    </row>
    <row r="47" spans="1:58" ht="15.75" customHeight="1" thickBot="1" x14ac:dyDescent="0.4">
      <c r="A47" s="1192"/>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6"/>
    </row>
    <row r="48" spans="1:58" ht="15.75" customHeight="1" x14ac:dyDescent="0.35">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x14ac:dyDescent="0.4">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x14ac:dyDescent="0.35">
      <c r="A50" s="1192"/>
      <c r="B50" s="2067" t="s">
        <v>2413</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4"/>
      <c r="AQ50" s="1194"/>
      <c r="AR50" s="1194"/>
      <c r="AS50" s="1194"/>
      <c r="AT50" s="1194"/>
      <c r="AU50" s="1194"/>
      <c r="AV50" s="1194"/>
      <c r="AW50" s="1194"/>
      <c r="AX50" s="1192"/>
      <c r="AY50" s="1192"/>
      <c r="AZ50" s="1192"/>
      <c r="BA50" s="1192"/>
      <c r="BB50" s="1192"/>
      <c r="BC50" s="1192"/>
      <c r="BD50" s="1192"/>
      <c r="BE50" s="1196"/>
    </row>
    <row r="51" spans="1:58" ht="33.75" customHeight="1" x14ac:dyDescent="0.35">
      <c r="A51" s="1192"/>
      <c r="B51" s="2133" t="s">
        <v>2406</v>
      </c>
      <c r="C51" s="2098"/>
      <c r="D51" s="2098"/>
      <c r="E51" s="2098"/>
      <c r="F51" s="2098"/>
      <c r="G51" s="2098"/>
      <c r="H51" s="2098"/>
      <c r="I51" s="2098"/>
      <c r="J51" s="2098" t="s">
        <v>2412</v>
      </c>
      <c r="K51" s="2098"/>
      <c r="L51" s="2098"/>
      <c r="M51" s="2098"/>
      <c r="N51" s="2098"/>
      <c r="O51" s="2098"/>
      <c r="P51" s="2098"/>
      <c r="Q51" s="2098"/>
      <c r="R51" s="2202" t="s">
        <v>2411</v>
      </c>
      <c r="S51" s="2202"/>
      <c r="T51" s="2202"/>
      <c r="U51" s="2202"/>
      <c r="V51" s="2202"/>
      <c r="W51" s="2202"/>
      <c r="X51" s="2202"/>
      <c r="Y51" s="2202"/>
      <c r="Z51" s="2202" t="s">
        <v>2410</v>
      </c>
      <c r="AA51" s="2202"/>
      <c r="AB51" s="2202"/>
      <c r="AC51" s="2202"/>
      <c r="AD51" s="2202"/>
      <c r="AE51" s="2202"/>
      <c r="AF51" s="2202"/>
      <c r="AG51" s="2202"/>
      <c r="AH51" s="2202" t="s">
        <v>2409</v>
      </c>
      <c r="AI51" s="2202"/>
      <c r="AJ51" s="2202"/>
      <c r="AK51" s="2202"/>
      <c r="AL51" s="2202"/>
      <c r="AM51" s="2202"/>
      <c r="AN51" s="2202"/>
      <c r="AO51" s="2203"/>
      <c r="AP51" s="1194"/>
      <c r="AQ51" s="1194"/>
      <c r="AR51" s="1194"/>
      <c r="AS51" s="1194"/>
      <c r="AT51" s="1194"/>
      <c r="AU51" s="1194"/>
      <c r="AV51" s="1194"/>
      <c r="AW51" s="1194"/>
      <c r="AX51" s="1197"/>
      <c r="AY51" s="1192"/>
      <c r="AZ51" s="1192"/>
      <c r="BA51" s="1192"/>
      <c r="BB51" s="1192"/>
      <c r="BC51" s="1192"/>
      <c r="BD51" s="1192"/>
      <c r="BE51" s="1196"/>
    </row>
    <row r="52" spans="1:58" ht="15.75" customHeight="1" x14ac:dyDescent="0.35">
      <c r="A52" s="1192"/>
      <c r="B52" s="2163" t="s">
        <v>2408</v>
      </c>
      <c r="C52" s="2164"/>
      <c r="D52" s="2164"/>
      <c r="E52" s="2164"/>
      <c r="F52" s="2164"/>
      <c r="G52" s="2164"/>
      <c r="H52" s="2164"/>
      <c r="I52" s="2164"/>
      <c r="J52" s="1984">
        <v>0</v>
      </c>
      <c r="K52" s="1984"/>
      <c r="L52" s="1984"/>
      <c r="M52" s="1984"/>
      <c r="N52" s="1984"/>
      <c r="O52" s="1984"/>
      <c r="P52" s="1984"/>
      <c r="Q52" s="1984"/>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4"/>
      <c r="AQ52" s="1194"/>
      <c r="AR52" s="1194"/>
      <c r="AS52" s="1194"/>
      <c r="AT52" s="1194"/>
      <c r="AU52" s="1194"/>
      <c r="AV52" s="1194"/>
      <c r="AW52" s="1194"/>
      <c r="AX52" s="1197"/>
      <c r="AY52" s="1192"/>
      <c r="AZ52" s="1192"/>
      <c r="BA52" s="1192"/>
      <c r="BB52" s="1192"/>
      <c r="BC52" s="1192"/>
      <c r="BD52" s="1192"/>
      <c r="BE52" s="1196"/>
    </row>
    <row r="53" spans="1:58" ht="15.75" customHeight="1" x14ac:dyDescent="0.35">
      <c r="A53" s="1192"/>
      <c r="B53" s="2163" t="s">
        <v>2407</v>
      </c>
      <c r="C53" s="2164"/>
      <c r="D53" s="2164"/>
      <c r="E53" s="2164"/>
      <c r="F53" s="2164"/>
      <c r="G53" s="2164"/>
      <c r="H53" s="2164"/>
      <c r="I53" s="2164"/>
      <c r="J53" s="1984">
        <v>0</v>
      </c>
      <c r="K53" s="1984"/>
      <c r="L53" s="1984"/>
      <c r="M53" s="1984"/>
      <c r="N53" s="1984"/>
      <c r="O53" s="1984"/>
      <c r="P53" s="1984"/>
      <c r="Q53" s="1984"/>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4"/>
      <c r="AQ53" s="1194"/>
      <c r="AR53" s="1194"/>
      <c r="AS53" s="1194"/>
      <c r="AT53" s="1194"/>
      <c r="AU53" s="1194"/>
      <c r="AV53" s="1194"/>
      <c r="AW53" s="1194"/>
      <c r="AX53" s="1192"/>
      <c r="AY53" s="1192"/>
      <c r="AZ53" s="1192"/>
      <c r="BA53" s="1192"/>
      <c r="BB53" s="1192"/>
      <c r="BC53" s="1192"/>
      <c r="BD53" s="1192"/>
      <c r="BE53" s="1196"/>
    </row>
    <row r="54" spans="1:58" ht="15.75" customHeight="1" x14ac:dyDescent="0.35">
      <c r="A54" s="1192"/>
      <c r="B54" s="2163"/>
      <c r="C54" s="2164"/>
      <c r="D54" s="2164"/>
      <c r="E54" s="2164"/>
      <c r="F54" s="2164"/>
      <c r="G54" s="2164"/>
      <c r="H54" s="2164"/>
      <c r="I54" s="2164"/>
      <c r="J54" s="1984"/>
      <c r="K54" s="1984"/>
      <c r="L54" s="1984"/>
      <c r="M54" s="1984"/>
      <c r="N54" s="1984"/>
      <c r="O54" s="1984"/>
      <c r="P54" s="1984"/>
      <c r="Q54" s="1984"/>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4"/>
      <c r="AQ54" s="1194"/>
      <c r="AR54" s="1194"/>
      <c r="AS54" s="1194"/>
      <c r="AT54" s="1194"/>
      <c r="AU54" s="1194"/>
      <c r="AV54" s="1194"/>
      <c r="AW54" s="1194"/>
      <c r="AX54" s="1192"/>
      <c r="AY54" s="1192"/>
      <c r="AZ54" s="1192"/>
      <c r="BA54" s="1192"/>
      <c r="BB54" s="1192"/>
      <c r="BC54" s="1192"/>
      <c r="BD54" s="1192"/>
      <c r="BE54" s="1196"/>
    </row>
    <row r="55" spans="1:58" ht="15.75" customHeight="1" x14ac:dyDescent="0.35">
      <c r="A55" s="1192"/>
      <c r="B55" s="2163"/>
      <c r="C55" s="2164"/>
      <c r="D55" s="2164"/>
      <c r="E55" s="2164"/>
      <c r="F55" s="2164"/>
      <c r="G55" s="2164"/>
      <c r="H55" s="2164"/>
      <c r="I55" s="2164"/>
      <c r="J55" s="1984"/>
      <c r="K55" s="1984"/>
      <c r="L55" s="1984"/>
      <c r="M55" s="1984"/>
      <c r="N55" s="1984"/>
      <c r="O55" s="1984"/>
      <c r="P55" s="1984"/>
      <c r="Q55" s="1984"/>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4"/>
      <c r="AQ55" s="1194"/>
      <c r="AR55" s="1194"/>
      <c r="AS55" s="1194"/>
      <c r="AT55" s="1194" t="s">
        <v>250</v>
      </c>
      <c r="AU55" s="1194"/>
      <c r="AV55" s="1194"/>
      <c r="AW55" s="1194"/>
      <c r="AX55" s="1192"/>
      <c r="AY55" s="1192"/>
      <c r="AZ55" s="1192"/>
      <c r="BA55" s="1192"/>
      <c r="BB55" s="1192"/>
      <c r="BC55" s="1192"/>
      <c r="BD55" s="1192"/>
      <c r="BE55" s="1196"/>
    </row>
    <row r="56" spans="1:58" ht="15.75" customHeight="1" x14ac:dyDescent="0.35">
      <c r="A56" s="1192"/>
      <c r="B56" s="2163"/>
      <c r="C56" s="2164"/>
      <c r="D56" s="2164"/>
      <c r="E56" s="2164"/>
      <c r="F56" s="2164"/>
      <c r="G56" s="2164"/>
      <c r="H56" s="2164"/>
      <c r="I56" s="2164"/>
      <c r="J56" s="1984"/>
      <c r="K56" s="1984"/>
      <c r="L56" s="1984"/>
      <c r="M56" s="1984"/>
      <c r="N56" s="1984"/>
      <c r="O56" s="1984"/>
      <c r="P56" s="1984"/>
      <c r="Q56" s="1984"/>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x14ac:dyDescent="0.4">
      <c r="A57" s="1194"/>
      <c r="B57" s="2128" t="s">
        <v>1587</v>
      </c>
      <c r="C57" s="2129"/>
      <c r="D57" s="2129"/>
      <c r="E57" s="2129"/>
      <c r="F57" s="2129"/>
      <c r="G57" s="2129"/>
      <c r="H57" s="2129"/>
      <c r="I57" s="2129"/>
      <c r="J57" s="2129"/>
      <c r="K57" s="2129"/>
      <c r="L57" s="2129"/>
      <c r="M57" s="2129"/>
      <c r="N57" s="2129"/>
      <c r="O57" s="2129"/>
      <c r="P57" s="2129"/>
      <c r="Q57" s="2129"/>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4"/>
      <c r="AQ57" s="1194"/>
      <c r="AR57" s="1194"/>
      <c r="AS57" s="1194"/>
      <c r="AT57" s="1194"/>
      <c r="AU57" s="1194"/>
      <c r="AV57" s="1194"/>
      <c r="AW57" s="1194"/>
      <c r="AX57" s="1194"/>
      <c r="AY57" s="1194"/>
      <c r="AZ57" s="1194"/>
      <c r="BA57" s="1194"/>
      <c r="BB57" s="1194"/>
      <c r="BC57" s="1194"/>
      <c r="BD57" s="1194"/>
      <c r="BE57" s="1199"/>
    </row>
    <row r="58" spans="1:58" ht="15.75" customHeight="1" thickBot="1" x14ac:dyDescent="0.4">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x14ac:dyDescent="0.35">
      <c r="A59" s="1192"/>
      <c r="B59" s="2191" t="s">
        <v>2406</v>
      </c>
      <c r="C59" s="2192"/>
      <c r="D59" s="2192"/>
      <c r="E59" s="2192"/>
      <c r="F59" s="2192"/>
      <c r="G59" s="2192"/>
      <c r="H59" s="2192"/>
      <c r="I59" s="2193"/>
      <c r="J59" s="2096" t="s">
        <v>2405</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2"/>
      <c r="AY59" s="1192"/>
      <c r="AZ59" s="1192"/>
      <c r="BA59" s="1192"/>
      <c r="BB59" s="1192"/>
      <c r="BC59" s="1192"/>
      <c r="BD59" s="1192"/>
      <c r="BE59" s="1196"/>
    </row>
    <row r="60" spans="1:58" ht="15.75" customHeight="1" x14ac:dyDescent="0.35">
      <c r="A60" s="1192"/>
      <c r="B60" s="2183" t="str">
        <f>IF(B52="", "", B52)</f>
        <v>Services Company 1</v>
      </c>
      <c r="C60" s="2184"/>
      <c r="D60" s="2184"/>
      <c r="E60" s="2184"/>
      <c r="F60" s="2184"/>
      <c r="G60" s="2184"/>
      <c r="H60" s="2184"/>
      <c r="I60" s="2185"/>
      <c r="J60" s="2186"/>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2"/>
      <c r="AY60" s="1192"/>
      <c r="AZ60" s="1192"/>
      <c r="BA60" s="1192"/>
      <c r="BB60" s="1192"/>
      <c r="BC60" s="1192"/>
      <c r="BD60" s="1192"/>
      <c r="BE60" s="1196"/>
    </row>
    <row r="61" spans="1:58" ht="15.75" customHeight="1" x14ac:dyDescent="0.35">
      <c r="A61" s="1192"/>
      <c r="B61" s="2183" t="str">
        <f>IF(B53="", "", B53)</f>
        <v>Services Company 2</v>
      </c>
      <c r="C61" s="2184"/>
      <c r="D61" s="2184"/>
      <c r="E61" s="2184"/>
      <c r="F61" s="2184"/>
      <c r="G61" s="2184"/>
      <c r="H61" s="2184"/>
      <c r="I61" s="2185"/>
      <c r="J61" s="2186"/>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2"/>
      <c r="AY61" s="1192"/>
      <c r="AZ61" s="1192"/>
      <c r="BA61" s="1192"/>
      <c r="BB61" s="1192"/>
      <c r="BC61" s="1192"/>
      <c r="BD61" s="1192"/>
      <c r="BE61" s="1196"/>
    </row>
    <row r="62" spans="1:58" ht="15.75" customHeight="1" x14ac:dyDescent="0.35">
      <c r="A62" s="1192"/>
      <c r="B62" s="2183" t="str">
        <f>IF(B54="", "", B54)</f>
        <v/>
      </c>
      <c r="C62" s="2184"/>
      <c r="D62" s="2184"/>
      <c r="E62" s="2184"/>
      <c r="F62" s="2184"/>
      <c r="G62" s="2184"/>
      <c r="H62" s="2184"/>
      <c r="I62" s="2185"/>
      <c r="J62" s="2186"/>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2"/>
      <c r="AY62" s="1192"/>
      <c r="AZ62" s="1192"/>
      <c r="BA62" s="1192"/>
      <c r="BB62" s="1192"/>
      <c r="BC62" s="1192"/>
      <c r="BD62" s="1192"/>
      <c r="BE62" s="1196"/>
    </row>
    <row r="63" spans="1:58" ht="15.75" customHeight="1" x14ac:dyDescent="0.35">
      <c r="A63" s="1192"/>
      <c r="B63" s="2183" t="str">
        <f>IF(B55="", "", B55)</f>
        <v/>
      </c>
      <c r="C63" s="2184"/>
      <c r="D63" s="2184"/>
      <c r="E63" s="2184"/>
      <c r="F63" s="2184"/>
      <c r="G63" s="2184"/>
      <c r="H63" s="2184"/>
      <c r="I63" s="2185"/>
      <c r="J63" s="2186"/>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2"/>
      <c r="AY63" s="1192"/>
      <c r="AZ63" s="1192"/>
      <c r="BA63" s="1192"/>
      <c r="BB63" s="1192"/>
      <c r="BC63" s="1192"/>
      <c r="BD63" s="1192"/>
      <c r="BE63" s="1196"/>
    </row>
    <row r="64" spans="1:58" ht="15.75" customHeight="1" thickBot="1" x14ac:dyDescent="0.4">
      <c r="A64" s="1192"/>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2"/>
      <c r="AY64" s="1192"/>
      <c r="AZ64" s="1192"/>
      <c r="BA64" s="1192"/>
      <c r="BB64" s="1192"/>
      <c r="BC64" s="1192"/>
      <c r="BD64" s="1192"/>
      <c r="BE64" s="1196"/>
    </row>
    <row r="65" spans="1:94" ht="15.75" customHeight="1" x14ac:dyDescent="0.35">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x14ac:dyDescent="0.35">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x14ac:dyDescent="0.4">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x14ac:dyDescent="0.4">
      <c r="A68" s="1192"/>
      <c r="B68" s="2095" t="s">
        <v>2403</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2"/>
      <c r="AC68" s="2021" t="s">
        <v>2402</v>
      </c>
      <c r="AD68" s="2022"/>
      <c r="AE68" s="2022"/>
      <c r="AF68" s="2022"/>
      <c r="AG68" s="2022"/>
      <c r="AH68" s="2022"/>
      <c r="AI68" s="2022"/>
      <c r="AJ68" s="2022"/>
      <c r="AK68" s="2022"/>
      <c r="AL68" s="2022"/>
      <c r="AM68" s="2022"/>
      <c r="AN68" s="2022"/>
      <c r="AO68" s="2022"/>
      <c r="AP68" s="2022"/>
      <c r="AQ68" s="2022"/>
      <c r="AR68" s="2022"/>
      <c r="AS68" s="2022"/>
      <c r="AT68" s="2022"/>
      <c r="AU68" s="2022"/>
      <c r="AV68" s="2175" t="s">
        <v>670</v>
      </c>
      <c r="AW68" s="2078"/>
      <c r="AX68" s="2078"/>
      <c r="AY68" s="2078"/>
      <c r="AZ68" s="2078"/>
      <c r="BA68" s="2078"/>
      <c r="BB68" s="2078"/>
      <c r="BC68" s="2079"/>
      <c r="BD68" s="1192"/>
      <c r="BE68" s="1196"/>
      <c r="BM68" s="1201" t="s">
        <v>2401</v>
      </c>
    </row>
    <row r="69" spans="1:94" ht="15.75" customHeight="1" thickTop="1" thickBot="1" x14ac:dyDescent="0.4">
      <c r="A69" s="1192"/>
      <c r="B69" s="2176" t="s">
        <v>2400</v>
      </c>
      <c r="C69" s="2177"/>
      <c r="D69" s="2177"/>
      <c r="E69" s="2177"/>
      <c r="F69" s="2177"/>
      <c r="G69" s="2177"/>
      <c r="H69" s="2177"/>
      <c r="I69" s="2177"/>
      <c r="J69" s="2177"/>
      <c r="K69" s="2177"/>
      <c r="L69" s="2177"/>
      <c r="M69" s="2177"/>
      <c r="N69" s="2177"/>
      <c r="O69" s="2178" t="s">
        <v>2399</v>
      </c>
      <c r="P69" s="2179"/>
      <c r="Q69" s="2179"/>
      <c r="R69" s="2179"/>
      <c r="S69" s="2179"/>
      <c r="T69" s="2179"/>
      <c r="U69" s="2179"/>
      <c r="V69" s="2179"/>
      <c r="W69" s="2179"/>
      <c r="X69" s="2179"/>
      <c r="Y69" s="2179"/>
      <c r="Z69" s="2179"/>
      <c r="AA69" s="2180"/>
      <c r="AB69" s="1192"/>
      <c r="AC69" s="2181" t="s">
        <v>2398</v>
      </c>
      <c r="AD69" s="2182"/>
      <c r="AE69" s="2182"/>
      <c r="AF69" s="2182"/>
      <c r="AG69" s="2182"/>
      <c r="AH69" s="2182"/>
      <c r="AI69" s="2182"/>
      <c r="AJ69" s="2182"/>
      <c r="AK69" s="2182"/>
      <c r="AL69" s="2182"/>
      <c r="AM69" s="2182"/>
      <c r="AN69" s="2182"/>
      <c r="AO69" s="2182"/>
      <c r="AP69" s="2182"/>
      <c r="AQ69" s="2182"/>
      <c r="AR69" s="2182"/>
      <c r="AS69" s="2182"/>
      <c r="AT69" s="2182"/>
      <c r="AU69" s="2182"/>
      <c r="AV69" s="2175" t="s">
        <v>670</v>
      </c>
      <c r="AW69" s="2078"/>
      <c r="AX69" s="2078"/>
      <c r="AY69" s="2078"/>
      <c r="AZ69" s="2078"/>
      <c r="BA69" s="2078"/>
      <c r="BB69" s="2078"/>
      <c r="BC69" s="2079"/>
      <c r="BD69" s="1192"/>
      <c r="BE69" s="1196"/>
      <c r="BM69" s="1202" t="s">
        <v>546</v>
      </c>
    </row>
    <row r="70" spans="1:94" ht="15.75" customHeight="1" x14ac:dyDescent="0.35">
      <c r="A70" s="1192"/>
      <c r="B70" s="2158" t="s">
        <v>2397</v>
      </c>
      <c r="C70" s="2159"/>
      <c r="D70" s="2159"/>
      <c r="E70" s="2159"/>
      <c r="F70" s="2159"/>
      <c r="G70" s="2159"/>
      <c r="H70" s="2159"/>
      <c r="I70" s="2159"/>
      <c r="J70" s="2159"/>
      <c r="K70" s="2159"/>
      <c r="L70" s="2159"/>
      <c r="M70" s="2159"/>
      <c r="N70" s="2159"/>
      <c r="O70" s="2029">
        <v>0</v>
      </c>
      <c r="P70" s="2029"/>
      <c r="Q70" s="2029"/>
      <c r="R70" s="2029"/>
      <c r="S70" s="2029"/>
      <c r="T70" s="2029"/>
      <c r="U70" s="2029"/>
      <c r="V70" s="2029"/>
      <c r="W70" s="2029"/>
      <c r="X70" s="2029"/>
      <c r="Y70" s="2029"/>
      <c r="Z70" s="2029"/>
      <c r="AA70" s="2160"/>
      <c r="AB70" s="1192"/>
      <c r="AC70" s="2067" t="s">
        <v>2396</v>
      </c>
      <c r="AD70" s="2023"/>
      <c r="AE70" s="2023"/>
      <c r="AF70" s="2169"/>
      <c r="AG70" s="2169"/>
      <c r="AH70" s="2169"/>
      <c r="AI70" s="2169"/>
      <c r="AJ70" s="2169"/>
      <c r="AK70" s="2169"/>
      <c r="AL70" s="2169"/>
      <c r="AM70" s="2169"/>
      <c r="AN70" s="2169"/>
      <c r="AO70" s="2169"/>
      <c r="AP70" s="2169"/>
      <c r="AQ70" s="2169"/>
      <c r="AR70" s="2169"/>
      <c r="AS70" s="2169"/>
      <c r="AT70" s="2169"/>
      <c r="AU70" s="2170"/>
      <c r="AV70" s="1192"/>
      <c r="AW70" s="1192"/>
      <c r="AX70" s="1192"/>
      <c r="AY70" s="1192"/>
      <c r="AZ70" s="1192"/>
      <c r="BA70" s="1192"/>
      <c r="BB70" s="1192"/>
      <c r="BC70" s="1192"/>
      <c r="BD70" s="1192"/>
      <c r="BE70" s="1196"/>
      <c r="BM70" s="1203" t="s">
        <v>670</v>
      </c>
    </row>
    <row r="71" spans="1:94" ht="15.75" customHeight="1" thickBot="1" x14ac:dyDescent="0.4">
      <c r="A71" s="1192"/>
      <c r="B71" s="2158" t="s">
        <v>2395</v>
      </c>
      <c r="C71" s="2159"/>
      <c r="D71" s="2159"/>
      <c r="E71" s="2159"/>
      <c r="F71" s="2159"/>
      <c r="G71" s="2159"/>
      <c r="H71" s="2159"/>
      <c r="I71" s="2159"/>
      <c r="J71" s="2159"/>
      <c r="K71" s="2159"/>
      <c r="L71" s="2159"/>
      <c r="M71" s="2159"/>
      <c r="N71" s="2159"/>
      <c r="O71" s="2029">
        <v>0</v>
      </c>
      <c r="P71" s="2029"/>
      <c r="Q71" s="2029"/>
      <c r="R71" s="2029"/>
      <c r="S71" s="2029"/>
      <c r="T71" s="2029"/>
      <c r="U71" s="2029"/>
      <c r="V71" s="2029"/>
      <c r="W71" s="2029"/>
      <c r="X71" s="2029"/>
      <c r="Y71" s="2029"/>
      <c r="Z71" s="2029"/>
      <c r="AA71" s="2160"/>
      <c r="AB71" s="1192"/>
      <c r="AC71" s="2171" t="s">
        <v>2394</v>
      </c>
      <c r="AD71" s="2172"/>
      <c r="AE71" s="2172"/>
      <c r="AF71" s="2173"/>
      <c r="AG71" s="2173"/>
      <c r="AH71" s="2173"/>
      <c r="AI71" s="2173"/>
      <c r="AJ71" s="2173"/>
      <c r="AK71" s="2173"/>
      <c r="AL71" s="2173"/>
      <c r="AM71" s="2173"/>
      <c r="AN71" s="2173"/>
      <c r="AO71" s="2173"/>
      <c r="AP71" s="2173"/>
      <c r="AQ71" s="2173"/>
      <c r="AR71" s="2173"/>
      <c r="AS71" s="2173"/>
      <c r="AT71" s="2173"/>
      <c r="AU71" s="2174"/>
      <c r="AV71" s="1192"/>
      <c r="AW71" s="1192"/>
      <c r="AX71" s="1192"/>
      <c r="AY71" s="1192"/>
      <c r="AZ71" s="1192"/>
      <c r="BA71" s="1192"/>
      <c r="BB71" s="1192"/>
      <c r="BC71" s="1192"/>
      <c r="BD71" s="1192"/>
      <c r="BE71" s="1196"/>
      <c r="BM71" s="1189" t="s">
        <v>2393</v>
      </c>
    </row>
    <row r="72" spans="1:94" ht="15.75" customHeight="1" x14ac:dyDescent="0.35">
      <c r="A72" s="1192"/>
      <c r="B72" s="2158" t="s">
        <v>2392</v>
      </c>
      <c r="C72" s="2159"/>
      <c r="D72" s="2159"/>
      <c r="E72" s="2159"/>
      <c r="F72" s="2159"/>
      <c r="G72" s="2159"/>
      <c r="H72" s="2159"/>
      <c r="I72" s="2159"/>
      <c r="J72" s="2159"/>
      <c r="K72" s="2159"/>
      <c r="L72" s="2159"/>
      <c r="M72" s="2159"/>
      <c r="N72" s="2159"/>
      <c r="O72" s="2029">
        <v>0</v>
      </c>
      <c r="P72" s="2029"/>
      <c r="Q72" s="2029"/>
      <c r="R72" s="2029"/>
      <c r="S72" s="2029"/>
      <c r="T72" s="2029"/>
      <c r="U72" s="2029"/>
      <c r="V72" s="2029"/>
      <c r="W72" s="2029"/>
      <c r="X72" s="2029"/>
      <c r="Y72" s="2029"/>
      <c r="Z72" s="2029"/>
      <c r="AA72" s="2160"/>
      <c r="AB72" s="1192"/>
      <c r="AC72" s="2161" t="s">
        <v>2391</v>
      </c>
      <c r="AD72" s="2162"/>
      <c r="AE72" s="2162"/>
      <c r="AF72" s="2162"/>
      <c r="AG72" s="2162"/>
      <c r="AH72" s="2162"/>
      <c r="AI72" s="2162"/>
      <c r="AJ72" s="2162"/>
      <c r="AK72" s="2162"/>
      <c r="AL72" s="2162"/>
      <c r="AM72" s="2162"/>
      <c r="AN72" s="2162"/>
      <c r="AO72" s="2162"/>
      <c r="AP72" s="2162"/>
      <c r="AQ72" s="2162"/>
      <c r="AR72" s="2162"/>
      <c r="AS72" s="2162"/>
      <c r="AT72" s="2162"/>
      <c r="AU72" s="2162"/>
      <c r="AV72" s="2023"/>
      <c r="AW72" s="2023"/>
      <c r="AX72" s="2023"/>
      <c r="AY72" s="2023"/>
      <c r="AZ72" s="2023"/>
      <c r="BA72" s="2023"/>
      <c r="BB72" s="2023"/>
      <c r="BC72" s="2024"/>
      <c r="BD72" s="1192"/>
      <c r="BE72" s="1196"/>
    </row>
    <row r="73" spans="1:94" ht="15.75" customHeight="1" x14ac:dyDescent="0.35">
      <c r="A73" s="1192"/>
      <c r="B73" s="2163" t="s">
        <v>2390</v>
      </c>
      <c r="C73" s="2164"/>
      <c r="D73" s="2164"/>
      <c r="E73" s="2164"/>
      <c r="F73" s="2164"/>
      <c r="G73" s="2164"/>
      <c r="H73" s="2164"/>
      <c r="I73" s="2164"/>
      <c r="J73" s="2164"/>
      <c r="K73" s="2164"/>
      <c r="L73" s="2164"/>
      <c r="M73" s="2164"/>
      <c r="N73" s="2164"/>
      <c r="O73" s="2029">
        <v>0</v>
      </c>
      <c r="P73" s="2029"/>
      <c r="Q73" s="2029"/>
      <c r="R73" s="2029"/>
      <c r="S73" s="2029"/>
      <c r="T73" s="2029"/>
      <c r="U73" s="2029"/>
      <c r="V73" s="2029"/>
      <c r="W73" s="2029"/>
      <c r="X73" s="2029"/>
      <c r="Y73" s="2029"/>
      <c r="Z73" s="2029"/>
      <c r="AA73" s="2160"/>
      <c r="AB73" s="1192"/>
      <c r="AC73" s="2038" t="s">
        <v>2335</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2"/>
      <c r="BE73" s="1196"/>
      <c r="CK73" s="1190"/>
      <c r="CL73" s="1190"/>
      <c r="CM73" s="1190"/>
      <c r="CN73" s="1190"/>
      <c r="CO73" s="1190"/>
      <c r="CP73" s="1190"/>
    </row>
    <row r="74" spans="1:94" ht="15.75" customHeight="1" x14ac:dyDescent="0.35">
      <c r="A74" s="1192"/>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60"/>
      <c r="AB74" s="1192"/>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2"/>
      <c r="BE74" s="1196"/>
      <c r="CK74" s="1190"/>
      <c r="CL74" s="1190"/>
      <c r="CM74" s="1190"/>
      <c r="CN74" s="1190"/>
      <c r="CO74" s="1190"/>
      <c r="CP74" s="1190"/>
    </row>
    <row r="75" spans="1:94" ht="15.75" customHeight="1" thickBot="1" x14ac:dyDescent="0.4">
      <c r="A75" s="1192"/>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2"/>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2"/>
      <c r="BE75" s="1196"/>
      <c r="CK75" s="1190"/>
      <c r="CL75" s="1190"/>
      <c r="CM75" s="1190"/>
      <c r="CN75" s="1190"/>
      <c r="CO75" s="1190"/>
      <c r="CP75" s="1190"/>
    </row>
    <row r="76" spans="1:94" ht="15.75" customHeight="1" x14ac:dyDescent="0.35">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2"/>
      <c r="BE76" s="1196"/>
      <c r="CK76" s="1190"/>
      <c r="CL76" s="1190"/>
      <c r="CM76" s="1190"/>
      <c r="CN76" s="1190"/>
      <c r="CO76" s="1190"/>
      <c r="CP76" s="1190"/>
    </row>
    <row r="77" spans="1:94" ht="15.75" customHeight="1" thickBot="1" x14ac:dyDescent="0.4">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2"/>
      <c r="BE77" s="1196"/>
      <c r="CK77" s="1190"/>
      <c r="CL77" s="1190"/>
      <c r="CM77" s="1190"/>
      <c r="CN77" s="1190"/>
      <c r="CO77" s="1190"/>
      <c r="CP77" s="1190"/>
    </row>
    <row r="78" spans="1:94" ht="15.75" customHeight="1" thickBot="1" x14ac:dyDescent="0.4">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x14ac:dyDescent="0.35">
      <c r="A79" s="1192"/>
      <c r="B79" s="1204" t="s">
        <v>2288</v>
      </c>
      <c r="C79" s="1208"/>
      <c r="D79" s="1208"/>
      <c r="E79" s="1209"/>
      <c r="F79" s="2143"/>
      <c r="G79" s="2144"/>
      <c r="H79" s="2144"/>
      <c r="I79" s="2144"/>
      <c r="J79" s="2144"/>
      <c r="K79" s="2144"/>
      <c r="L79" s="2144"/>
      <c r="M79" s="2144"/>
      <c r="N79" s="2144"/>
      <c r="O79" s="2144"/>
      <c r="P79" s="2144"/>
      <c r="Q79" s="2144"/>
      <c r="R79" s="2144"/>
      <c r="S79" s="2144"/>
      <c r="T79" s="214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x14ac:dyDescent="0.4">
      <c r="A80" s="1192"/>
      <c r="B80" s="2146" t="s">
        <v>2388</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x14ac:dyDescent="0.4">
      <c r="A81" s="1192"/>
      <c r="B81" s="2152" t="s">
        <v>2387</v>
      </c>
      <c r="C81" s="2153"/>
      <c r="D81" s="2153"/>
      <c r="E81" s="2153"/>
      <c r="F81" s="2153"/>
      <c r="G81" s="2153"/>
      <c r="H81" s="2153"/>
      <c r="I81" s="2153"/>
      <c r="J81" s="2153"/>
      <c r="K81" s="2153"/>
      <c r="L81" s="2153"/>
      <c r="M81" s="2153"/>
      <c r="N81" s="2153"/>
      <c r="O81" s="2153"/>
      <c r="P81" s="2153"/>
      <c r="Q81" s="2153"/>
      <c r="R81" s="2134" t="s">
        <v>2191</v>
      </c>
      <c r="S81" s="2135"/>
      <c r="T81" s="213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x14ac:dyDescent="0.4">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x14ac:dyDescent="0.35">
      <c r="A83" s="1192"/>
      <c r="B83" s="2155" t="s">
        <v>2386</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2"/>
      <c r="AJ83" s="2119" t="s">
        <v>2385</v>
      </c>
      <c r="AK83" s="2120"/>
      <c r="AL83" s="2120"/>
      <c r="AM83" s="2120"/>
      <c r="AN83" s="2120"/>
      <c r="AO83" s="2120"/>
      <c r="AP83" s="2120"/>
      <c r="AQ83" s="2120"/>
      <c r="AR83" s="2120"/>
      <c r="AS83" s="2120"/>
      <c r="AT83" s="2120"/>
      <c r="AU83" s="2120"/>
      <c r="AV83" s="2120"/>
      <c r="AW83" s="2120"/>
      <c r="AX83" s="2120"/>
      <c r="AY83" s="2139" t="s">
        <v>546</v>
      </c>
      <c r="AZ83" s="2139"/>
      <c r="BA83" s="2139"/>
      <c r="BB83" s="2140"/>
      <c r="BC83" s="1192"/>
      <c r="BD83" s="1192"/>
      <c r="BE83" s="1196"/>
      <c r="CK83" s="1190"/>
      <c r="CL83" s="1190"/>
      <c r="CM83" s="1190"/>
      <c r="CN83" s="1190"/>
      <c r="CO83" s="1190"/>
      <c r="CP83" s="1190"/>
    </row>
    <row r="84" spans="1:94" ht="15.75" customHeight="1" x14ac:dyDescent="0.35">
      <c r="A84" s="1192"/>
      <c r="B84" s="2133"/>
      <c r="C84" s="2098"/>
      <c r="D84" s="2098"/>
      <c r="E84" s="2098"/>
      <c r="F84" s="2098"/>
      <c r="G84" s="2098"/>
      <c r="H84" s="2098"/>
      <c r="I84" s="2098" t="s">
        <v>2375</v>
      </c>
      <c r="J84" s="2098"/>
      <c r="K84" s="2098"/>
      <c r="L84" s="2098"/>
      <c r="M84" s="2098"/>
      <c r="N84" s="2098"/>
      <c r="O84" s="2098" t="s">
        <v>2351</v>
      </c>
      <c r="P84" s="2098"/>
      <c r="Q84" s="2098"/>
      <c r="R84" s="2098"/>
      <c r="S84" s="2098"/>
      <c r="T84" s="2098"/>
      <c r="U84" s="2098"/>
      <c r="V84" s="2137" t="s">
        <v>2350</v>
      </c>
      <c r="W84" s="2137"/>
      <c r="X84" s="2137"/>
      <c r="Y84" s="2137"/>
      <c r="Z84" s="2137"/>
      <c r="AA84" s="2137"/>
      <c r="AB84" s="2068" t="s">
        <v>2374</v>
      </c>
      <c r="AC84" s="2068"/>
      <c r="AD84" s="2068"/>
      <c r="AE84" s="2068"/>
      <c r="AF84" s="2068"/>
      <c r="AG84" s="2068"/>
      <c r="AH84" s="2138"/>
      <c r="AI84" s="1192"/>
      <c r="AJ84" s="2122"/>
      <c r="AK84" s="2123"/>
      <c r="AL84" s="2123"/>
      <c r="AM84" s="2123"/>
      <c r="AN84" s="2123"/>
      <c r="AO84" s="2123"/>
      <c r="AP84" s="2123"/>
      <c r="AQ84" s="2123"/>
      <c r="AR84" s="2123"/>
      <c r="AS84" s="2123"/>
      <c r="AT84" s="2123"/>
      <c r="AU84" s="2123"/>
      <c r="AV84" s="2123"/>
      <c r="AW84" s="2123"/>
      <c r="AX84" s="2123"/>
      <c r="AY84" s="2141"/>
      <c r="AZ84" s="2141"/>
      <c r="BA84" s="2141"/>
      <c r="BB84" s="2142"/>
      <c r="BC84" s="1192"/>
      <c r="BD84" s="1192"/>
      <c r="BE84" s="1196"/>
      <c r="CK84" s="1190"/>
      <c r="CL84" s="1190"/>
      <c r="CM84" s="1190"/>
      <c r="CN84" s="1190"/>
      <c r="CO84" s="1190"/>
      <c r="CP84" s="1190"/>
    </row>
    <row r="85" spans="1:94" ht="15.75" customHeight="1" x14ac:dyDescent="0.35">
      <c r="A85" s="1192"/>
      <c r="B85" s="2133"/>
      <c r="C85" s="2098"/>
      <c r="D85" s="2098"/>
      <c r="E85" s="2098"/>
      <c r="F85" s="2098"/>
      <c r="G85" s="2098"/>
      <c r="H85" s="2098"/>
      <c r="I85" s="2098"/>
      <c r="J85" s="2098"/>
      <c r="K85" s="2098"/>
      <c r="L85" s="2098"/>
      <c r="M85" s="2098"/>
      <c r="N85" s="2098"/>
      <c r="O85" s="2098"/>
      <c r="P85" s="2098"/>
      <c r="Q85" s="2098"/>
      <c r="R85" s="2098"/>
      <c r="S85" s="2098"/>
      <c r="T85" s="2098"/>
      <c r="U85" s="2098"/>
      <c r="V85" s="2137"/>
      <c r="W85" s="2137"/>
      <c r="X85" s="2137"/>
      <c r="Y85" s="2137"/>
      <c r="Z85" s="2137"/>
      <c r="AA85" s="2137"/>
      <c r="AB85" s="2068"/>
      <c r="AC85" s="2068"/>
      <c r="AD85" s="2068"/>
      <c r="AE85" s="2068"/>
      <c r="AF85" s="2068"/>
      <c r="AG85" s="2068"/>
      <c r="AH85" s="2138"/>
      <c r="AI85" s="1192"/>
      <c r="AJ85" s="2122"/>
      <c r="AK85" s="2123"/>
      <c r="AL85" s="2123"/>
      <c r="AM85" s="2123"/>
      <c r="AN85" s="2123"/>
      <c r="AO85" s="2123"/>
      <c r="AP85" s="2123"/>
      <c r="AQ85" s="2123"/>
      <c r="AR85" s="2123"/>
      <c r="AS85" s="2123"/>
      <c r="AT85" s="2123"/>
      <c r="AU85" s="2123"/>
      <c r="AV85" s="2123"/>
      <c r="AW85" s="2123"/>
      <c r="AX85" s="2123"/>
      <c r="AY85" s="2141"/>
      <c r="AZ85" s="2141"/>
      <c r="BA85" s="2141"/>
      <c r="BB85" s="2142"/>
      <c r="BC85" s="1192"/>
      <c r="BD85" s="1192"/>
      <c r="BE85" s="1196"/>
      <c r="CK85" s="1190"/>
      <c r="CL85" s="1190"/>
      <c r="CM85" s="1190"/>
      <c r="CN85" s="1190"/>
      <c r="CO85" s="1190"/>
      <c r="CP85" s="1190"/>
    </row>
    <row r="86" spans="1:94" ht="15.75" customHeight="1" x14ac:dyDescent="0.35">
      <c r="A86" s="1192"/>
      <c r="B86" s="2133" t="s">
        <v>2373</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2"/>
      <c r="AJ86" s="2122"/>
      <c r="AK86" s="2123"/>
      <c r="AL86" s="2123"/>
      <c r="AM86" s="2123"/>
      <c r="AN86" s="2123"/>
      <c r="AO86" s="2123"/>
      <c r="AP86" s="2123"/>
      <c r="AQ86" s="2123"/>
      <c r="AR86" s="2123"/>
      <c r="AS86" s="2123"/>
      <c r="AT86" s="2123"/>
      <c r="AU86" s="2123"/>
      <c r="AV86" s="2123"/>
      <c r="AW86" s="2123"/>
      <c r="AX86" s="2123"/>
      <c r="AY86" s="2141"/>
      <c r="AZ86" s="2141"/>
      <c r="BA86" s="2141"/>
      <c r="BB86" s="2142"/>
      <c r="BC86" s="1192"/>
      <c r="BD86" s="1192"/>
      <c r="BE86" s="1196"/>
      <c r="CK86" s="1190"/>
      <c r="CL86" s="1190"/>
      <c r="CM86" s="1190"/>
      <c r="CN86" s="1190"/>
      <c r="CO86" s="1190"/>
      <c r="CP86" s="1190"/>
    </row>
    <row r="87" spans="1:94" ht="15.75" customHeight="1" x14ac:dyDescent="0.35">
      <c r="A87" s="1192"/>
      <c r="B87" s="2133" t="s">
        <v>2372</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2"/>
      <c r="AJ87" s="2038" t="s">
        <v>2379</v>
      </c>
      <c r="AK87" s="2039"/>
      <c r="AL87" s="2039"/>
      <c r="AM87" s="2039"/>
      <c r="AN87" s="2039"/>
      <c r="AO87" s="2039"/>
      <c r="AP87" s="2039"/>
      <c r="AQ87" s="2039"/>
      <c r="AR87" s="2039"/>
      <c r="AS87" s="2039"/>
      <c r="AT87" s="2039"/>
      <c r="AU87" s="2039"/>
      <c r="AV87" s="2039"/>
      <c r="AW87" s="2039"/>
      <c r="AX87" s="2039"/>
      <c r="AY87" s="2039"/>
      <c r="AZ87" s="2039"/>
      <c r="BA87" s="2039"/>
      <c r="BB87" s="2040"/>
      <c r="BC87" s="1192"/>
      <c r="BD87" s="1192"/>
      <c r="BE87" s="1196"/>
      <c r="CK87" s="1190"/>
      <c r="CL87" s="1190"/>
      <c r="CM87" s="1190"/>
      <c r="CN87" s="1190"/>
      <c r="CO87" s="1190"/>
      <c r="CP87" s="1190"/>
    </row>
    <row r="88" spans="1:94" ht="15.75" customHeight="1" thickBot="1" x14ac:dyDescent="0.4">
      <c r="A88" s="1192"/>
      <c r="B88" s="2128" t="s">
        <v>2371</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2"/>
      <c r="AJ88" s="2041"/>
      <c r="AK88" s="2042"/>
      <c r="AL88" s="2042"/>
      <c r="AM88" s="2042"/>
      <c r="AN88" s="2042"/>
      <c r="AO88" s="2042"/>
      <c r="AP88" s="2042"/>
      <c r="AQ88" s="2042"/>
      <c r="AR88" s="2042"/>
      <c r="AS88" s="2042"/>
      <c r="AT88" s="2042"/>
      <c r="AU88" s="2042"/>
      <c r="AV88" s="2042"/>
      <c r="AW88" s="2042"/>
      <c r="AX88" s="2042"/>
      <c r="AY88" s="2042"/>
      <c r="AZ88" s="2042"/>
      <c r="BA88" s="2042"/>
      <c r="BB88" s="2043"/>
      <c r="BC88" s="1192"/>
      <c r="BD88" s="1192"/>
      <c r="BE88" s="1196"/>
      <c r="CK88" s="1190"/>
      <c r="CL88" s="1190"/>
      <c r="CM88" s="1190"/>
      <c r="CN88" s="1190"/>
      <c r="CO88" s="1190"/>
      <c r="CP88" s="1190"/>
    </row>
    <row r="89" spans="1:94" ht="15.75" customHeight="1" x14ac:dyDescent="0.35">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x14ac:dyDescent="0.4">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x14ac:dyDescent="0.4">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x14ac:dyDescent="0.35">
      <c r="A92" s="1192"/>
      <c r="B92" s="1215" t="s">
        <v>2288</v>
      </c>
      <c r="C92" s="1215"/>
      <c r="D92" s="1216"/>
      <c r="E92" s="1217"/>
      <c r="F92" s="2143"/>
      <c r="G92" s="2144"/>
      <c r="H92" s="2144"/>
      <c r="I92" s="2144"/>
      <c r="J92" s="2144"/>
      <c r="K92" s="2144"/>
      <c r="L92" s="2144"/>
      <c r="M92" s="2144"/>
      <c r="N92" s="2144"/>
      <c r="O92" s="2144"/>
      <c r="P92" s="2144"/>
      <c r="Q92" s="2144"/>
      <c r="R92" s="2144"/>
      <c r="S92" s="2144"/>
      <c r="T92" s="214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x14ac:dyDescent="0.4">
      <c r="A93" s="1192"/>
      <c r="B93" s="2146" t="s">
        <v>2383</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x14ac:dyDescent="0.4">
      <c r="A94" s="1192"/>
      <c r="B94" s="2152" t="s">
        <v>2382</v>
      </c>
      <c r="C94" s="2153"/>
      <c r="D94" s="2153"/>
      <c r="E94" s="2153"/>
      <c r="F94" s="2153"/>
      <c r="G94" s="2153"/>
      <c r="H94" s="2153"/>
      <c r="I94" s="2153"/>
      <c r="J94" s="2153"/>
      <c r="K94" s="2153"/>
      <c r="L94" s="2153"/>
      <c r="M94" s="2153"/>
      <c r="N94" s="2153"/>
      <c r="O94" s="2153"/>
      <c r="P94" s="2153"/>
      <c r="Q94" s="2154"/>
      <c r="R94" s="2134" t="s">
        <v>2191</v>
      </c>
      <c r="S94" s="2135"/>
      <c r="T94" s="213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x14ac:dyDescent="0.4">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x14ac:dyDescent="0.35">
      <c r="A96" s="1192"/>
      <c r="B96" s="2155" t="s">
        <v>2381</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2"/>
      <c r="AJ96" s="2119" t="s">
        <v>2380</v>
      </c>
      <c r="AK96" s="2120"/>
      <c r="AL96" s="2120"/>
      <c r="AM96" s="2120"/>
      <c r="AN96" s="2120"/>
      <c r="AO96" s="2120"/>
      <c r="AP96" s="2120"/>
      <c r="AQ96" s="2120"/>
      <c r="AR96" s="2120"/>
      <c r="AS96" s="2120"/>
      <c r="AT96" s="2120"/>
      <c r="AU96" s="2120"/>
      <c r="AV96" s="2120"/>
      <c r="AW96" s="2120"/>
      <c r="AX96" s="2120"/>
      <c r="AY96" s="2139" t="s">
        <v>546</v>
      </c>
      <c r="AZ96" s="2139"/>
      <c r="BA96" s="2139"/>
      <c r="BB96" s="2140"/>
      <c r="BC96" s="1192"/>
      <c r="BD96" s="1192"/>
      <c r="BE96" s="1196"/>
      <c r="BQ96" s="1189" t="str">
        <f>Application!M243&amp;IF(TRIM(Application!AA249)&lt;&gt;""," ("&amp;Application!AA249&amp;")","")</f>
        <v>Housing Corporation of America</v>
      </c>
      <c r="BR96" s="1218">
        <f>Application!AH246</f>
        <v>5.1000000000000004E-3</v>
      </c>
      <c r="CM96" s="1190"/>
      <c r="CN96" s="1190"/>
      <c r="CO96" s="1190"/>
      <c r="CP96" s="1190"/>
    </row>
    <row r="97" spans="1:94" ht="15.75" customHeight="1" x14ac:dyDescent="0.35">
      <c r="A97" s="1192"/>
      <c r="B97" s="2133"/>
      <c r="C97" s="2098"/>
      <c r="D97" s="2098"/>
      <c r="E97" s="2098"/>
      <c r="F97" s="2098"/>
      <c r="G97" s="2098"/>
      <c r="H97" s="2098"/>
      <c r="I97" s="2098" t="s">
        <v>2375</v>
      </c>
      <c r="J97" s="2098"/>
      <c r="K97" s="2098"/>
      <c r="L97" s="2098"/>
      <c r="M97" s="2098"/>
      <c r="N97" s="2098"/>
      <c r="O97" s="2098" t="s">
        <v>2351</v>
      </c>
      <c r="P97" s="2098"/>
      <c r="Q97" s="2098"/>
      <c r="R97" s="2098"/>
      <c r="S97" s="2098"/>
      <c r="T97" s="2098"/>
      <c r="U97" s="2098"/>
      <c r="V97" s="2137" t="s">
        <v>2350</v>
      </c>
      <c r="W97" s="2137"/>
      <c r="X97" s="2137"/>
      <c r="Y97" s="2137"/>
      <c r="Z97" s="2137"/>
      <c r="AA97" s="2137"/>
      <c r="AB97" s="2068" t="s">
        <v>2374</v>
      </c>
      <c r="AC97" s="2068"/>
      <c r="AD97" s="2068"/>
      <c r="AE97" s="2068"/>
      <c r="AF97" s="2068"/>
      <c r="AG97" s="2068"/>
      <c r="AH97" s="2138"/>
      <c r="AI97" s="1192"/>
      <c r="AJ97" s="2122"/>
      <c r="AK97" s="2123"/>
      <c r="AL97" s="2123"/>
      <c r="AM97" s="2123"/>
      <c r="AN97" s="2123"/>
      <c r="AO97" s="2123"/>
      <c r="AP97" s="2123"/>
      <c r="AQ97" s="2123"/>
      <c r="AR97" s="2123"/>
      <c r="AS97" s="2123"/>
      <c r="AT97" s="2123"/>
      <c r="AU97" s="2123"/>
      <c r="AV97" s="2123"/>
      <c r="AW97" s="2123"/>
      <c r="AX97" s="2123"/>
      <c r="AY97" s="2141"/>
      <c r="AZ97" s="2141"/>
      <c r="BA97" s="2141"/>
      <c r="BB97" s="2142"/>
      <c r="BC97" s="1192"/>
      <c r="BD97" s="1192"/>
      <c r="BE97" s="1196"/>
      <c r="BQ97" s="1189" t="str">
        <f>Application!M251&amp;IF(TRIM(Application!AA257)&lt;&gt;""," ("&amp;Application!AA257&amp;")","")</f>
        <v>VA Building 408 LLC (TSA Housing Inc.)</v>
      </c>
      <c r="BR97" s="1218">
        <f>Application!AH254</f>
        <v>4.7999999999999996E-3</v>
      </c>
      <c r="CM97" s="1190"/>
      <c r="CN97" s="1190"/>
      <c r="CO97" s="1190"/>
      <c r="CP97" s="1190"/>
    </row>
    <row r="98" spans="1:94" ht="15.75" customHeight="1" x14ac:dyDescent="0.35">
      <c r="A98" s="1192"/>
      <c r="B98" s="2133"/>
      <c r="C98" s="2098"/>
      <c r="D98" s="2098"/>
      <c r="E98" s="2098"/>
      <c r="F98" s="2098"/>
      <c r="G98" s="2098"/>
      <c r="H98" s="2098"/>
      <c r="I98" s="2098"/>
      <c r="J98" s="2098"/>
      <c r="K98" s="2098"/>
      <c r="L98" s="2098"/>
      <c r="M98" s="2098"/>
      <c r="N98" s="2098"/>
      <c r="O98" s="2098"/>
      <c r="P98" s="2098"/>
      <c r="Q98" s="2098"/>
      <c r="R98" s="2098"/>
      <c r="S98" s="2098"/>
      <c r="T98" s="2098"/>
      <c r="U98" s="2098"/>
      <c r="V98" s="2137"/>
      <c r="W98" s="2137"/>
      <c r="X98" s="2137"/>
      <c r="Y98" s="2137"/>
      <c r="Z98" s="2137"/>
      <c r="AA98" s="2137"/>
      <c r="AB98" s="2068"/>
      <c r="AC98" s="2068"/>
      <c r="AD98" s="2068"/>
      <c r="AE98" s="2068"/>
      <c r="AF98" s="2068"/>
      <c r="AG98" s="2068"/>
      <c r="AH98" s="2138"/>
      <c r="AI98" s="1192"/>
      <c r="AJ98" s="2122"/>
      <c r="AK98" s="2123"/>
      <c r="AL98" s="2123"/>
      <c r="AM98" s="2123"/>
      <c r="AN98" s="2123"/>
      <c r="AO98" s="2123"/>
      <c r="AP98" s="2123"/>
      <c r="AQ98" s="2123"/>
      <c r="AR98" s="2123"/>
      <c r="AS98" s="2123"/>
      <c r="AT98" s="2123"/>
      <c r="AU98" s="2123"/>
      <c r="AV98" s="2123"/>
      <c r="AW98" s="2123"/>
      <c r="AX98" s="2123"/>
      <c r="AY98" s="2141"/>
      <c r="AZ98" s="2141"/>
      <c r="BA98" s="2141"/>
      <c r="BB98" s="2142"/>
      <c r="BC98" s="1192"/>
      <c r="BD98" s="1192"/>
      <c r="BE98" s="1196"/>
      <c r="BQ98" s="1189" t="str">
        <f>Application!M259&amp;IF(TRIM(Application!AA265)&lt;&gt;""," ("&amp;Application!AA265&amp;")","")</f>
        <v/>
      </c>
      <c r="BR98" s="1218">
        <f>Application!AH262</f>
        <v>0</v>
      </c>
      <c r="CM98" s="1190"/>
      <c r="CN98" s="1190"/>
      <c r="CO98" s="1190"/>
      <c r="CP98" s="1190"/>
    </row>
    <row r="99" spans="1:94" ht="15.75" customHeight="1" x14ac:dyDescent="0.35">
      <c r="A99" s="1192"/>
      <c r="B99" s="2133" t="s">
        <v>2373</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2"/>
      <c r="AJ99" s="2122"/>
      <c r="AK99" s="2123"/>
      <c r="AL99" s="2123"/>
      <c r="AM99" s="2123"/>
      <c r="AN99" s="2123"/>
      <c r="AO99" s="2123"/>
      <c r="AP99" s="2123"/>
      <c r="AQ99" s="2123"/>
      <c r="AR99" s="2123"/>
      <c r="AS99" s="2123"/>
      <c r="AT99" s="2123"/>
      <c r="AU99" s="2123"/>
      <c r="AV99" s="2123"/>
      <c r="AW99" s="2123"/>
      <c r="AX99" s="2123"/>
      <c r="AY99" s="2141"/>
      <c r="AZ99" s="2141"/>
      <c r="BA99" s="2141"/>
      <c r="BB99" s="2142"/>
      <c r="BC99" s="1192"/>
      <c r="BD99" s="1192"/>
      <c r="BE99" s="1196"/>
      <c r="CM99" s="1190"/>
      <c r="CN99" s="1190"/>
      <c r="CO99" s="1190"/>
      <c r="CP99" s="1190"/>
    </row>
    <row r="100" spans="1:94" ht="15.75" customHeight="1" x14ac:dyDescent="0.35">
      <c r="A100" s="1192"/>
      <c r="B100" s="2133" t="s">
        <v>2372</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2"/>
      <c r="AJ100" s="2038" t="s">
        <v>2379</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2"/>
      <c r="BD100" s="1192"/>
      <c r="BE100" s="1196"/>
      <c r="CM100" s="1190"/>
      <c r="CN100" s="1190"/>
      <c r="CO100" s="1190"/>
      <c r="CP100" s="1190"/>
    </row>
    <row r="101" spans="1:94" ht="15.75" customHeight="1" thickBot="1" x14ac:dyDescent="0.4">
      <c r="A101" s="1192"/>
      <c r="B101" s="2128" t="s">
        <v>2371</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2"/>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2"/>
      <c r="BD101" s="1192"/>
      <c r="BE101" s="1196"/>
      <c r="CM101" s="1190"/>
      <c r="CN101" s="1190"/>
      <c r="CO101" s="1190"/>
      <c r="CP101" s="1190"/>
    </row>
    <row r="102" spans="1:94" ht="15.75" customHeight="1" thickBot="1" x14ac:dyDescent="0.4">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x14ac:dyDescent="0.4">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x14ac:dyDescent="0.35">
      <c r="A104" s="1192"/>
      <c r="B104" s="1215" t="s">
        <v>2288</v>
      </c>
      <c r="C104" s="1215"/>
      <c r="D104" s="1221"/>
      <c r="E104" s="1222"/>
      <c r="F104" s="2092"/>
      <c r="G104" s="2093"/>
      <c r="H104" s="2093"/>
      <c r="I104" s="2093"/>
      <c r="J104" s="2093"/>
      <c r="K104" s="2093"/>
      <c r="L104" s="2093"/>
      <c r="M104" s="2093"/>
      <c r="N104" s="2093"/>
      <c r="O104" s="2093"/>
      <c r="P104" s="2093"/>
      <c r="Q104" s="2093"/>
      <c r="R104" s="209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x14ac:dyDescent="0.4">
      <c r="A105" s="1192"/>
      <c r="B105" s="1223" t="s">
        <v>2377</v>
      </c>
      <c r="C105" s="1224"/>
      <c r="D105" s="1225"/>
      <c r="E105" s="1225"/>
      <c r="F105" s="1225"/>
      <c r="G105" s="1225"/>
      <c r="H105" s="1225"/>
      <c r="I105" s="1225"/>
      <c r="J105" s="1225"/>
      <c r="K105" s="1225"/>
      <c r="L105" s="1226"/>
      <c r="M105" s="1225"/>
      <c r="N105" s="1226"/>
      <c r="O105" s="2134" t="str">
        <f>IFERROR(INDEX(BR96:BR98,MATCH(F104,$BQ$96:$BQ$98,0))/SUM($BR$96:$BR$98),"")</f>
        <v/>
      </c>
      <c r="P105" s="2135"/>
      <c r="Q105" s="2135"/>
      <c r="R105" s="213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x14ac:dyDescent="0.4">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x14ac:dyDescent="0.35">
      <c r="A107" s="1192"/>
      <c r="B107" s="2021" t="s">
        <v>2376</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x14ac:dyDescent="0.35">
      <c r="A108" s="1192"/>
      <c r="B108" s="2133"/>
      <c r="C108" s="2098"/>
      <c r="D108" s="2098"/>
      <c r="E108" s="2098"/>
      <c r="F108" s="2098"/>
      <c r="G108" s="2098"/>
      <c r="H108" s="2098"/>
      <c r="I108" s="2098" t="s">
        <v>2375</v>
      </c>
      <c r="J108" s="2098"/>
      <c r="K108" s="2098"/>
      <c r="L108" s="2098"/>
      <c r="M108" s="2098"/>
      <c r="N108" s="2098"/>
      <c r="O108" s="2098" t="s">
        <v>2351</v>
      </c>
      <c r="P108" s="2098"/>
      <c r="Q108" s="2098"/>
      <c r="R108" s="2098"/>
      <c r="S108" s="2098"/>
      <c r="T108" s="2098"/>
      <c r="U108" s="2098"/>
      <c r="V108" s="2137" t="s">
        <v>2350</v>
      </c>
      <c r="W108" s="2137"/>
      <c r="X108" s="2137"/>
      <c r="Y108" s="2137"/>
      <c r="Z108" s="2137"/>
      <c r="AA108" s="2137"/>
      <c r="AB108" s="2068" t="s">
        <v>2374</v>
      </c>
      <c r="AC108" s="2068"/>
      <c r="AD108" s="2068"/>
      <c r="AE108" s="2068"/>
      <c r="AF108" s="2068"/>
      <c r="AG108" s="2068"/>
      <c r="AH108" s="213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x14ac:dyDescent="0.35">
      <c r="A109" s="1192"/>
      <c r="B109" s="2133"/>
      <c r="C109" s="2098"/>
      <c r="D109" s="2098"/>
      <c r="E109" s="2098"/>
      <c r="F109" s="2098"/>
      <c r="G109" s="2098"/>
      <c r="H109" s="2098"/>
      <c r="I109" s="2098"/>
      <c r="J109" s="2098"/>
      <c r="K109" s="2098"/>
      <c r="L109" s="2098"/>
      <c r="M109" s="2098"/>
      <c r="N109" s="2098"/>
      <c r="O109" s="2098"/>
      <c r="P109" s="2098"/>
      <c r="Q109" s="2098"/>
      <c r="R109" s="2098"/>
      <c r="S109" s="2098"/>
      <c r="T109" s="2098"/>
      <c r="U109" s="2098"/>
      <c r="V109" s="2137"/>
      <c r="W109" s="2137"/>
      <c r="X109" s="2137"/>
      <c r="Y109" s="2137"/>
      <c r="Z109" s="2137"/>
      <c r="AA109" s="2137"/>
      <c r="AB109" s="2068"/>
      <c r="AC109" s="2068"/>
      <c r="AD109" s="2068"/>
      <c r="AE109" s="2068"/>
      <c r="AF109" s="2068"/>
      <c r="AG109" s="2068"/>
      <c r="AH109" s="213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x14ac:dyDescent="0.35">
      <c r="A110" s="1192"/>
      <c r="B110" s="2133" t="s">
        <v>2373</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x14ac:dyDescent="0.35">
      <c r="A111" s="1192"/>
      <c r="B111" s="2133" t="s">
        <v>2372</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x14ac:dyDescent="0.4">
      <c r="A112" s="1192"/>
      <c r="B112" s="2128" t="s">
        <v>2371</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x14ac:dyDescent="0.4">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x14ac:dyDescent="0.4">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x14ac:dyDescent="0.35">
      <c r="A115" s="1192"/>
      <c r="B115" s="1215" t="s">
        <v>2288</v>
      </c>
      <c r="C115" s="1215"/>
      <c r="D115" s="1221"/>
      <c r="E115" s="1222"/>
      <c r="F115" s="2130"/>
      <c r="G115" s="2131"/>
      <c r="H115" s="2131"/>
      <c r="I115" s="2131"/>
      <c r="J115" s="2131"/>
      <c r="K115" s="2131"/>
      <c r="L115" s="2131"/>
      <c r="M115" s="2131"/>
      <c r="N115" s="2131"/>
      <c r="O115" s="2131"/>
      <c r="P115" s="2131"/>
      <c r="Q115" s="2131"/>
      <c r="R115" s="213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x14ac:dyDescent="0.4">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x14ac:dyDescent="0.35">
      <c r="A117" s="1192"/>
      <c r="B117" s="2103" t="s">
        <v>2369</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x14ac:dyDescent="0.35">
      <c r="A118" s="1192"/>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x14ac:dyDescent="0.35">
      <c r="A119" s="1192"/>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x14ac:dyDescent="0.35">
      <c r="A120" s="1192"/>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x14ac:dyDescent="0.35">
      <c r="A121" s="1192"/>
      <c r="B121" s="2111" t="s">
        <v>2369</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x14ac:dyDescent="0.4">
      <c r="A122" s="1192"/>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x14ac:dyDescent="0.4">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x14ac:dyDescent="0.4">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x14ac:dyDescent="0.4">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9" t="s">
        <v>2367</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6"/>
    </row>
    <row r="126" spans="1:57" ht="15.75" customHeight="1" x14ac:dyDescent="0.35">
      <c r="A126" s="1192"/>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2"/>
      <c r="W126" s="1192"/>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6"/>
    </row>
    <row r="127" spans="1:57" ht="15.75" customHeight="1" x14ac:dyDescent="0.35">
      <c r="A127" s="1192"/>
      <c r="B127" s="2035"/>
      <c r="C127" s="2036"/>
      <c r="D127" s="2036"/>
      <c r="E127" s="2036"/>
      <c r="F127" s="2036"/>
      <c r="G127" s="2036"/>
      <c r="H127" s="2036"/>
      <c r="I127" s="2098" t="s">
        <v>2366</v>
      </c>
      <c r="J127" s="2098"/>
      <c r="K127" s="2098"/>
      <c r="L127" s="2098"/>
      <c r="M127" s="2098"/>
      <c r="N127" s="2098"/>
      <c r="O127" s="2099" t="s">
        <v>2365</v>
      </c>
      <c r="P127" s="2099"/>
      <c r="Q127" s="2099"/>
      <c r="R127" s="2099"/>
      <c r="S127" s="2099"/>
      <c r="T127" s="2099"/>
      <c r="U127" s="2100"/>
      <c r="V127" s="1192"/>
      <c r="W127" s="1192"/>
      <c r="X127" s="2038" t="s">
        <v>2335</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6"/>
    </row>
    <row r="128" spans="1:57" ht="15.75" customHeight="1" x14ac:dyDescent="0.35">
      <c r="A128" s="1192"/>
      <c r="B128" s="2069" t="s">
        <v>2349</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2"/>
      <c r="W128" s="1192"/>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6"/>
    </row>
    <row r="129" spans="1:57" ht="15.75" customHeight="1" thickBot="1" x14ac:dyDescent="0.4">
      <c r="A129" s="1192"/>
      <c r="B129" s="2063" t="s">
        <v>2348</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2"/>
      <c r="W129" s="1192"/>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6"/>
    </row>
    <row r="130" spans="1:57" ht="15.75" customHeight="1" thickBot="1" x14ac:dyDescent="0.4">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6"/>
    </row>
    <row r="131" spans="1:57" ht="15.75" customHeight="1" thickBot="1" x14ac:dyDescent="0.4">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6"/>
    </row>
    <row r="132" spans="1:57" ht="15.75" customHeight="1" thickBot="1" x14ac:dyDescent="0.4">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6"/>
    </row>
    <row r="133" spans="1:57" ht="15.75" customHeight="1" x14ac:dyDescent="0.35">
      <c r="A133" s="1192"/>
      <c r="B133" s="2095" t="s">
        <v>2363</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2"/>
      <c r="W133" s="1192"/>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6"/>
    </row>
    <row r="134" spans="1:57" ht="15.75" customHeight="1" x14ac:dyDescent="0.35">
      <c r="A134" s="1192"/>
      <c r="B134" s="2035"/>
      <c r="C134" s="2036"/>
      <c r="D134" s="2036"/>
      <c r="E134" s="2036"/>
      <c r="F134" s="2036"/>
      <c r="G134" s="2036"/>
      <c r="H134" s="2036"/>
      <c r="I134" s="2073" t="s">
        <v>2351</v>
      </c>
      <c r="J134" s="2073"/>
      <c r="K134" s="2073"/>
      <c r="L134" s="2073"/>
      <c r="M134" s="2073"/>
      <c r="N134" s="2073"/>
      <c r="O134" s="2073"/>
      <c r="P134" s="2073" t="s">
        <v>2350</v>
      </c>
      <c r="Q134" s="2073"/>
      <c r="R134" s="2073"/>
      <c r="S134" s="2073"/>
      <c r="T134" s="2073"/>
      <c r="U134" s="2074"/>
      <c r="V134" s="1192"/>
      <c r="W134" s="1192"/>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6"/>
    </row>
    <row r="135" spans="1:57" ht="15.75" customHeight="1" x14ac:dyDescent="0.35">
      <c r="A135" s="1192"/>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2"/>
      <c r="W135" s="1192"/>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6"/>
    </row>
    <row r="136" spans="1:57" ht="15.75" customHeight="1" x14ac:dyDescent="0.35">
      <c r="A136" s="1192"/>
      <c r="B136" s="2069" t="s">
        <v>2349</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2"/>
      <c r="W136" s="1192"/>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6"/>
    </row>
    <row r="137" spans="1:57" ht="15.75" customHeight="1" thickBot="1" x14ac:dyDescent="0.4">
      <c r="A137" s="1192"/>
      <c r="B137" s="2063" t="s">
        <v>2348</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2"/>
      <c r="W137" s="1192"/>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6"/>
    </row>
    <row r="138" spans="1:57" ht="15.75" customHeight="1" thickBot="1" x14ac:dyDescent="0.4">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x14ac:dyDescent="0.35">
      <c r="A139" s="1192"/>
      <c r="B139" s="2090" t="s">
        <v>2362</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2"/>
      <c r="AZ139" s="1192"/>
      <c r="BA139" s="1192"/>
      <c r="BB139" s="1192"/>
      <c r="BC139" s="1192"/>
      <c r="BD139" s="1192"/>
      <c r="BE139" s="1196"/>
    </row>
    <row r="140" spans="1:57" ht="15.75" customHeight="1" thickBot="1" x14ac:dyDescent="0.4">
      <c r="A140" s="1192"/>
      <c r="B140" s="2075" t="s">
        <v>2361</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2"/>
      <c r="AZ140" s="1192"/>
      <c r="BA140" s="1192"/>
      <c r="BB140" s="1192"/>
      <c r="BC140" s="1192"/>
      <c r="BD140" s="1192"/>
      <c r="BE140" s="1196"/>
    </row>
    <row r="141" spans="1:57" ht="15.75" customHeight="1" x14ac:dyDescent="0.35">
      <c r="A141" s="1192"/>
      <c r="B141" s="2075" t="s">
        <v>2360</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2"/>
      <c r="AZ141" s="1192"/>
      <c r="BA141" s="1192"/>
      <c r="BB141" s="1192"/>
      <c r="BC141" s="1192"/>
      <c r="BD141" s="1192"/>
      <c r="BE141" s="1196"/>
    </row>
    <row r="142" spans="1:57" ht="15.75" customHeight="1" x14ac:dyDescent="0.35">
      <c r="A142" s="1192"/>
      <c r="B142" s="2080" t="s">
        <v>2359</v>
      </c>
      <c r="C142" s="2081"/>
      <c r="D142" s="2081"/>
      <c r="E142" s="2081"/>
      <c r="F142" s="2081"/>
      <c r="G142" s="2081"/>
      <c r="H142" s="2081"/>
      <c r="I142" s="2081"/>
      <c r="J142" s="2081"/>
      <c r="K142" s="2081"/>
      <c r="L142" s="2081"/>
      <c r="M142" s="2081"/>
      <c r="N142" s="2081"/>
      <c r="O142" s="2081"/>
      <c r="P142" s="2081"/>
      <c r="Q142" s="2081"/>
      <c r="R142" s="2082" t="s">
        <v>2358</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2"/>
      <c r="AZ142" s="1192"/>
      <c r="BA142" s="1192"/>
      <c r="BB142" s="1192"/>
      <c r="BC142" s="1192" t="s">
        <v>250</v>
      </c>
      <c r="BD142" s="1192"/>
      <c r="BE142" s="1196"/>
    </row>
    <row r="143" spans="1:57" ht="15.75" customHeight="1" x14ac:dyDescent="0.35">
      <c r="A143" s="1192"/>
      <c r="B143" s="2084" t="s">
        <v>2357</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2"/>
      <c r="AZ143" s="1192"/>
      <c r="BA143" s="1192"/>
      <c r="BB143" s="1192"/>
      <c r="BC143" s="1192"/>
      <c r="BD143" s="1192"/>
      <c r="BE143" s="1196"/>
    </row>
    <row r="144" spans="1:57" ht="15.75" customHeight="1" x14ac:dyDescent="0.35">
      <c r="A144" s="1192"/>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2"/>
      <c r="AZ144" s="1192"/>
      <c r="BA144" s="1192"/>
      <c r="BB144" s="1192"/>
      <c r="BC144" s="1192"/>
      <c r="BD144" s="1192"/>
      <c r="BE144" s="1196"/>
    </row>
    <row r="145" spans="1:57" ht="15.75" customHeight="1" x14ac:dyDescent="0.35">
      <c r="A145" s="1192"/>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2"/>
      <c r="AZ145" s="1192"/>
      <c r="BA145" s="1192"/>
      <c r="BB145" s="1192"/>
      <c r="BC145" s="1192"/>
      <c r="BD145" s="1192"/>
      <c r="BE145" s="1196"/>
    </row>
    <row r="146" spans="1:57" ht="15.75" customHeight="1" x14ac:dyDescent="0.35">
      <c r="A146" s="1192"/>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2"/>
      <c r="AZ146" s="1192"/>
      <c r="BA146" s="1192"/>
      <c r="BB146" s="1192"/>
      <c r="BC146" s="1192"/>
      <c r="BD146" s="1192"/>
      <c r="BE146" s="1196"/>
    </row>
    <row r="147" spans="1:57" ht="15.75" customHeight="1" x14ac:dyDescent="0.35">
      <c r="A147" s="1192"/>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2"/>
      <c r="AZ147" s="1192"/>
      <c r="BA147" s="1192"/>
      <c r="BB147" s="1192"/>
      <c r="BC147" s="1192"/>
      <c r="BD147" s="1192"/>
      <c r="BE147" s="1196"/>
    </row>
    <row r="148" spans="1:57" ht="15.75" customHeight="1" x14ac:dyDescent="0.35">
      <c r="A148" s="1192"/>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2"/>
      <c r="AZ148" s="1192"/>
      <c r="BA148" s="1192"/>
      <c r="BB148" s="1192"/>
      <c r="BC148" s="1192"/>
      <c r="BD148" s="1192"/>
      <c r="BE148" s="1196"/>
    </row>
    <row r="149" spans="1:57" ht="15.75" customHeight="1" x14ac:dyDescent="0.35">
      <c r="A149" s="1192"/>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2"/>
      <c r="AZ149" s="1192"/>
      <c r="BA149" s="1192"/>
      <c r="BB149" s="1192"/>
      <c r="BC149" s="1192"/>
      <c r="BD149" s="1192"/>
      <c r="BE149" s="1196"/>
    </row>
    <row r="150" spans="1:57" ht="15.75" customHeight="1" x14ac:dyDescent="0.35">
      <c r="A150" s="1192"/>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2"/>
      <c r="AZ150" s="1192"/>
      <c r="BA150" s="1192"/>
      <c r="BB150" s="1192"/>
      <c r="BC150" s="1192"/>
      <c r="BD150" s="1192"/>
      <c r="BE150" s="1196"/>
    </row>
    <row r="151" spans="1:57" ht="15.75" customHeight="1" x14ac:dyDescent="0.35">
      <c r="A151" s="1192"/>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2"/>
      <c r="AZ151" s="1192"/>
      <c r="BA151" s="1192"/>
      <c r="BB151" s="1192"/>
      <c r="BC151" s="1192"/>
      <c r="BD151" s="1192"/>
      <c r="BE151" s="1196"/>
    </row>
    <row r="152" spans="1:57" ht="15.75" customHeight="1" thickBot="1" x14ac:dyDescent="0.4">
      <c r="A152" s="1192"/>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2"/>
      <c r="AZ152" s="1192"/>
      <c r="BA152" s="1192"/>
      <c r="BB152" s="1192"/>
      <c r="BC152" s="1192"/>
      <c r="BD152" s="1192"/>
      <c r="BE152" s="1196"/>
    </row>
    <row r="153" spans="1:57" ht="15.75" customHeight="1" thickBot="1" x14ac:dyDescent="0.4">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x14ac:dyDescent="0.4">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x14ac:dyDescent="0.4">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x14ac:dyDescent="0.35">
      <c r="A156" s="1192"/>
      <c r="B156" s="2067" t="s">
        <v>2354</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2"/>
      <c r="W156" s="1194"/>
      <c r="X156" s="2067" t="s">
        <v>2353</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2"/>
      <c r="AS156" s="1192"/>
      <c r="AT156" s="1192"/>
      <c r="AU156" s="1192"/>
      <c r="AV156" s="1192"/>
      <c r="AW156" s="1192"/>
      <c r="AX156" s="1192"/>
      <c r="AY156" s="1192"/>
      <c r="AZ156" s="1192"/>
      <c r="BA156" s="1192"/>
      <c r="BB156" s="1192"/>
      <c r="BC156" s="1192"/>
      <c r="BD156" s="1192"/>
      <c r="BE156" s="1196"/>
    </row>
    <row r="157" spans="1:57" ht="15.75" customHeight="1" x14ac:dyDescent="0.35">
      <c r="A157" s="1192"/>
      <c r="B157" s="2035"/>
      <c r="C157" s="2036"/>
      <c r="D157" s="2036"/>
      <c r="E157" s="2036"/>
      <c r="F157" s="2036"/>
      <c r="G157" s="2036"/>
      <c r="H157" s="2036"/>
      <c r="I157" s="2073" t="s">
        <v>2351</v>
      </c>
      <c r="J157" s="2073"/>
      <c r="K157" s="2073"/>
      <c r="L157" s="2073"/>
      <c r="M157" s="2073"/>
      <c r="N157" s="2073"/>
      <c r="O157" s="2073"/>
      <c r="P157" s="2073" t="s">
        <v>2352</v>
      </c>
      <c r="Q157" s="2073"/>
      <c r="R157" s="2073"/>
      <c r="S157" s="2073"/>
      <c r="T157" s="2073"/>
      <c r="U157" s="2074"/>
      <c r="V157" s="1192"/>
      <c r="W157" s="1192"/>
      <c r="X157" s="2035"/>
      <c r="Y157" s="2036"/>
      <c r="Z157" s="2036"/>
      <c r="AA157" s="2036"/>
      <c r="AB157" s="2036"/>
      <c r="AC157" s="2036"/>
      <c r="AD157" s="2036"/>
      <c r="AE157" s="2073" t="s">
        <v>2351</v>
      </c>
      <c r="AF157" s="2073"/>
      <c r="AG157" s="2073"/>
      <c r="AH157" s="2073"/>
      <c r="AI157" s="2073"/>
      <c r="AJ157" s="2073"/>
      <c r="AK157" s="2073"/>
      <c r="AL157" s="2073" t="s">
        <v>2350</v>
      </c>
      <c r="AM157" s="2073"/>
      <c r="AN157" s="2073"/>
      <c r="AO157" s="2073"/>
      <c r="AP157" s="2073"/>
      <c r="AQ157" s="2074"/>
      <c r="AR157" s="1192"/>
      <c r="AS157" s="1192"/>
      <c r="AT157" s="1192"/>
      <c r="AU157" s="1192"/>
      <c r="AV157" s="1192"/>
      <c r="AW157" s="1192"/>
      <c r="AX157" s="1192"/>
      <c r="AY157" s="1192"/>
      <c r="AZ157" s="1192"/>
      <c r="BA157" s="1192"/>
      <c r="BB157" s="1192"/>
      <c r="BC157" s="1192"/>
      <c r="BD157" s="1192"/>
      <c r="BE157" s="1196"/>
    </row>
    <row r="158" spans="1:57" ht="15.75" customHeight="1" x14ac:dyDescent="0.35">
      <c r="A158" s="1192"/>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2"/>
      <c r="W158" s="1192"/>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2"/>
      <c r="AS158" s="1192"/>
      <c r="AT158" s="1192"/>
      <c r="AU158" s="1192"/>
      <c r="AV158" s="1192"/>
      <c r="AW158" s="1192"/>
      <c r="AX158" s="1192"/>
      <c r="AY158" s="1192"/>
      <c r="AZ158" s="1192"/>
      <c r="BA158" s="1192"/>
      <c r="BB158" s="1192"/>
      <c r="BC158" s="1192"/>
      <c r="BD158" s="1192"/>
      <c r="BE158" s="1196"/>
    </row>
    <row r="159" spans="1:57" ht="15.75" customHeight="1" thickBot="1" x14ac:dyDescent="0.4">
      <c r="A159" s="1192"/>
      <c r="B159" s="2069" t="s">
        <v>2349</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2"/>
      <c r="W159" s="1192"/>
      <c r="X159" s="2063" t="s">
        <v>2349</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2"/>
      <c r="AS159" s="1192"/>
      <c r="AT159" s="1192"/>
      <c r="AU159" s="1192"/>
      <c r="AV159" s="1192"/>
      <c r="AW159" s="1192"/>
      <c r="AX159" s="1192"/>
      <c r="AY159" s="1192"/>
      <c r="AZ159" s="1192"/>
      <c r="BA159" s="1192"/>
      <c r="BB159" s="1192"/>
      <c r="BC159" s="1192"/>
      <c r="BD159" s="1192"/>
      <c r="BE159" s="1196"/>
    </row>
    <row r="160" spans="1:57" ht="15.75" customHeight="1" thickBot="1" x14ac:dyDescent="0.4">
      <c r="A160" s="1192"/>
      <c r="B160" s="2063" t="s">
        <v>2348</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x14ac:dyDescent="0.4">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x14ac:dyDescent="0.35">
      <c r="A162" s="1192"/>
      <c r="B162" s="1192"/>
      <c r="C162" s="2067" t="s">
        <v>2347</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x14ac:dyDescent="0.35">
      <c r="A163" s="1192"/>
      <c r="B163" s="1192"/>
      <c r="C163" s="2035" t="s">
        <v>2332</v>
      </c>
      <c r="D163" s="2036"/>
      <c r="E163" s="2036"/>
      <c r="F163" s="2036"/>
      <c r="G163" s="2036"/>
      <c r="H163" s="2036"/>
      <c r="I163" s="2036"/>
      <c r="J163" s="2036"/>
      <c r="K163" s="2036"/>
      <c r="L163" s="2036"/>
      <c r="M163" s="2036"/>
      <c r="N163" s="2036"/>
      <c r="O163" s="2036"/>
      <c r="P163" s="2036"/>
      <c r="Q163" s="2036" t="s">
        <v>2346</v>
      </c>
      <c r="R163" s="2036"/>
      <c r="S163" s="2036"/>
      <c r="T163" s="2068" t="s">
        <v>2345</v>
      </c>
      <c r="U163" s="2068"/>
      <c r="V163" s="2068"/>
      <c r="W163" s="2068"/>
      <c r="X163" s="2068"/>
      <c r="Y163" s="2068"/>
      <c r="Z163" s="2068"/>
      <c r="AA163" s="2068"/>
      <c r="AB163" s="2036" t="s">
        <v>2344</v>
      </c>
      <c r="AC163" s="2036"/>
      <c r="AD163" s="2036"/>
      <c r="AE163" s="2036"/>
      <c r="AF163" s="2036"/>
      <c r="AG163" s="203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x14ac:dyDescent="0.35">
      <c r="A164" s="1192"/>
      <c r="B164" s="1192"/>
      <c r="C164" s="2050" t="s">
        <v>2343</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x14ac:dyDescent="0.35">
      <c r="A165" s="1192"/>
      <c r="B165" s="1192"/>
      <c r="C165" s="2050" t="s">
        <v>2342</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x14ac:dyDescent="0.35">
      <c r="A166" s="1192"/>
      <c r="B166" s="1192"/>
      <c r="C166" s="2050" t="s">
        <v>2341</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x14ac:dyDescent="0.35">
      <c r="A167" s="1192"/>
      <c r="B167" s="1192"/>
      <c r="C167" s="2050" t="s">
        <v>2340</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x14ac:dyDescent="0.35">
      <c r="A168" s="1192"/>
      <c r="B168" s="1192"/>
      <c r="C168" s="2050" t="s">
        <v>170</v>
      </c>
      <c r="D168" s="2051"/>
      <c r="E168" s="2051"/>
      <c r="F168" s="2052" t="s">
        <v>2321</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x14ac:dyDescent="0.35">
      <c r="A169" s="1192"/>
      <c r="B169" s="1192"/>
      <c r="C169" s="2050" t="s">
        <v>170</v>
      </c>
      <c r="D169" s="2051"/>
      <c r="E169" s="2051"/>
      <c r="F169" s="2052" t="s">
        <v>2321</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x14ac:dyDescent="0.4">
      <c r="A170" s="1192"/>
      <c r="B170" s="1192"/>
      <c r="C170" s="2056" t="s">
        <v>170</v>
      </c>
      <c r="D170" s="2057"/>
      <c r="E170" s="2057"/>
      <c r="F170" s="2058" t="s">
        <v>2321</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x14ac:dyDescent="0.4">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x14ac:dyDescent="0.35">
      <c r="A172" s="1192"/>
      <c r="B172" s="1192"/>
      <c r="C172" s="2021" t="s">
        <v>2339</v>
      </c>
      <c r="D172" s="2022"/>
      <c r="E172" s="2022"/>
      <c r="F172" s="2022"/>
      <c r="G172" s="2022"/>
      <c r="H172" s="2022"/>
      <c r="I172" s="2022"/>
      <c r="J172" s="2022"/>
      <c r="K172" s="2022"/>
      <c r="L172" s="2022"/>
      <c r="M172" s="2022"/>
      <c r="N172" s="2031"/>
      <c r="O172" s="1192"/>
      <c r="P172" s="2032" t="s">
        <v>2338</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x14ac:dyDescent="0.35">
      <c r="A173" s="1192"/>
      <c r="B173" s="1192"/>
      <c r="C173" s="2035" t="s">
        <v>2337</v>
      </c>
      <c r="D173" s="2036"/>
      <c r="E173" s="2036"/>
      <c r="F173" s="2036"/>
      <c r="G173" s="2036"/>
      <c r="H173" s="2036"/>
      <c r="I173" s="2036" t="s">
        <v>2336</v>
      </c>
      <c r="J173" s="2036"/>
      <c r="K173" s="2036"/>
      <c r="L173" s="2036"/>
      <c r="M173" s="2036"/>
      <c r="N173" s="2037"/>
      <c r="O173" s="1192"/>
      <c r="P173" s="2038" t="s">
        <v>2335</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x14ac:dyDescent="0.35">
      <c r="A174" s="1192"/>
      <c r="B174" s="1192"/>
      <c r="C174" s="1983"/>
      <c r="D174" s="1984"/>
      <c r="E174" s="1984"/>
      <c r="F174" s="1984"/>
      <c r="G174" s="1984"/>
      <c r="H174" s="1984"/>
      <c r="I174" s="2044"/>
      <c r="J174" s="2044"/>
      <c r="K174" s="2044"/>
      <c r="L174" s="2044"/>
      <c r="M174" s="2044"/>
      <c r="N174" s="2045"/>
      <c r="O174" s="1192"/>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x14ac:dyDescent="0.35">
      <c r="A175" s="1192"/>
      <c r="B175" s="1192"/>
      <c r="C175" s="1983"/>
      <c r="D175" s="1984"/>
      <c r="E175" s="1984"/>
      <c r="F175" s="1984"/>
      <c r="G175" s="1984"/>
      <c r="H175" s="1984"/>
      <c r="I175" s="2044"/>
      <c r="J175" s="2044"/>
      <c r="K175" s="2044"/>
      <c r="L175" s="2044"/>
      <c r="M175" s="2044"/>
      <c r="N175" s="2045"/>
      <c r="O175" s="1192"/>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x14ac:dyDescent="0.35">
      <c r="A176" s="1192"/>
      <c r="B176" s="1192"/>
      <c r="C176" s="1983"/>
      <c r="D176" s="1984"/>
      <c r="E176" s="1984"/>
      <c r="F176" s="1984"/>
      <c r="G176" s="1984"/>
      <c r="H176" s="1984"/>
      <c r="I176" s="2044"/>
      <c r="J176" s="2044"/>
      <c r="K176" s="2044"/>
      <c r="L176" s="2044"/>
      <c r="M176" s="2044"/>
      <c r="N176" s="2045"/>
      <c r="O176" s="1192"/>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x14ac:dyDescent="0.35">
      <c r="A177" s="1192"/>
      <c r="B177" s="1192"/>
      <c r="C177" s="1983"/>
      <c r="D177" s="1984"/>
      <c r="E177" s="1984"/>
      <c r="F177" s="1984"/>
      <c r="G177" s="1984"/>
      <c r="H177" s="1984"/>
      <c r="I177" s="2044"/>
      <c r="J177" s="2044"/>
      <c r="K177" s="2044"/>
      <c r="L177" s="2044"/>
      <c r="M177" s="2044"/>
      <c r="N177" s="2045"/>
      <c r="O177" s="1192"/>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x14ac:dyDescent="0.35">
      <c r="A178" s="1192"/>
      <c r="B178" s="1192"/>
      <c r="C178" s="1983"/>
      <c r="D178" s="1984"/>
      <c r="E178" s="1984"/>
      <c r="F178" s="1984"/>
      <c r="G178" s="1984"/>
      <c r="H178" s="1984"/>
      <c r="I178" s="2044"/>
      <c r="J178" s="2044"/>
      <c r="K178" s="2044"/>
      <c r="L178" s="2044"/>
      <c r="M178" s="2044"/>
      <c r="N178" s="2045"/>
      <c r="O178" s="1192"/>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x14ac:dyDescent="0.35">
      <c r="A179" s="1192"/>
      <c r="B179" s="1192"/>
      <c r="C179" s="1983"/>
      <c r="D179" s="1984"/>
      <c r="E179" s="1984"/>
      <c r="F179" s="1984"/>
      <c r="G179" s="1984"/>
      <c r="H179" s="1984"/>
      <c r="I179" s="2044"/>
      <c r="J179" s="2044"/>
      <c r="K179" s="2044"/>
      <c r="L179" s="2044"/>
      <c r="M179" s="2044"/>
      <c r="N179" s="2045"/>
      <c r="O179" s="1192"/>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x14ac:dyDescent="0.4">
      <c r="A180" s="1192"/>
      <c r="B180" s="1192"/>
      <c r="C180" s="2046"/>
      <c r="D180" s="2047"/>
      <c r="E180" s="2047"/>
      <c r="F180" s="2047"/>
      <c r="G180" s="2047"/>
      <c r="H180" s="2047"/>
      <c r="I180" s="2048"/>
      <c r="J180" s="2048"/>
      <c r="K180" s="2048"/>
      <c r="L180" s="2048"/>
      <c r="M180" s="2048"/>
      <c r="N180" s="2049"/>
      <c r="O180" s="1192"/>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x14ac:dyDescent="0.4">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x14ac:dyDescent="0.35">
      <c r="A182" s="1192"/>
      <c r="B182" s="1192"/>
      <c r="C182" s="2012" t="s">
        <v>2334</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2"/>
      <c r="AG182" s="1192"/>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x14ac:dyDescent="0.4">
      <c r="A183" s="1192"/>
      <c r="B183" s="1192"/>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2"/>
      <c r="AG183" s="1192"/>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x14ac:dyDescent="0.35">
      <c r="A184" s="1192"/>
      <c r="B184" s="1192"/>
      <c r="C184" s="2021" t="s">
        <v>2332</v>
      </c>
      <c r="D184" s="2022"/>
      <c r="E184" s="2022"/>
      <c r="F184" s="2022"/>
      <c r="G184" s="2022"/>
      <c r="H184" s="2022"/>
      <c r="I184" s="2022"/>
      <c r="J184" s="2022"/>
      <c r="K184" s="2022"/>
      <c r="L184" s="2022"/>
      <c r="M184" s="2022"/>
      <c r="N184" s="2022" t="s">
        <v>2333</v>
      </c>
      <c r="O184" s="2022"/>
      <c r="P184" s="2022"/>
      <c r="Q184" s="2022"/>
      <c r="R184" s="2022"/>
      <c r="S184" s="2022"/>
      <c r="T184" s="2022"/>
      <c r="U184" s="2023" t="s">
        <v>2332</v>
      </c>
      <c r="V184" s="2023"/>
      <c r="W184" s="2023"/>
      <c r="X184" s="2023"/>
      <c r="Y184" s="2023"/>
      <c r="Z184" s="2023"/>
      <c r="AA184" s="2023"/>
      <c r="AB184" s="2023"/>
      <c r="AC184" s="2023"/>
      <c r="AD184" s="2023"/>
      <c r="AE184" s="2024"/>
      <c r="AF184" s="1192"/>
      <c r="AG184" s="1192"/>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x14ac:dyDescent="0.35">
      <c r="A185" s="1192"/>
      <c r="B185" s="1192"/>
      <c r="C185" s="2000" t="s">
        <v>2331</v>
      </c>
      <c r="D185" s="2001"/>
      <c r="E185" s="2001"/>
      <c r="F185" s="2001"/>
      <c r="G185" s="2001"/>
      <c r="H185" s="2001"/>
      <c r="I185" s="2001"/>
      <c r="J185" s="2001"/>
      <c r="K185" s="2001"/>
      <c r="L185" s="2001"/>
      <c r="M185" s="2001"/>
      <c r="N185" s="2011">
        <f>'Sources and Uses Budget'!B105</f>
        <v>77057767</v>
      </c>
      <c r="O185" s="2011"/>
      <c r="P185" s="2011"/>
      <c r="Q185" s="2011"/>
      <c r="R185" s="2011"/>
      <c r="S185" s="2011"/>
      <c r="T185" s="2011"/>
      <c r="U185" s="2025"/>
      <c r="V185" s="2025"/>
      <c r="W185" s="2025"/>
      <c r="X185" s="2025"/>
      <c r="Y185" s="2025"/>
      <c r="Z185" s="2025"/>
      <c r="AA185" s="2025"/>
      <c r="AB185" s="2025"/>
      <c r="AC185" s="2025"/>
      <c r="AD185" s="2025"/>
      <c r="AE185" s="2026"/>
      <c r="AF185" s="1192"/>
      <c r="AG185" s="1192"/>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x14ac:dyDescent="0.35">
      <c r="A186" s="1192"/>
      <c r="B186" s="1192"/>
      <c r="C186" s="2000" t="s">
        <v>2330</v>
      </c>
      <c r="D186" s="2001"/>
      <c r="E186" s="2001"/>
      <c r="F186" s="2001"/>
      <c r="G186" s="2001"/>
      <c r="H186" s="2001"/>
      <c r="I186" s="2001"/>
      <c r="J186" s="2001"/>
      <c r="K186" s="2001"/>
      <c r="L186" s="2001"/>
      <c r="M186" s="2001"/>
      <c r="N186" s="2011">
        <f>N185/J29</f>
        <v>762948.18811881193</v>
      </c>
      <c r="O186" s="2011"/>
      <c r="P186" s="2011"/>
      <c r="Q186" s="2011"/>
      <c r="R186" s="2011"/>
      <c r="S186" s="2011"/>
      <c r="T186" s="2011"/>
      <c r="U186" s="1232"/>
      <c r="V186" s="1232"/>
      <c r="W186" s="1232"/>
      <c r="X186" s="1232"/>
      <c r="Y186" s="1232"/>
      <c r="Z186" s="1232"/>
      <c r="AA186" s="1232"/>
      <c r="AB186" s="1232"/>
      <c r="AC186" s="1232"/>
      <c r="AD186" s="1232"/>
      <c r="AE186" s="1233"/>
      <c r="AF186" s="1192"/>
      <c r="AG186" s="1192"/>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x14ac:dyDescent="0.35">
      <c r="A187" s="1192"/>
      <c r="B187" s="1192"/>
      <c r="C187" s="2027" t="s">
        <v>2329</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2"/>
      <c r="AG187" s="1192"/>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x14ac:dyDescent="0.4">
      <c r="A188" s="1192"/>
      <c r="B188" s="1192"/>
      <c r="C188" s="2000" t="s">
        <v>2328</v>
      </c>
      <c r="D188" s="2001"/>
      <c r="E188" s="2001"/>
      <c r="F188" s="2001"/>
      <c r="G188" s="2001"/>
      <c r="H188" s="2001"/>
      <c r="I188" s="2001"/>
      <c r="J188" s="2001"/>
      <c r="K188" s="2001"/>
      <c r="L188" s="2001"/>
      <c r="M188" s="2001"/>
      <c r="N188" s="2030">
        <f>SUM('Sources and Uses Budget'!B85:B86)</f>
        <v>1478252</v>
      </c>
      <c r="O188" s="2030"/>
      <c r="P188" s="2030"/>
      <c r="Q188" s="2030"/>
      <c r="R188" s="2030"/>
      <c r="S188" s="2030"/>
      <c r="T188" s="2030"/>
      <c r="U188" s="1987"/>
      <c r="V188" s="1987"/>
      <c r="W188" s="1987"/>
      <c r="X188" s="1987"/>
      <c r="Y188" s="1987"/>
      <c r="Z188" s="1987"/>
      <c r="AA188" s="1987"/>
      <c r="AB188" s="1987"/>
      <c r="AC188" s="1987"/>
      <c r="AD188" s="1987"/>
      <c r="AE188" s="1988"/>
      <c r="AF188" s="1192"/>
      <c r="AG188" s="1192"/>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x14ac:dyDescent="0.4">
      <c r="A189" s="1192"/>
      <c r="B189" s="1192"/>
      <c r="C189" s="2000" t="s">
        <v>2327</v>
      </c>
      <c r="D189" s="2001"/>
      <c r="E189" s="2001"/>
      <c r="F189" s="2001"/>
      <c r="G189" s="2001"/>
      <c r="H189" s="2001"/>
      <c r="I189" s="2001"/>
      <c r="J189" s="2001"/>
      <c r="K189" s="2001"/>
      <c r="L189" s="2001"/>
      <c r="M189" s="2001"/>
      <c r="N189" s="2030">
        <f>'Sources and Uses Budget'!B8</f>
        <v>325001</v>
      </c>
      <c r="O189" s="2030"/>
      <c r="P189" s="2030"/>
      <c r="Q189" s="2030"/>
      <c r="R189" s="2030"/>
      <c r="S189" s="2030"/>
      <c r="T189" s="2030"/>
      <c r="U189" s="1987"/>
      <c r="V189" s="1987"/>
      <c r="W189" s="1987"/>
      <c r="X189" s="1987"/>
      <c r="Y189" s="1987"/>
      <c r="Z189" s="1987"/>
      <c r="AA189" s="1987"/>
      <c r="AB189" s="1987"/>
      <c r="AC189" s="1987"/>
      <c r="AD189" s="1987"/>
      <c r="AE189" s="1988"/>
      <c r="AF189" s="1192"/>
      <c r="AG189" s="1192"/>
      <c r="AH189" s="1997" t="s">
        <v>2325</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x14ac:dyDescent="0.35">
      <c r="A190" s="1192"/>
      <c r="B190" s="1192"/>
      <c r="C190" s="2000" t="s">
        <v>2326</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2"/>
      <c r="AG190" s="1192"/>
      <c r="AH190" s="2002" t="s">
        <v>2325</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x14ac:dyDescent="0.35">
      <c r="A191" s="1192"/>
      <c r="B191" s="1192"/>
      <c r="C191" s="2000" t="s">
        <v>2324</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2"/>
      <c r="AG191" s="1192"/>
      <c r="AH191" s="2018" t="s">
        <v>2323</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x14ac:dyDescent="0.35">
      <c r="A192" s="1192"/>
      <c r="B192" s="1192"/>
      <c r="C192" s="1992" t="s">
        <v>300</v>
      </c>
      <c r="D192" s="1993"/>
      <c r="E192" s="1985" t="s">
        <v>2321</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2"/>
      <c r="AG192" s="1192"/>
      <c r="AH192" s="1994" t="s">
        <v>2322</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x14ac:dyDescent="0.4">
      <c r="A193" s="1192"/>
      <c r="B193" s="1192"/>
      <c r="C193" s="1983" t="s">
        <v>300</v>
      </c>
      <c r="D193" s="1984"/>
      <c r="E193" s="1985" t="s">
        <v>2321</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9"/>
      <c r="BD193" s="1990"/>
      <c r="BE193" s="1991"/>
    </row>
    <row r="194" spans="1:57" ht="15.75" customHeight="1" thickBot="1" x14ac:dyDescent="0.4">
      <c r="A194" s="1192"/>
      <c r="B194" s="1192"/>
      <c r="C194" s="1971" t="s">
        <v>300</v>
      </c>
      <c r="D194" s="1972"/>
      <c r="E194" s="1973" t="s">
        <v>2321</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2"/>
      <c r="AG194" s="1192"/>
      <c r="AH194" s="1980" t="s">
        <v>2320</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3"/>
      <c r="BD194" s="1173"/>
      <c r="BE194" s="1236"/>
    </row>
    <row r="195" spans="1:57" ht="15.75" customHeight="1" x14ac:dyDescent="0.35">
      <c r="A195" s="1192"/>
      <c r="B195" s="1192"/>
      <c r="C195" s="1954" t="s">
        <v>2319</v>
      </c>
      <c r="D195" s="1955"/>
      <c r="E195" s="1955"/>
      <c r="F195" s="1955"/>
      <c r="G195" s="1955"/>
      <c r="H195" s="1955"/>
      <c r="I195" s="1955"/>
      <c r="J195" s="1955"/>
      <c r="K195" s="1955"/>
      <c r="L195" s="1955"/>
      <c r="M195" s="1955"/>
      <c r="N195" s="1956">
        <f>SUM(N187:T194)</f>
        <v>1803253</v>
      </c>
      <c r="O195" s="1956"/>
      <c r="P195" s="1956"/>
      <c r="Q195" s="1956"/>
      <c r="R195" s="1956"/>
      <c r="S195" s="1956"/>
      <c r="T195" s="1957"/>
      <c r="U195" s="1192"/>
      <c r="V195" s="1192"/>
      <c r="W195" s="1192"/>
      <c r="X195" s="1192"/>
      <c r="Y195" s="1192"/>
      <c r="Z195" s="1192"/>
      <c r="AA195" s="1192"/>
      <c r="AB195" s="1192"/>
      <c r="AC195" s="1192"/>
      <c r="AD195" s="1192"/>
      <c r="AE195" s="1192"/>
      <c r="AF195" s="1192"/>
      <c r="AG195" s="1192"/>
      <c r="AH195" s="1958" t="s">
        <v>2318</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x14ac:dyDescent="0.4">
      <c r="A196" s="1192"/>
      <c r="B196" s="1192"/>
      <c r="C196" s="1964" t="s">
        <v>2317</v>
      </c>
      <c r="D196" s="1965"/>
      <c r="E196" s="1965"/>
      <c r="F196" s="1965"/>
      <c r="G196" s="1965"/>
      <c r="H196" s="1965"/>
      <c r="I196" s="1965"/>
      <c r="J196" s="1965"/>
      <c r="K196" s="1965"/>
      <c r="L196" s="1965"/>
      <c r="M196" s="1965"/>
      <c r="N196" s="1966">
        <f>(N185-N195)/J29</f>
        <v>745094.19801980199</v>
      </c>
      <c r="O196" s="1967"/>
      <c r="P196" s="1967"/>
      <c r="Q196" s="1967"/>
      <c r="R196" s="1967"/>
      <c r="S196" s="1967"/>
      <c r="T196" s="1968"/>
      <c r="U196" s="1197"/>
      <c r="V196" s="1192"/>
      <c r="W196" s="1192"/>
      <c r="X196" s="1192"/>
      <c r="Y196" s="1192"/>
      <c r="Z196" s="1192"/>
      <c r="AA196" s="1192"/>
      <c r="AB196" s="1192"/>
      <c r="AC196" s="1192"/>
      <c r="AD196" s="1192"/>
      <c r="AE196" s="1192"/>
      <c r="AF196" s="1192"/>
      <c r="AG196" s="1192"/>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x14ac:dyDescent="0.35">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6"/>
    </row>
    <row r="198" spans="1:57" ht="15.75" customHeight="1" thickBot="1" x14ac:dyDescent="0.4">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x14ac:dyDescent="0.4">
      <c r="A199" s="1192"/>
      <c r="B199" s="1192"/>
      <c r="C199" s="1949" t="s">
        <v>2316</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x14ac:dyDescent="0.35">
      <c r="A200" s="1192"/>
      <c r="B200" s="1192"/>
      <c r="C200" s="1952" t="s">
        <v>2315</v>
      </c>
      <c r="D200" s="1952"/>
      <c r="E200" s="1952"/>
      <c r="F200" s="1952"/>
      <c r="G200" s="1952"/>
      <c r="H200" s="1952"/>
      <c r="I200" s="1952"/>
      <c r="J200" s="1952"/>
      <c r="K200" s="1952"/>
      <c r="L200" s="1952"/>
      <c r="M200" s="1952"/>
      <c r="N200" s="1952"/>
      <c r="O200" s="1953" t="s">
        <v>2314</v>
      </c>
      <c r="P200" s="1953"/>
      <c r="Q200" s="1953"/>
      <c r="R200" s="1953"/>
      <c r="S200" s="1953"/>
      <c r="T200" s="1953"/>
      <c r="U200" s="1953"/>
      <c r="V200" s="1953"/>
      <c r="W200" s="1953"/>
      <c r="X200" s="1953" t="s">
        <v>2313</v>
      </c>
      <c r="Y200" s="1953"/>
      <c r="Z200" s="1953"/>
      <c r="AA200" s="1953"/>
      <c r="AB200" s="1953"/>
      <c r="AC200" s="1953"/>
      <c r="AD200" s="1953"/>
      <c r="AE200" s="19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x14ac:dyDescent="0.35">
      <c r="A201" s="1192"/>
      <c r="B201" s="1192"/>
      <c r="C201" s="1944" t="s">
        <v>2312</v>
      </c>
      <c r="D201" s="1944"/>
      <c r="E201" s="1944"/>
      <c r="F201" s="1944"/>
      <c r="G201" s="1944"/>
      <c r="H201" s="1944"/>
      <c r="I201" s="1944"/>
      <c r="J201" s="1944"/>
      <c r="K201" s="1944"/>
      <c r="L201" s="1944"/>
      <c r="M201" s="1944"/>
      <c r="N201" s="1944"/>
      <c r="O201" s="1945" t="s">
        <v>2311</v>
      </c>
      <c r="P201" s="1945"/>
      <c r="Q201" s="1945"/>
      <c r="R201" s="1945"/>
      <c r="S201" s="1945"/>
      <c r="T201" s="1945"/>
      <c r="U201" s="1945"/>
      <c r="V201" s="1945"/>
      <c r="W201" s="1945"/>
      <c r="X201" s="1946">
        <v>0.03</v>
      </c>
      <c r="Y201" s="1946"/>
      <c r="Z201" s="1946"/>
      <c r="AA201" s="1946"/>
      <c r="AB201" s="1946"/>
      <c r="AC201" s="1946"/>
      <c r="AD201" s="1946"/>
      <c r="AE201" s="19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x14ac:dyDescent="0.35">
      <c r="A202" s="1192"/>
      <c r="B202" s="1192"/>
      <c r="C202" s="1944" t="s">
        <v>855</v>
      </c>
      <c r="D202" s="1944"/>
      <c r="E202" s="1944"/>
      <c r="F202" s="1944"/>
      <c r="G202" s="1944"/>
      <c r="H202" s="1944"/>
      <c r="I202" s="1944"/>
      <c r="J202" s="1944"/>
      <c r="K202" s="1944"/>
      <c r="L202" s="1944"/>
      <c r="M202" s="1944"/>
      <c r="N202" s="1944"/>
      <c r="O202" s="1945" t="s">
        <v>2311</v>
      </c>
      <c r="P202" s="1945"/>
      <c r="Q202" s="1945"/>
      <c r="R202" s="1945"/>
      <c r="S202" s="1945"/>
      <c r="T202" s="1945"/>
      <c r="U202" s="1945"/>
      <c r="V202" s="1945"/>
      <c r="W202" s="1945"/>
      <c r="X202" s="1946">
        <v>0.03</v>
      </c>
      <c r="Y202" s="1946"/>
      <c r="Z202" s="1946"/>
      <c r="AA202" s="1946"/>
      <c r="AB202" s="1946"/>
      <c r="AC202" s="1946"/>
      <c r="AD202" s="1946"/>
      <c r="AE202" s="19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x14ac:dyDescent="0.35">
      <c r="A203" s="1192"/>
      <c r="B203" s="1192"/>
      <c r="C203" s="1944" t="s">
        <v>2310</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2309</v>
      </c>
      <c r="Y203" s="1948"/>
      <c r="Z203" s="1948"/>
      <c r="AA203" s="1948"/>
      <c r="AB203" s="1948"/>
      <c r="AC203" s="1948"/>
      <c r="AD203" s="1948"/>
      <c r="AE203" s="19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x14ac:dyDescent="0.35">
      <c r="A204" s="1192"/>
      <c r="B204" s="1192"/>
      <c r="C204" s="1918" t="s">
        <v>2308</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x14ac:dyDescent="0.4">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x14ac:dyDescent="0.4">
      <c r="A206" s="1192"/>
      <c r="B206" s="1192"/>
      <c r="C206" s="1919" t="s">
        <v>2307</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x14ac:dyDescent="0.35">
      <c r="A207" s="1192"/>
      <c r="B207" s="1192"/>
      <c r="C207" s="1922" t="s">
        <v>2306</v>
      </c>
      <c r="D207" s="1923"/>
      <c r="E207" s="1923"/>
      <c r="F207" s="1924"/>
      <c r="G207" s="1928" t="s">
        <v>2305</v>
      </c>
      <c r="H207" s="1923"/>
      <c r="I207" s="1923"/>
      <c r="J207" s="1923"/>
      <c r="K207" s="1923"/>
      <c r="L207" s="1923"/>
      <c r="M207" s="1923"/>
      <c r="N207" s="1923"/>
      <c r="O207" s="1924"/>
      <c r="P207" s="1930" t="s">
        <v>2304</v>
      </c>
      <c r="Q207" s="1931"/>
      <c r="R207" s="1931"/>
      <c r="S207" s="1931"/>
      <c r="T207" s="1932"/>
      <c r="U207" s="1936" t="s">
        <v>2303</v>
      </c>
      <c r="V207" s="1937"/>
      <c r="W207" s="1937"/>
      <c r="X207" s="1938"/>
      <c r="Y207" s="1936" t="s">
        <v>2302</v>
      </c>
      <c r="Z207" s="1937"/>
      <c r="AA207" s="1937"/>
      <c r="AB207" s="1938"/>
      <c r="AC207" s="1936" t="s">
        <v>2301</v>
      </c>
      <c r="AD207" s="1937"/>
      <c r="AE207" s="1937"/>
      <c r="AF207" s="1938"/>
      <c r="AG207" s="1928" t="s">
        <v>2300</v>
      </c>
      <c r="AH207" s="1923"/>
      <c r="AI207" s="1923"/>
      <c r="AJ207" s="1923"/>
      <c r="AK207" s="194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x14ac:dyDescent="0.35">
      <c r="A208" s="1192"/>
      <c r="B208" s="1192"/>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x14ac:dyDescent="0.35">
      <c r="A209" s="1192"/>
      <c r="B209" s="1192"/>
      <c r="C209" s="1911">
        <v>1</v>
      </c>
      <c r="D209" s="1912"/>
      <c r="E209" s="1912"/>
      <c r="F209" s="1912"/>
      <c r="G209" s="1913" t="s">
        <v>1886</v>
      </c>
      <c r="H209" s="1913"/>
      <c r="I209" s="1913"/>
      <c r="J209" s="1913"/>
      <c r="K209" s="1913"/>
      <c r="L209" s="1913"/>
      <c r="M209" s="1913"/>
      <c r="N209" s="1913"/>
      <c r="O209" s="1913"/>
      <c r="P209" s="1914"/>
      <c r="Q209" s="1917"/>
      <c r="R209" s="1917"/>
      <c r="S209" s="1917"/>
      <c r="T209" s="1917"/>
      <c r="U209" s="1915" t="s">
        <v>1886</v>
      </c>
      <c r="V209" s="1915"/>
      <c r="W209" s="1915"/>
      <c r="X209" s="1915"/>
      <c r="Y209" s="1915" t="s">
        <v>1886</v>
      </c>
      <c r="Z209" s="1915"/>
      <c r="AA209" s="1915"/>
      <c r="AB209" s="1915"/>
      <c r="AC209" s="1916" t="s">
        <v>1886</v>
      </c>
      <c r="AD209" s="1916"/>
      <c r="AE209" s="1916"/>
      <c r="AF209" s="1916"/>
      <c r="AG209" s="1900"/>
      <c r="AH209" s="1901"/>
      <c r="AI209" s="1901"/>
      <c r="AJ209" s="1901"/>
      <c r="AK209" s="190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x14ac:dyDescent="0.35">
      <c r="A210" s="1192"/>
      <c r="B210" s="1192"/>
      <c r="C210" s="1911">
        <v>2</v>
      </c>
      <c r="D210" s="1912"/>
      <c r="E210" s="1912"/>
      <c r="F210" s="1912"/>
      <c r="G210" s="1913" t="s">
        <v>1886</v>
      </c>
      <c r="H210" s="1913"/>
      <c r="I210" s="1913"/>
      <c r="J210" s="1913"/>
      <c r="K210" s="1913"/>
      <c r="L210" s="1913"/>
      <c r="M210" s="1913"/>
      <c r="N210" s="1913"/>
      <c r="O210" s="1913"/>
      <c r="P210" s="1914"/>
      <c r="Q210" s="1914"/>
      <c r="R210" s="1914"/>
      <c r="S210" s="1914"/>
      <c r="T210" s="1914"/>
      <c r="U210" s="1915" t="s">
        <v>1886</v>
      </c>
      <c r="V210" s="1915"/>
      <c r="W210" s="1915"/>
      <c r="X210" s="1915"/>
      <c r="Y210" s="1915" t="s">
        <v>1886</v>
      </c>
      <c r="Z210" s="1915"/>
      <c r="AA210" s="1915"/>
      <c r="AB210" s="1915"/>
      <c r="AC210" s="1916" t="s">
        <v>1886</v>
      </c>
      <c r="AD210" s="1916"/>
      <c r="AE210" s="1916"/>
      <c r="AF210" s="1916"/>
      <c r="AG210" s="1900"/>
      <c r="AH210" s="1901"/>
      <c r="AI210" s="1901"/>
      <c r="AJ210" s="1901"/>
      <c r="AK210" s="190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x14ac:dyDescent="0.35">
      <c r="A211" s="1192"/>
      <c r="B211" s="1192"/>
      <c r="C211" s="1911">
        <v>3</v>
      </c>
      <c r="D211" s="1912"/>
      <c r="E211" s="1912"/>
      <c r="F211" s="1912"/>
      <c r="G211" s="1913" t="s">
        <v>1886</v>
      </c>
      <c r="H211" s="1913"/>
      <c r="I211" s="1913"/>
      <c r="J211" s="1913"/>
      <c r="K211" s="1913"/>
      <c r="L211" s="1913"/>
      <c r="M211" s="1913"/>
      <c r="N211" s="1913"/>
      <c r="O211" s="1913"/>
      <c r="P211" s="1914"/>
      <c r="Q211" s="1914"/>
      <c r="R211" s="1914"/>
      <c r="S211" s="1914"/>
      <c r="T211" s="1914"/>
      <c r="U211" s="1915" t="s">
        <v>1886</v>
      </c>
      <c r="V211" s="1915"/>
      <c r="W211" s="1915"/>
      <c r="X211" s="1915"/>
      <c r="Y211" s="1915" t="s">
        <v>1886</v>
      </c>
      <c r="Z211" s="1915"/>
      <c r="AA211" s="1915"/>
      <c r="AB211" s="1915"/>
      <c r="AC211" s="1916" t="s">
        <v>1886</v>
      </c>
      <c r="AD211" s="1916"/>
      <c r="AE211" s="1916"/>
      <c r="AF211" s="1916"/>
      <c r="AG211" s="1900"/>
      <c r="AH211" s="1901"/>
      <c r="AI211" s="1901"/>
      <c r="AJ211" s="1901"/>
      <c r="AK211" s="190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x14ac:dyDescent="0.35">
      <c r="A212" s="1192"/>
      <c r="B212" s="1192"/>
      <c r="C212" s="1911">
        <v>4</v>
      </c>
      <c r="D212" s="1912"/>
      <c r="E212" s="1912"/>
      <c r="F212" s="1912"/>
      <c r="G212" s="1913" t="s">
        <v>1886</v>
      </c>
      <c r="H212" s="1913"/>
      <c r="I212" s="1913"/>
      <c r="J212" s="1913"/>
      <c r="K212" s="1913"/>
      <c r="L212" s="1913"/>
      <c r="M212" s="1913"/>
      <c r="N212" s="1913"/>
      <c r="O212" s="1913"/>
      <c r="P212" s="1914"/>
      <c r="Q212" s="1914"/>
      <c r="R212" s="1914"/>
      <c r="S212" s="1914"/>
      <c r="T212" s="1914"/>
      <c r="U212" s="1915" t="s">
        <v>1886</v>
      </c>
      <c r="V212" s="1915"/>
      <c r="W212" s="1915"/>
      <c r="X212" s="1915"/>
      <c r="Y212" s="1915" t="s">
        <v>1886</v>
      </c>
      <c r="Z212" s="1915"/>
      <c r="AA212" s="1915"/>
      <c r="AB212" s="1915"/>
      <c r="AC212" s="1916" t="s">
        <v>1886</v>
      </c>
      <c r="AD212" s="1916"/>
      <c r="AE212" s="1916"/>
      <c r="AF212" s="1916"/>
      <c r="AG212" s="1900"/>
      <c r="AH212" s="1901"/>
      <c r="AI212" s="1901"/>
      <c r="AJ212" s="1901"/>
      <c r="AK212" s="190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x14ac:dyDescent="0.35">
      <c r="A213" s="1192"/>
      <c r="B213" s="1192"/>
      <c r="C213" s="1911">
        <v>5</v>
      </c>
      <c r="D213" s="1912"/>
      <c r="E213" s="1912"/>
      <c r="F213" s="1912"/>
      <c r="G213" s="1913" t="s">
        <v>1886</v>
      </c>
      <c r="H213" s="1913"/>
      <c r="I213" s="1913"/>
      <c r="J213" s="1913"/>
      <c r="K213" s="1913"/>
      <c r="L213" s="1913"/>
      <c r="M213" s="1913"/>
      <c r="N213" s="1913"/>
      <c r="O213" s="1913"/>
      <c r="P213" s="1914"/>
      <c r="Q213" s="1914"/>
      <c r="R213" s="1914"/>
      <c r="S213" s="1914"/>
      <c r="T213" s="1914"/>
      <c r="U213" s="1915" t="s">
        <v>1886</v>
      </c>
      <c r="V213" s="1915"/>
      <c r="W213" s="1915"/>
      <c r="X213" s="1915"/>
      <c r="Y213" s="1915" t="s">
        <v>1886</v>
      </c>
      <c r="Z213" s="1915"/>
      <c r="AA213" s="1915"/>
      <c r="AB213" s="1915"/>
      <c r="AC213" s="1916" t="s">
        <v>1886</v>
      </c>
      <c r="AD213" s="1916"/>
      <c r="AE213" s="1916"/>
      <c r="AF213" s="1916"/>
      <c r="AG213" s="1900"/>
      <c r="AH213" s="1901"/>
      <c r="AI213" s="1901"/>
      <c r="AJ213" s="1901"/>
      <c r="AK213" s="190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x14ac:dyDescent="0.35">
      <c r="A214" s="1192"/>
      <c r="B214" s="1192"/>
      <c r="C214" s="1911">
        <v>6</v>
      </c>
      <c r="D214" s="1912"/>
      <c r="E214" s="1912"/>
      <c r="F214" s="1912"/>
      <c r="G214" s="1913" t="s">
        <v>1886</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1886</v>
      </c>
      <c r="AD214" s="1916"/>
      <c r="AE214" s="1916"/>
      <c r="AF214" s="1916"/>
      <c r="AG214" s="1900"/>
      <c r="AH214" s="1901"/>
      <c r="AI214" s="1901"/>
      <c r="AJ214" s="1901"/>
      <c r="AK214" s="190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x14ac:dyDescent="0.35">
      <c r="A215" s="1192"/>
      <c r="B215" s="1192"/>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1886</v>
      </c>
      <c r="AD215" s="1916"/>
      <c r="AE215" s="1916"/>
      <c r="AF215" s="1916"/>
      <c r="AG215" s="1900"/>
      <c r="AH215" s="1901"/>
      <c r="AI215" s="1901"/>
      <c r="AJ215" s="1901"/>
      <c r="AK215" s="190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x14ac:dyDescent="0.35">
      <c r="A216" s="1192"/>
      <c r="B216" s="1192"/>
      <c r="C216" s="1903" t="s">
        <v>2299</v>
      </c>
      <c r="D216" s="1904"/>
      <c r="E216" s="1904"/>
      <c r="F216" s="1904"/>
      <c r="G216" s="1904"/>
      <c r="H216" s="1904"/>
      <c r="I216" s="1904"/>
      <c r="J216" s="1904"/>
      <c r="K216" s="1904"/>
      <c r="L216" s="1904"/>
      <c r="M216" s="1904"/>
      <c r="N216" s="1904"/>
      <c r="O216" s="1904"/>
      <c r="P216" s="1905"/>
      <c r="Q216" s="1905"/>
      <c r="R216" s="1905"/>
      <c r="S216" s="1905"/>
      <c r="T216" s="1905"/>
      <c r="U216" s="1906">
        <v>0</v>
      </c>
      <c r="V216" s="1906"/>
      <c r="W216" s="1906"/>
      <c r="X216" s="1906"/>
      <c r="Y216" s="1906">
        <v>0</v>
      </c>
      <c r="Z216" s="1906"/>
      <c r="AA216" s="1906"/>
      <c r="AB216" s="1906"/>
      <c r="AC216" s="1907">
        <v>0</v>
      </c>
      <c r="AD216" s="1907"/>
      <c r="AE216" s="1907"/>
      <c r="AF216" s="1907"/>
      <c r="AG216" s="1908"/>
      <c r="AH216" s="1909"/>
      <c r="AI216" s="1909"/>
      <c r="AJ216" s="1909"/>
      <c r="AK216" s="19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x14ac:dyDescent="0.35">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x14ac:dyDescent="0.35">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x14ac:dyDescent="0.35">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x14ac:dyDescent="0.4">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x14ac:dyDescent="0.35">
      <c r="A221" s="1192"/>
      <c r="B221" s="1887" t="s">
        <v>2297</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6"/>
    </row>
    <row r="222" spans="1:57" ht="15.75" customHeight="1" x14ac:dyDescent="0.35">
      <c r="A222" s="1192"/>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6"/>
    </row>
    <row r="223" spans="1:57" ht="15.75" customHeight="1" x14ac:dyDescent="0.35">
      <c r="A223" s="1192"/>
      <c r="B223" s="1893" t="s">
        <v>2296</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6"/>
    </row>
    <row r="224" spans="1:57" ht="15.75" customHeight="1" x14ac:dyDescent="0.35">
      <c r="A224" s="1192"/>
      <c r="B224" s="1893" t="s">
        <v>2295</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6"/>
    </row>
    <row r="225" spans="1:57" ht="15.75" customHeight="1" x14ac:dyDescent="0.35">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x14ac:dyDescent="0.35">
      <c r="A226" s="1192"/>
      <c r="B226" s="1896" t="s">
        <v>2294</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6"/>
    </row>
    <row r="227" spans="1:57" ht="15.75" customHeight="1" x14ac:dyDescent="0.35">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x14ac:dyDescent="0.35">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x14ac:dyDescent="0.35">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x14ac:dyDescent="0.35">
      <c r="A230" s="1192"/>
      <c r="B230" s="1238"/>
      <c r="C230" s="1192"/>
      <c r="D230" s="1192"/>
      <c r="E230" s="1192"/>
      <c r="F230" s="1192"/>
      <c r="G230" s="1192"/>
      <c r="H230" s="1899" t="s">
        <v>2292</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2"/>
      <c r="BA230" s="1192"/>
      <c r="BB230" s="1192"/>
      <c r="BC230" s="1192"/>
      <c r="BD230" s="1196"/>
      <c r="BE230" s="1196"/>
    </row>
    <row r="231" spans="1:57" ht="15.75" customHeight="1" x14ac:dyDescent="0.35">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x14ac:dyDescent="0.35">
      <c r="A232" s="1192"/>
      <c r="B232" s="1238"/>
      <c r="C232" s="1192"/>
      <c r="D232" s="1192"/>
      <c r="E232" s="1192"/>
      <c r="F232" s="1192"/>
      <c r="G232" s="1192"/>
      <c r="H232" s="1882" t="s">
        <v>2291</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2"/>
      <c r="BB232" s="1192"/>
      <c r="BC232" s="1192"/>
      <c r="BD232" s="1196"/>
      <c r="BE232" s="1196"/>
    </row>
    <row r="233" spans="1:57" ht="15.75" customHeight="1" x14ac:dyDescent="0.35">
      <c r="A233" s="1192"/>
      <c r="B233" s="1191"/>
      <c r="C233" s="1192"/>
      <c r="D233" s="1192"/>
      <c r="E233" s="1192"/>
      <c r="F233" s="1192"/>
      <c r="G233" s="119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2"/>
      <c r="BB233" s="1192"/>
      <c r="BC233" s="1192"/>
      <c r="BD233" s="1196"/>
      <c r="BE233" s="1196"/>
    </row>
    <row r="234" spans="1:57" ht="15.75" customHeight="1" x14ac:dyDescent="0.35">
      <c r="A234" s="1192"/>
      <c r="B234" s="1191"/>
      <c r="C234" s="1192"/>
      <c r="D234" s="1192"/>
      <c r="E234" s="1192"/>
      <c r="F234" s="1192"/>
      <c r="G234" s="119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2"/>
      <c r="BB234" s="1192"/>
      <c r="BC234" s="1192"/>
      <c r="BD234" s="1196"/>
      <c r="BE234" s="1196"/>
    </row>
    <row r="235" spans="1:57" ht="15.75" customHeight="1" x14ac:dyDescent="0.35">
      <c r="A235" s="1192"/>
      <c r="B235" s="1191"/>
      <c r="C235" s="1192"/>
      <c r="D235" s="1192"/>
      <c r="E235" s="1192"/>
      <c r="F235" s="1192"/>
      <c r="G235" s="119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2"/>
      <c r="BB235" s="1192"/>
      <c r="BC235" s="1192"/>
      <c r="BD235" s="1196"/>
      <c r="BE235" s="1196"/>
    </row>
    <row r="236" spans="1:57" ht="15.75" customHeight="1" x14ac:dyDescent="0.35">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x14ac:dyDescent="0.4">
      <c r="A237" s="1192"/>
      <c r="B237" s="1239"/>
      <c r="C237" s="1240"/>
      <c r="D237" s="1240"/>
      <c r="E237" s="1240"/>
      <c r="F237" s="1240"/>
      <c r="G237" s="1240"/>
      <c r="H237" s="1883" t="s">
        <v>2290</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40"/>
      <c r="AX237" s="1240"/>
      <c r="AY237" s="1240"/>
      <c r="AZ237" s="1240"/>
      <c r="BA237" s="1240"/>
      <c r="BB237" s="1240"/>
      <c r="BC237" s="1240"/>
      <c r="BD237" s="1241"/>
      <c r="BE237" s="1196"/>
    </row>
    <row r="238" spans="1:57" ht="15.75" customHeight="1" thickBot="1" x14ac:dyDescent="0.4">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x14ac:dyDescent="0.4">
      <c r="A239" s="1192"/>
      <c r="B239" s="1242"/>
      <c r="C239" s="1243"/>
      <c r="D239" s="1243"/>
      <c r="E239" s="1243"/>
      <c r="F239" s="1243"/>
      <c r="G239" s="1243"/>
      <c r="H239" s="1873" t="s">
        <v>2289</v>
      </c>
      <c r="I239" s="1873"/>
      <c r="J239" s="1873"/>
      <c r="K239" s="1873"/>
      <c r="L239" s="1243"/>
      <c r="M239" s="1243"/>
      <c r="N239" s="1243"/>
      <c r="O239" s="1243"/>
      <c r="P239" s="1243"/>
      <c r="Q239" s="1243"/>
      <c r="R239" s="1243"/>
      <c r="S239" s="1884"/>
      <c r="T239" s="1885"/>
      <c r="U239" s="1885"/>
      <c r="V239" s="1885"/>
      <c r="W239" s="1885"/>
      <c r="X239" s="1885"/>
      <c r="Y239" s="1885"/>
      <c r="Z239" s="1885"/>
      <c r="AA239" s="1885"/>
      <c r="AB239" s="1885"/>
      <c r="AC239" s="1885"/>
      <c r="AD239" s="1885"/>
      <c r="AE239" s="1885"/>
      <c r="AF239" s="1885"/>
      <c r="AG239" s="1885"/>
      <c r="AH239" s="1885"/>
      <c r="AI239" s="1885"/>
      <c r="AJ239" s="188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x14ac:dyDescent="0.4">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x14ac:dyDescent="0.4">
      <c r="A241" s="1192"/>
      <c r="B241" s="1242"/>
      <c r="C241" s="1243"/>
      <c r="D241" s="1243"/>
      <c r="E241" s="1243"/>
      <c r="F241" s="1243"/>
      <c r="G241" s="1243"/>
      <c r="H241" s="1873" t="s">
        <v>2288</v>
      </c>
      <c r="I241" s="1873"/>
      <c r="J241" s="1873"/>
      <c r="K241" s="1245"/>
      <c r="L241" s="1243"/>
      <c r="M241" s="1243"/>
      <c r="N241" s="1243"/>
      <c r="O241" s="1243"/>
      <c r="P241" s="1243"/>
      <c r="Q241" s="1243"/>
      <c r="R241" s="1243"/>
      <c r="S241" s="1874"/>
      <c r="T241" s="1875"/>
      <c r="U241" s="1875"/>
      <c r="V241" s="1875"/>
      <c r="W241" s="1875"/>
      <c r="X241" s="1875"/>
      <c r="Y241" s="1875"/>
      <c r="Z241" s="1875"/>
      <c r="AA241" s="1875"/>
      <c r="AB241" s="1875"/>
      <c r="AC241" s="1875"/>
      <c r="AD241" s="1875"/>
      <c r="AE241" s="1875"/>
      <c r="AF241" s="1875"/>
      <c r="AG241" s="1875"/>
      <c r="AH241" s="1875"/>
      <c r="AI241" s="1875"/>
      <c r="AJ241" s="187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x14ac:dyDescent="0.4">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x14ac:dyDescent="0.4">
      <c r="A243" s="1192"/>
      <c r="B243" s="1242"/>
      <c r="C243" s="1243"/>
      <c r="D243" s="1243"/>
      <c r="E243" s="1243"/>
      <c r="F243" s="1243"/>
      <c r="G243" s="1243"/>
      <c r="H243" s="1873" t="s">
        <v>442</v>
      </c>
      <c r="I243" s="1873"/>
      <c r="J243" s="1245"/>
      <c r="K243" s="1245"/>
      <c r="L243" s="1243"/>
      <c r="M243" s="1243"/>
      <c r="N243" s="1243"/>
      <c r="O243" s="1243"/>
      <c r="P243" s="1243"/>
      <c r="Q243" s="1243"/>
      <c r="R243" s="1243"/>
      <c r="S243" s="1874"/>
      <c r="T243" s="1875"/>
      <c r="U243" s="1875"/>
      <c r="V243" s="1875"/>
      <c r="W243" s="1875"/>
      <c r="X243" s="1875"/>
      <c r="Y243" s="1875"/>
      <c r="Z243" s="1875"/>
      <c r="AA243" s="1875"/>
      <c r="AB243" s="1875"/>
      <c r="AC243" s="1875"/>
      <c r="AD243" s="1875"/>
      <c r="AE243" s="1875"/>
      <c r="AF243" s="1875"/>
      <c r="AG243" s="1875"/>
      <c r="AH243" s="1875"/>
      <c r="AI243" s="1875"/>
      <c r="AJ243" s="187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x14ac:dyDescent="0.4">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x14ac:dyDescent="0.4">
      <c r="A245" s="1192"/>
      <c r="B245" s="1242"/>
      <c r="C245" s="1243"/>
      <c r="D245" s="1243"/>
      <c r="E245" s="1243"/>
      <c r="F245" s="1243"/>
      <c r="G245" s="1243"/>
      <c r="H245" s="1877" t="s">
        <v>2287</v>
      </c>
      <c r="I245" s="1877"/>
      <c r="J245" s="1877"/>
      <c r="K245" s="1877"/>
      <c r="L245" s="1877"/>
      <c r="M245" s="1877"/>
      <c r="N245" s="1877"/>
      <c r="O245" s="1877"/>
      <c r="P245" s="1243"/>
      <c r="Q245" s="1243"/>
      <c r="R245" s="1243"/>
      <c r="S245" s="1874"/>
      <c r="T245" s="1875"/>
      <c r="U245" s="1875"/>
      <c r="V245" s="1875"/>
      <c r="W245" s="1875"/>
      <c r="X245" s="1875"/>
      <c r="Y245" s="1875"/>
      <c r="Z245" s="1875"/>
      <c r="AA245" s="1875"/>
      <c r="AB245" s="1875"/>
      <c r="AC245" s="1875"/>
      <c r="AD245" s="1875"/>
      <c r="AE245" s="1875"/>
      <c r="AF245" s="1875"/>
      <c r="AG245" s="1875"/>
      <c r="AH245" s="1875"/>
      <c r="AI245" s="1875"/>
      <c r="AJ245" s="187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x14ac:dyDescent="0.4">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x14ac:dyDescent="0.4">
      <c r="A247" s="1192"/>
      <c r="B247" s="1242"/>
      <c r="C247" s="1243"/>
      <c r="D247" s="1243"/>
      <c r="E247" s="1243"/>
      <c r="F247" s="1243"/>
      <c r="G247" s="1243"/>
      <c r="H247" s="1878" t="s">
        <v>2286</v>
      </c>
      <c r="I247" s="1878"/>
      <c r="J247" s="1243"/>
      <c r="K247" s="1243"/>
      <c r="L247" s="1243"/>
      <c r="M247" s="1243"/>
      <c r="N247" s="1243"/>
      <c r="O247" s="1243"/>
      <c r="P247" s="1243"/>
      <c r="Q247" s="1243"/>
      <c r="R247" s="1243"/>
      <c r="S247" s="1879"/>
      <c r="T247" s="1880"/>
      <c r="U247" s="1880"/>
      <c r="V247" s="1880"/>
      <c r="W247" s="1880"/>
      <c r="X247" s="1880"/>
      <c r="Y247" s="1880"/>
      <c r="Z247" s="1880"/>
      <c r="AA247" s="1880"/>
      <c r="AB247" s="1880"/>
      <c r="AC247" s="1880"/>
      <c r="AD247" s="1880"/>
      <c r="AE247" s="1880"/>
      <c r="AF247" s="1880"/>
      <c r="AG247" s="1880"/>
      <c r="AH247" s="1880"/>
      <c r="AI247" s="1880"/>
      <c r="AJ247" s="188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x14ac:dyDescent="0.4">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x14ac:dyDescent="0.4">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x14ac:dyDescent="0.35">
      <c r="D252" s="1190"/>
    </row>
    <row r="253" spans="1:57" ht="15.75" customHeight="1" x14ac:dyDescent="0.35">
      <c r="D253" s="1249"/>
    </row>
    <row r="254" spans="1:57" ht="15.75" customHeight="1" x14ac:dyDescent="0.35">
      <c r="D254" s="1190"/>
    </row>
    <row r="255" spans="1:57" ht="15.75" customHeight="1" x14ac:dyDescent="0.35">
      <c r="D255" s="1190"/>
    </row>
    <row r="256" spans="1:57" ht="15.75" customHeight="1" x14ac:dyDescent="0.35">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7" sqref="AD7:AH10"/>
    </sheetView>
  </sheetViews>
  <sheetFormatPr defaultColWidth="0" defaultRowHeight="12.9" customHeight="1" x14ac:dyDescent="0.25"/>
  <cols>
    <col min="1" max="1" width="1.54296875" style="403" customWidth="1"/>
    <col min="2" max="2" width="0.90625" style="403" customWidth="1"/>
    <col min="3" max="18" width="2.54296875" style="403" customWidth="1"/>
    <col min="19" max="19" width="6.36328125" style="403" customWidth="1"/>
    <col min="20" max="39" width="2.6328125" style="403" customWidth="1"/>
    <col min="40" max="40" width="1.54296875" style="403" customWidth="1"/>
    <col min="41" max="256" width="2.54296875" style="403" hidden="1"/>
    <col min="257" max="257" width="1.54296875" style="403" hidden="1" customWidth="1"/>
    <col min="258" max="258" width="0.9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9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9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9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9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9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9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9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9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9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9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9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9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9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9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9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9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9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9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9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9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9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9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9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9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9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9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9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9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9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9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9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9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9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9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9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9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9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9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9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9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9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9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9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9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9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9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9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9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9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9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9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9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9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9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9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9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9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9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9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9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9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9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2.9" customHeight="1" x14ac:dyDescent="0.25">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 customHeight="1" thickBot="1" x14ac:dyDescent="0.3">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 customHeight="1" thickTop="1" x14ac:dyDescent="0.25">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x14ac:dyDescent="0.3">
      <c r="A4" s="405"/>
    </row>
    <row r="5" spans="1:40" ht="12.9" customHeight="1" x14ac:dyDescent="0.3">
      <c r="A5" s="405" t="s">
        <v>319</v>
      </c>
      <c r="C5" s="405" t="s">
        <v>122</v>
      </c>
      <c r="F5" s="405"/>
    </row>
    <row r="6" spans="1:40" ht="12.9" customHeight="1" x14ac:dyDescent="0.3">
      <c r="A6" s="405"/>
      <c r="C6" s="403" t="s">
        <v>1239</v>
      </c>
    </row>
    <row r="7" spans="1:40" ht="12.9" customHeight="1" x14ac:dyDescent="0.25">
      <c r="B7" s="406"/>
      <c r="C7" s="407"/>
      <c r="D7" s="407"/>
      <c r="E7" s="407"/>
      <c r="F7" s="407"/>
      <c r="G7" s="407"/>
      <c r="H7" s="407"/>
      <c r="I7" s="407"/>
      <c r="J7" s="407"/>
      <c r="K7" s="407"/>
      <c r="L7" s="407"/>
      <c r="M7" s="407"/>
      <c r="N7" s="407"/>
      <c r="O7" s="407"/>
      <c r="P7" s="407"/>
      <c r="Q7" s="407"/>
      <c r="R7" s="407"/>
      <c r="S7" s="407"/>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 customHeight="1" x14ac:dyDescent="0.25">
      <c r="B8" s="408"/>
      <c r="T8" s="2354"/>
      <c r="U8" s="2354"/>
      <c r="V8" s="2354"/>
      <c r="W8" s="2354"/>
      <c r="X8" s="2354"/>
      <c r="Y8" s="2354"/>
      <c r="Z8" s="2354"/>
      <c r="AA8" s="2354"/>
      <c r="AB8" s="2354"/>
      <c r="AC8" s="2354"/>
      <c r="AD8" s="2354"/>
      <c r="AE8" s="2354"/>
      <c r="AF8" s="2354"/>
      <c r="AG8" s="2354"/>
      <c r="AH8" s="2354"/>
      <c r="AI8" s="2354"/>
      <c r="AJ8" s="2354"/>
      <c r="AK8" s="2354"/>
      <c r="AL8" s="2354"/>
      <c r="AM8" s="2354"/>
    </row>
    <row r="9" spans="1:40" ht="12.9" customHeight="1" x14ac:dyDescent="0.25">
      <c r="B9" s="408"/>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 customHeight="1" x14ac:dyDescent="0.25">
      <c r="B10" s="409"/>
      <c r="C10" s="410"/>
      <c r="D10" s="410"/>
      <c r="E10" s="410"/>
      <c r="F10" s="410"/>
      <c r="G10" s="410"/>
      <c r="H10" s="410"/>
      <c r="I10" s="410"/>
      <c r="J10" s="410"/>
      <c r="K10" s="410"/>
      <c r="L10" s="410"/>
      <c r="M10" s="410"/>
      <c r="N10" s="410"/>
      <c r="O10" s="410"/>
      <c r="P10" s="410"/>
      <c r="Q10" s="410"/>
      <c r="R10" s="410"/>
      <c r="S10" s="410"/>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 customHeight="1" x14ac:dyDescent="0.3">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72534901</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 customHeight="1" x14ac:dyDescent="0.3">
      <c r="B12" s="2378" t="s">
        <v>498</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 customHeight="1" x14ac:dyDescent="0.25">
      <c r="B13" s="436"/>
      <c r="C13" s="2380" t="s">
        <v>499</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 customHeight="1" x14ac:dyDescent="0.25">
      <c r="B14" s="436"/>
      <c r="C14" s="2380" t="s">
        <v>500</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 customHeight="1" x14ac:dyDescent="0.25">
      <c r="B15" s="436"/>
      <c r="C15" s="2380" t="s">
        <v>501</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 customHeight="1" x14ac:dyDescent="0.25">
      <c r="B16" s="436"/>
      <c r="C16" s="2380" t="s">
        <v>806</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 customHeight="1" x14ac:dyDescent="0.25">
      <c r="B17" s="436"/>
      <c r="C17" s="2380" t="s">
        <v>502</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 customHeight="1" x14ac:dyDescent="0.25">
      <c r="A18"/>
      <c r="B18" s="1152"/>
      <c r="C18" s="1563" t="s">
        <v>961</v>
      </c>
      <c r="D18" s="1563"/>
      <c r="E18" s="1563"/>
      <c r="F18" s="1563"/>
      <c r="G18" s="1563"/>
      <c r="H18" s="1563"/>
      <c r="I18" s="1563"/>
      <c r="J18" s="1563"/>
      <c r="K18" s="1563"/>
      <c r="L18" s="1563"/>
      <c r="M18" s="1563"/>
      <c r="N18" s="1563"/>
      <c r="O18" s="1563"/>
      <c r="P18" s="1563"/>
      <c r="Q18" s="1563"/>
      <c r="R18" s="1563"/>
      <c r="S18" s="1564"/>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 customHeight="1" x14ac:dyDescent="0.25">
      <c r="B19" s="1152"/>
      <c r="C19" s="1563" t="s">
        <v>961</v>
      </c>
      <c r="D19" s="1563"/>
      <c r="E19" s="1563"/>
      <c r="F19" s="1563"/>
      <c r="G19" s="1563"/>
      <c r="H19" s="1563"/>
      <c r="I19" s="1563"/>
      <c r="J19" s="1563"/>
      <c r="K19" s="1563"/>
      <c r="L19" s="1563"/>
      <c r="M19" s="1563"/>
      <c r="N19" s="1563"/>
      <c r="O19" s="1563"/>
      <c r="P19" s="1563"/>
      <c r="Q19" s="1563"/>
      <c r="R19" s="1563"/>
      <c r="S19" s="1564"/>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 customHeight="1" x14ac:dyDescent="0.3">
      <c r="B20" s="2340" t="s">
        <v>503</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 customHeight="1" x14ac:dyDescent="0.3">
      <c r="B21" s="2340" t="s">
        <v>1264</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 customHeight="1" x14ac:dyDescent="0.3">
      <c r="B22" s="2340" t="s">
        <v>504</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 customHeight="1" x14ac:dyDescent="0.3">
      <c r="B23" s="2340" t="s">
        <v>505</v>
      </c>
      <c r="C23" s="2341"/>
      <c r="D23" s="2341"/>
      <c r="E23" s="2341"/>
      <c r="F23" s="2341"/>
      <c r="G23" s="2341"/>
      <c r="H23" s="2341"/>
      <c r="I23" s="2341"/>
      <c r="J23" s="2341"/>
      <c r="K23" s="2341"/>
      <c r="L23" s="2341"/>
      <c r="M23" s="2341"/>
      <c r="N23" s="2341"/>
      <c r="O23" s="2341"/>
      <c r="P23" s="2341"/>
      <c r="Q23" s="2341"/>
      <c r="R23" s="2341"/>
      <c r="S23" s="2342"/>
      <c r="T23" s="2353">
        <f>T11+T22</f>
        <v>72534901</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 customHeight="1" x14ac:dyDescent="0.3">
      <c r="B24" s="2340" t="s">
        <v>962</v>
      </c>
      <c r="C24" s="2341"/>
      <c r="D24" s="2341"/>
      <c r="E24" s="2341"/>
      <c r="F24" s="2341"/>
      <c r="G24" s="2341"/>
      <c r="H24" s="2341"/>
      <c r="I24" s="2341"/>
      <c r="J24" s="2341"/>
      <c r="K24" s="2341"/>
      <c r="L24" s="2341"/>
      <c r="M24" s="2341"/>
      <c r="N24" s="2341"/>
      <c r="O24" s="2341"/>
      <c r="P24" s="2341"/>
      <c r="Q24" s="2341"/>
      <c r="R24" s="2341"/>
      <c r="S24" s="2342"/>
      <c r="T24" s="2344">
        <f>Application!AJ1053</f>
        <v>118198415</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 customHeight="1" x14ac:dyDescent="0.25">
      <c r="B25" s="2384" t="s">
        <v>1265</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 customHeight="1" x14ac:dyDescent="0.3">
      <c r="B26" s="2340" t="s">
        <v>506</v>
      </c>
      <c r="C26" s="2341"/>
      <c r="D26" s="2341"/>
      <c r="E26" s="2341"/>
      <c r="F26" s="2341"/>
      <c r="G26" s="2341"/>
      <c r="H26" s="2341"/>
      <c r="I26" s="2341"/>
      <c r="J26" s="2341"/>
      <c r="K26" s="2341"/>
      <c r="L26" s="2341"/>
      <c r="M26" s="2341"/>
      <c r="N26" s="2341"/>
      <c r="O26" s="2341"/>
      <c r="P26" s="2341"/>
      <c r="Q26" s="2341"/>
      <c r="R26" s="2341"/>
      <c r="S26" s="2342"/>
      <c r="T26" s="2353">
        <f>T23*T25</f>
        <v>94295371.299999997</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 customHeight="1" x14ac:dyDescent="0.25">
      <c r="A27" s="411"/>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 customHeight="1" x14ac:dyDescent="0.3">
      <c r="A28" s="405"/>
      <c r="B28" s="2340" t="s">
        <v>507</v>
      </c>
      <c r="C28" s="2341"/>
      <c r="D28" s="2341"/>
      <c r="E28" s="2341"/>
      <c r="F28" s="2341"/>
      <c r="G28" s="2341"/>
      <c r="H28" s="2341"/>
      <c r="I28" s="2341"/>
      <c r="J28" s="2341"/>
      <c r="K28" s="2341"/>
      <c r="L28" s="2341"/>
      <c r="M28" s="2341"/>
      <c r="N28" s="2341"/>
      <c r="O28" s="2341"/>
      <c r="P28" s="2341"/>
      <c r="Q28" s="2341"/>
      <c r="R28" s="2341"/>
      <c r="S28" s="2342"/>
      <c r="T28" s="2353">
        <f>IF(ISERROR((T26*T27)),0,(T26*T27))</f>
        <v>94295371.299999997</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 customHeight="1" x14ac:dyDescent="0.3">
      <c r="B29" s="2340" t="s">
        <v>524</v>
      </c>
      <c r="C29" s="2341"/>
      <c r="D29" s="2341"/>
      <c r="E29" s="2341"/>
      <c r="F29" s="2341"/>
      <c r="G29" s="2341"/>
      <c r="H29" s="2341"/>
      <c r="I29" s="2341"/>
      <c r="J29" s="2341"/>
      <c r="K29" s="2341"/>
      <c r="L29" s="2341"/>
      <c r="M29" s="2341"/>
      <c r="N29" s="2341"/>
      <c r="O29" s="2341"/>
      <c r="P29" s="2341"/>
      <c r="Q29" s="2341"/>
      <c r="R29" s="2341"/>
      <c r="S29" s="2342"/>
      <c r="T29" s="2344">
        <f>T28+Y28+AD28+AI28</f>
        <v>94295371.299999997</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 customHeight="1" x14ac:dyDescent="0.25">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 customHeight="1" x14ac:dyDescent="0.25">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9"/>
    </row>
    <row r="32" spans="1:40" ht="12.9" customHeight="1" x14ac:dyDescent="0.25">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x14ac:dyDescent="0.3">
      <c r="A34" s="405" t="s">
        <v>577</v>
      </c>
      <c r="C34" s="405" t="s">
        <v>569</v>
      </c>
    </row>
    <row r="35" spans="1:76" ht="12.9" customHeight="1" x14ac:dyDescent="0.25">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4" t="s">
        <v>1155</v>
      </c>
      <c r="Z35" s="2354"/>
      <c r="AA35" s="2354"/>
      <c r="AB35" s="2354"/>
      <c r="AC35" s="2354"/>
      <c r="AD35" s="2355" t="s">
        <v>369</v>
      </c>
      <c r="AE35" s="2355"/>
      <c r="AF35" s="2355"/>
      <c r="AG35" s="2355"/>
      <c r="AH35" s="2355"/>
    </row>
    <row r="36" spans="1:76" ht="12.9" customHeight="1" x14ac:dyDescent="0.25">
      <c r="B36" s="408"/>
      <c r="X36" s="413"/>
      <c r="Y36" s="2354"/>
      <c r="Z36" s="2354"/>
      <c r="AA36" s="2354"/>
      <c r="AB36" s="2354"/>
      <c r="AC36" s="2354"/>
      <c r="AD36" s="2355"/>
      <c r="AE36" s="2355"/>
      <c r="AF36" s="2355"/>
      <c r="AG36" s="2355"/>
      <c r="AH36" s="2355"/>
    </row>
    <row r="37" spans="1:76" ht="12.9" customHeight="1" x14ac:dyDescent="0.25">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4"/>
      <c r="Z37" s="2354"/>
      <c r="AA37" s="2354"/>
      <c r="AB37" s="2354"/>
      <c r="AC37" s="2354"/>
      <c r="AD37" s="2355"/>
      <c r="AE37" s="2355"/>
      <c r="AF37" s="2355"/>
      <c r="AG37" s="2355"/>
      <c r="AH37" s="2355"/>
    </row>
    <row r="38" spans="1:76" ht="12.9" customHeight="1" x14ac:dyDescent="0.3">
      <c r="A38" s="405"/>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94295371.299999997</v>
      </c>
      <c r="Z38" s="2334"/>
      <c r="AA38" s="2334"/>
      <c r="AB38" s="2334"/>
      <c r="AC38" s="2334"/>
      <c r="AD38" s="2334">
        <f>IF(T24&gt;=(T23+Y23+AD23+AI23),AD28+AI28,0)</f>
        <v>0</v>
      </c>
      <c r="AE38" s="2334"/>
      <c r="AF38" s="2334"/>
      <c r="AG38" s="2334"/>
      <c r="AH38" s="2334"/>
    </row>
    <row r="39" spans="1:76" ht="12.9" customHeight="1" x14ac:dyDescent="0.3">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 customHeight="1" x14ac:dyDescent="0.3">
      <c r="A40" s="405"/>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3771815</v>
      </c>
      <c r="Z40" s="2334"/>
      <c r="AA40" s="2334"/>
      <c r="AB40" s="2334"/>
      <c r="AC40" s="2334"/>
      <c r="AD40" s="2353">
        <f>ROUND(AD38*AD39,0)</f>
        <v>0</v>
      </c>
      <c r="AE40" s="2334"/>
      <c r="AF40" s="2334"/>
      <c r="AG40" s="2334"/>
      <c r="AH40" s="2334"/>
    </row>
    <row r="41" spans="1:76" ht="12.9" customHeight="1" x14ac:dyDescent="0.3">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3771815</v>
      </c>
      <c r="Z41" s="2352"/>
      <c r="AA41" s="2352"/>
      <c r="AB41" s="2352"/>
      <c r="AC41" s="2352"/>
      <c r="AD41" s="2352"/>
      <c r="AE41" s="2352"/>
      <c r="AF41" s="2352"/>
      <c r="AG41" s="2352"/>
      <c r="AH41" s="2353"/>
    </row>
    <row r="42" spans="1:76" ht="12.9" customHeight="1" x14ac:dyDescent="0.3">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x14ac:dyDescent="0.25">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x14ac:dyDescent="0.35">
      <c r="A44" s="2351" t="s">
        <v>1277</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5" customFormat="1" ht="12.9" customHeight="1" thickTop="1" x14ac:dyDescent="0.25"/>
    <row r="46" spans="1:76" ht="12.9" customHeight="1" x14ac:dyDescent="0.3">
      <c r="A46" s="405" t="s">
        <v>587</v>
      </c>
      <c r="C46" s="405" t="s">
        <v>282</v>
      </c>
    </row>
    <row r="47" spans="1:76" ht="12.9" customHeight="1" x14ac:dyDescent="0.3">
      <c r="D47" s="405" t="s">
        <v>283</v>
      </c>
      <c r="AB47" s="2348">
        <f>'Sources and Uses Budget'!B105-MAX(IF('Sources and Uses Budget'!B15="",0,'Sources and Uses Budget'!B15),IF(Application!AG394="",0,Application!AG394))</f>
        <v>77057767</v>
      </c>
      <c r="AC47" s="2349"/>
      <c r="AD47" s="2349"/>
      <c r="AE47" s="2349"/>
      <c r="AF47" s="2350"/>
    </row>
    <row r="48" spans="1:76" ht="12.9" customHeight="1" x14ac:dyDescent="0.3">
      <c r="D48" s="405" t="s">
        <v>21</v>
      </c>
      <c r="AB48" s="2348">
        <f>Application!AO639-MAX(IF('Sources and Uses Budget'!B15="",0,'Sources and Uses Budget'!B15),IF(Application!AG394="",0,Application!AG394))</f>
        <v>43869124</v>
      </c>
      <c r="AC48" s="2349"/>
      <c r="AD48" s="2349"/>
      <c r="AE48" s="2349"/>
      <c r="AF48" s="2350"/>
    </row>
    <row r="49" spans="1:76" ht="12.9" customHeight="1" x14ac:dyDescent="0.3">
      <c r="D49" s="405" t="s">
        <v>91</v>
      </c>
      <c r="AB49" s="2348">
        <f>AB47-AB48</f>
        <v>33188643</v>
      </c>
      <c r="AC49" s="2349"/>
      <c r="AD49" s="2349"/>
      <c r="AE49" s="2349"/>
      <c r="AF49" s="2350"/>
    </row>
    <row r="50" spans="1:76" ht="12.9" customHeight="1" x14ac:dyDescent="0.3">
      <c r="D50" s="405" t="s">
        <v>682</v>
      </c>
      <c r="AA50" s="416"/>
      <c r="AB50" s="2336">
        <f>33188643/(Y41*10)</f>
        <v>0.87991174010390227</v>
      </c>
      <c r="AC50" s="2337"/>
      <c r="AD50" s="2337"/>
      <c r="AE50" s="2337"/>
      <c r="AF50" s="2338"/>
    </row>
    <row r="51" spans="1:76" s="418" customFormat="1" ht="12.9" customHeight="1" x14ac:dyDescent="0.25">
      <c r="A51" s="403"/>
      <c r="B51" s="403"/>
      <c r="C51" s="403"/>
      <c r="D51" s="403"/>
      <c r="E51" s="2347" t="s">
        <v>1851</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7"/>
      <c r="AB51" s="417"/>
      <c r="AC51" s="417"/>
      <c r="AD51" s="417"/>
      <c r="AE51" s="417"/>
      <c r="AF51" s="417"/>
      <c r="AG51" s="403"/>
      <c r="AH51" s="403"/>
      <c r="AI51" s="403"/>
      <c r="AJ51" s="403"/>
      <c r="AK51" s="403"/>
      <c r="AL51" s="403"/>
      <c r="AM51" s="403"/>
      <c r="AN51" s="403"/>
    </row>
    <row r="52" spans="1:76" s="418" customFormat="1" ht="12.9" customHeight="1" x14ac:dyDescent="0.25">
      <c r="A52" s="403"/>
      <c r="B52" s="403"/>
      <c r="C52" s="403"/>
      <c r="D52" s="403"/>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9"/>
      <c r="AB52" s="419"/>
      <c r="AC52" s="419"/>
      <c r="AD52" s="419"/>
      <c r="AE52" s="419"/>
      <c r="AF52" s="419"/>
      <c r="AG52" s="420"/>
      <c r="AH52" s="403"/>
      <c r="AI52" s="403"/>
      <c r="AJ52" s="403"/>
      <c r="AK52" s="403"/>
      <c r="AL52" s="403"/>
      <c r="AM52" s="403"/>
      <c r="AN52" s="403"/>
    </row>
    <row r="53" spans="1:76" ht="12.9" customHeight="1" x14ac:dyDescent="0.25">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x14ac:dyDescent="0.3">
      <c r="D54" s="405" t="s">
        <v>332</v>
      </c>
      <c r="AB54" s="2348">
        <f>ROUND(IF(ISERROR((AB49/AB50)),0,(AB49/AB50)),0)</f>
        <v>37718150</v>
      </c>
      <c r="AC54" s="2349"/>
      <c r="AD54" s="2349"/>
      <c r="AE54" s="2349"/>
      <c r="AF54" s="2350"/>
    </row>
    <row r="55" spans="1:76" ht="12.9" customHeight="1" x14ac:dyDescent="0.3">
      <c r="D55" s="405" t="s">
        <v>333</v>
      </c>
      <c r="AB55" s="2348">
        <f>(AB54/10)</f>
        <v>3771815</v>
      </c>
      <c r="AC55" s="2349"/>
      <c r="AD55" s="2349"/>
      <c r="AE55" s="2349"/>
      <c r="AF55" s="2350"/>
    </row>
    <row r="56" spans="1:76" ht="12.9" customHeight="1" x14ac:dyDescent="0.3">
      <c r="D56" s="405" t="s">
        <v>757</v>
      </c>
      <c r="AB56" s="2348">
        <f>ROUND((IF((Y41&lt;AB55),Y41,AB55)),0)</f>
        <v>3771815</v>
      </c>
      <c r="AC56" s="2349"/>
      <c r="AD56" s="2349"/>
      <c r="AE56" s="2349"/>
      <c r="AF56" s="2350"/>
    </row>
    <row r="57" spans="1:76" ht="12.9" customHeight="1" x14ac:dyDescent="0.3">
      <c r="D57" s="405" t="s">
        <v>756</v>
      </c>
      <c r="AB57" s="2348">
        <f>ROUND((10*AB56*AB50),0)</f>
        <v>33188643</v>
      </c>
      <c r="AC57" s="2349"/>
      <c r="AD57" s="2349"/>
      <c r="AE57" s="2349"/>
      <c r="AF57" s="2350"/>
    </row>
    <row r="58" spans="1:76" ht="12.9" customHeight="1" x14ac:dyDescent="0.3">
      <c r="D58" s="405"/>
      <c r="AB58" s="424"/>
      <c r="AC58" s="424"/>
      <c r="AD58" s="424"/>
      <c r="AE58" s="424"/>
      <c r="AF58" s="424"/>
    </row>
    <row r="59" spans="1:76" ht="12.9" customHeight="1" x14ac:dyDescent="0.3">
      <c r="D59" s="405" t="s">
        <v>755</v>
      </c>
      <c r="AB59" s="2332">
        <f>AB49-AB57</f>
        <v>0</v>
      </c>
      <c r="AC59" s="2332"/>
      <c r="AD59" s="2332"/>
      <c r="AE59" s="2332"/>
      <c r="AF59" s="2332"/>
    </row>
    <row r="60" spans="1:76" ht="12.9" customHeight="1" x14ac:dyDescent="0.3">
      <c r="D60" s="405"/>
      <c r="AB60" s="424"/>
      <c r="AC60" s="424"/>
      <c r="AD60" s="424"/>
      <c r="AE60" s="424"/>
      <c r="AF60" s="424"/>
    </row>
    <row r="61" spans="1:76" s="205" customFormat="1" ht="12.9" customHeight="1" thickBot="1" x14ac:dyDescent="0.35">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5" customFormat="1" ht="12.9" customHeight="1" thickTop="1" x14ac:dyDescent="0.25"/>
    <row r="63" spans="1:76" ht="12.9" customHeight="1" x14ac:dyDescent="0.3">
      <c r="A63" s="405" t="s">
        <v>590</v>
      </c>
      <c r="C63" s="206" t="s">
        <v>1249</v>
      </c>
      <c r="Y63" s="2343" t="s">
        <v>985</v>
      </c>
      <c r="Z63" s="2343"/>
      <c r="AA63" s="2343"/>
      <c r="AB63" s="2343"/>
      <c r="AC63" s="2343"/>
      <c r="AD63" s="2343" t="s">
        <v>369</v>
      </c>
      <c r="AE63" s="2343"/>
      <c r="AF63" s="2343"/>
      <c r="AG63" s="2343"/>
      <c r="AH63" s="2343"/>
    </row>
    <row r="64" spans="1:76" ht="12.9" customHeight="1" x14ac:dyDescent="0.3">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2.9" customHeight="1" x14ac:dyDescent="0.3">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x14ac:dyDescent="0.3">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x14ac:dyDescent="0.3">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3" cm="1">
        <f t="array" ref="Y67">_xlfn.IFS(OR(Application!Z205="State Farmworker Credit",Application!Z205="$500M (Farmworker Housing)"),0.75,Application!Z205="15% set-aside",0.13,Application!Z205="15% set-aside with qualifying low value rehab",0.95,Application!Z205="$500M",0.3,TRUE,0)</f>
        <v>0</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 customHeight="1" x14ac:dyDescent="0.3">
      <c r="C68" s="405"/>
      <c r="D68" s="206" t="s">
        <v>2229</v>
      </c>
      <c r="Y68" s="2334">
        <f>ROUND(Y64*Y67,0)</f>
        <v>0</v>
      </c>
      <c r="Z68" s="2335"/>
      <c r="AA68" s="2335"/>
      <c r="AB68" s="2335"/>
      <c r="AC68" s="2335"/>
      <c r="AD68" s="2334">
        <f>ROUND(AD64*AD67,0)</f>
        <v>0</v>
      </c>
      <c r="AE68" s="2335"/>
      <c r="AF68" s="2335"/>
      <c r="AG68" s="2335"/>
      <c r="AH68" s="2335"/>
    </row>
    <row r="69" spans="1:36" ht="12.9" customHeight="1" x14ac:dyDescent="0.3">
      <c r="C69" s="405"/>
      <c r="D69" s="206" t="s">
        <v>2230</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 customHeight="1" x14ac:dyDescent="0.3">
      <c r="C70" s="405"/>
      <c r="E70" s="405"/>
      <c r="AB70" s="423"/>
      <c r="AC70" s="423"/>
      <c r="AD70" s="423"/>
      <c r="AE70" s="423"/>
      <c r="AF70" s="423"/>
    </row>
    <row r="71" spans="1:36" ht="12.9" customHeight="1" x14ac:dyDescent="0.3">
      <c r="A71" s="405" t="s">
        <v>591</v>
      </c>
      <c r="C71" s="206" t="s">
        <v>284</v>
      </c>
    </row>
    <row r="72" spans="1:36" ht="12.9" customHeight="1" x14ac:dyDescent="0.3">
      <c r="A72" s="405"/>
      <c r="C72" s="405"/>
      <c r="D72" s="206" t="s">
        <v>1251</v>
      </c>
      <c r="AB72" s="2336"/>
      <c r="AC72" s="2337"/>
      <c r="AD72" s="2337"/>
      <c r="AE72" s="2337"/>
      <c r="AF72" s="2338"/>
    </row>
    <row r="73" spans="1:36" ht="12.9" customHeight="1" x14ac:dyDescent="0.3">
      <c r="A73" s="405"/>
      <c r="C73" s="405"/>
      <c r="D73" s="405"/>
      <c r="E73" s="2339" t="s">
        <v>1252</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9"/>
      <c r="AC73" s="439"/>
    </row>
    <row r="74" spans="1:36" ht="12.9" customHeight="1" x14ac:dyDescent="0.3">
      <c r="A74" s="405"/>
      <c r="C74" s="405"/>
      <c r="D74" s="405"/>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9"/>
      <c r="AC74" s="439"/>
    </row>
    <row r="75" spans="1:36" ht="12.9" customHeight="1" x14ac:dyDescent="0.3">
      <c r="A75" s="405"/>
      <c r="C75" s="405"/>
      <c r="D75" s="405"/>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9"/>
      <c r="AC75" s="439"/>
    </row>
    <row r="76" spans="1:36" ht="12.9" customHeight="1" x14ac:dyDescent="0.3">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x14ac:dyDescent="0.3">
      <c r="C77" s="405"/>
      <c r="D77" s="206" t="s">
        <v>1253</v>
      </c>
      <c r="AB77" s="2327">
        <f>ROUND(IF(ISERROR((AB59/AB72)),0,(AB59/AB72)),0)</f>
        <v>0</v>
      </c>
      <c r="AC77" s="2327"/>
      <c r="AD77" s="2327"/>
      <c r="AE77" s="2327"/>
      <c r="AF77" s="2327"/>
    </row>
    <row r="78" spans="1:36" ht="12.9" customHeight="1" x14ac:dyDescent="0.3">
      <c r="C78" s="405"/>
      <c r="D78" s="206" t="s">
        <v>1254</v>
      </c>
      <c r="AB78" s="2328">
        <f>ROUNDUP(MIN(Y69,AB77),0)</f>
        <v>0</v>
      </c>
      <c r="AC78" s="2329"/>
      <c r="AD78" s="2329"/>
      <c r="AE78" s="2329"/>
      <c r="AF78" s="2330"/>
    </row>
    <row r="79" spans="1:36" ht="12.9" customHeight="1" x14ac:dyDescent="0.3">
      <c r="C79" s="405"/>
      <c r="D79" s="206" t="s">
        <v>1255</v>
      </c>
      <c r="AB79" s="2331">
        <f>AB78*AB72</f>
        <v>0</v>
      </c>
      <c r="AC79" s="2331"/>
      <c r="AD79" s="2331"/>
      <c r="AE79" s="2331"/>
      <c r="AF79" s="2331"/>
    </row>
    <row r="80" spans="1:36" ht="12.9" customHeight="1" x14ac:dyDescent="0.3">
      <c r="C80" s="405"/>
      <c r="D80" s="405"/>
      <c r="AB80" s="426"/>
      <c r="AC80" s="426"/>
      <c r="AD80" s="426"/>
      <c r="AE80" s="426"/>
      <c r="AF80" s="426"/>
    </row>
    <row r="81" spans="1:78" ht="12.9" customHeight="1" x14ac:dyDescent="0.3">
      <c r="D81" s="405" t="s">
        <v>755</v>
      </c>
      <c r="AB81" s="2332">
        <f>AB49-(AB57+AB79)</f>
        <v>0</v>
      </c>
      <c r="AC81" s="2332"/>
      <c r="AD81" s="2332"/>
      <c r="AE81" s="2332"/>
      <c r="AF81" s="2332"/>
    </row>
    <row r="82" spans="1:78" ht="12.9" customHeight="1" x14ac:dyDescent="0.3">
      <c r="F82" s="523"/>
      <c r="J82" s="523" t="str">
        <f>IF(AB81&gt;0,"FUNDING GAP MUST NOT EXCEED ZERO","")</f>
        <v/>
      </c>
    </row>
    <row r="83" spans="1:78" ht="12.9" customHeight="1" x14ac:dyDescent="0.25">
      <c r="D83" s="524"/>
    </row>
    <row r="84" spans="1:78" ht="12.9" customHeight="1" thickBot="1" x14ac:dyDescent="0.35">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 customHeight="1" thickTop="1" x14ac:dyDescent="0.25"/>
    <row r="86" spans="1:78" ht="12.9" customHeight="1" x14ac:dyDescent="0.3">
      <c r="A86" s="405"/>
      <c r="C86" s="206"/>
    </row>
    <row r="87" spans="1:78" ht="12.9" customHeight="1" x14ac:dyDescent="0.3">
      <c r="D87" s="206"/>
      <c r="AB87" s="2383"/>
      <c r="AC87" s="2383"/>
      <c r="AD87" s="2383"/>
      <c r="AE87" s="2383"/>
      <c r="AF87" s="2383"/>
    </row>
    <row r="88" spans="1:78" ht="12.9" customHeight="1" thickBot="1" x14ac:dyDescent="0.35">
      <c r="D88" s="206"/>
      <c r="AB88" s="2382"/>
      <c r="AC88" s="2382"/>
      <c r="AD88" s="2382"/>
      <c r="AE88" s="2382"/>
      <c r="AF88" s="238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x14ac:dyDescent="0.25"/>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R1" zoomScale="62" zoomScaleNormal="62" workbookViewId="0">
      <selection activeCell="AO1" sqref="AO1:XFD1048576"/>
    </sheetView>
  </sheetViews>
  <sheetFormatPr defaultColWidth="0" defaultRowHeight="12.5" zeroHeight="1" x14ac:dyDescent="0.25"/>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x14ac:dyDescent="0.25">
      <c r="A1" s="2425" t="s">
        <v>1301</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7" customFormat="1" ht="12.75" customHeight="1" thickBot="1" x14ac:dyDescent="0.3">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6"/>
    </row>
    <row r="3" spans="1:42" s="537" customFormat="1" ht="12.75" customHeight="1" thickTop="1" x14ac:dyDescent="0.25">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x14ac:dyDescent="0.3">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x14ac:dyDescent="0.35">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x14ac:dyDescent="0.25">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x14ac:dyDescent="0.3">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6" t="s">
        <v>1306</v>
      </c>
      <c r="AF7" s="2406"/>
      <c r="AG7" s="2406"/>
      <c r="AH7" s="2406"/>
      <c r="AI7" s="2406"/>
      <c r="AJ7" s="2406"/>
      <c r="AK7" s="2406"/>
      <c r="AL7" s="541"/>
      <c r="AM7" s="541"/>
      <c r="AN7" s="536"/>
    </row>
    <row r="8" spans="1:42" s="537" customFormat="1" ht="12.75" customHeight="1" x14ac:dyDescent="0.3">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x14ac:dyDescent="0.3">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x14ac:dyDescent="0.3">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x14ac:dyDescent="0.25">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x14ac:dyDescent="0.25">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x14ac:dyDescent="0.25">
      <c r="A13" s="541"/>
      <c r="B13" s="2396" t="s">
        <v>592</v>
      </c>
      <c r="C13" s="239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7"/>
      <c r="AH13" s="2427"/>
      <c r="AI13" s="2427"/>
      <c r="AJ13" s="2428"/>
      <c r="AK13" s="541"/>
      <c r="AL13" s="541"/>
      <c r="AM13" s="541"/>
      <c r="AN13" s="536"/>
      <c r="AO13" s="551">
        <f>IF($B13="yes",20,0)</f>
        <v>0</v>
      </c>
      <c r="AP13" s="14"/>
    </row>
    <row r="14" spans="1:42" s="537" customFormat="1" ht="12.75" customHeight="1" x14ac:dyDescent="0.25">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x14ac:dyDescent="0.25">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x14ac:dyDescent="0.25">
      <c r="A16" s="541"/>
      <c r="B16" s="2396" t="s">
        <v>592</v>
      </c>
      <c r="C16" s="2396"/>
      <c r="D16" s="548"/>
      <c r="E16" s="2407" t="s">
        <v>1308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1"/>
      <c r="AL16" s="541"/>
      <c r="AM16" s="541"/>
      <c r="AN16" s="536"/>
      <c r="AO16" s="551">
        <f>IF($B25="yes",20,0)</f>
        <v>0</v>
      </c>
      <c r="AP16" s="14"/>
    </row>
    <row r="17" spans="1:42" s="537" customFormat="1" ht="12.75" customHeight="1" x14ac:dyDescent="0.25">
      <c r="A17" s="541"/>
      <c r="B17" s="541"/>
      <c r="C17" s="541"/>
      <c r="D17" s="552"/>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1"/>
      <c r="AL17" s="541"/>
      <c r="AM17" s="541"/>
      <c r="AN17" s="536"/>
      <c r="AO17" s="551">
        <f>IF($B28="yes",20,0)</f>
        <v>0</v>
      </c>
    </row>
    <row r="18" spans="1:42" s="537" customFormat="1" ht="12.75" customHeight="1" x14ac:dyDescent="0.25">
      <c r="A18" s="541"/>
      <c r="B18" s="541"/>
      <c r="C18" s="541"/>
      <c r="D18" s="552"/>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1"/>
      <c r="AL18" s="541"/>
      <c r="AM18" s="541"/>
      <c r="AN18" s="536"/>
      <c r="AO18" s="537">
        <f>IF(SUM(AO13:AO17)&gt;20,20,(SUM(AO13:AO17)))</f>
        <v>0</v>
      </c>
      <c r="AP18" s="537" t="s">
        <v>1309</v>
      </c>
    </row>
    <row r="19" spans="1:42" s="537" customFormat="1" ht="12.75" customHeight="1" x14ac:dyDescent="0.25">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x14ac:dyDescent="0.25">
      <c r="A20" s="541"/>
      <c r="B20" s="541"/>
      <c r="C20" s="541"/>
      <c r="D20" s="552"/>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1"/>
      <c r="AL20" s="541"/>
      <c r="AM20" s="541"/>
      <c r="AN20" s="536"/>
      <c r="AO20" s="551">
        <f>IF($B33="yes",14,0)</f>
        <v>0</v>
      </c>
    </row>
    <row r="21" spans="1:42" s="537" customFormat="1" ht="12.75" customHeight="1" x14ac:dyDescent="0.25">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x14ac:dyDescent="0.25">
      <c r="A22" s="541"/>
      <c r="B22" s="2396" t="s">
        <v>592</v>
      </c>
      <c r="C22" s="2396"/>
      <c r="D22" s="548"/>
      <c r="E22" s="2432" t="s">
        <v>1311</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1"/>
      <c r="AL22" s="541"/>
      <c r="AM22" s="541"/>
      <c r="AN22" s="536"/>
      <c r="AO22" s="551">
        <f>IF($B40="yes",14,0)</f>
        <v>0</v>
      </c>
    </row>
    <row r="23" spans="1:42" s="537" customFormat="1" ht="12.75" customHeight="1" x14ac:dyDescent="0.25">
      <c r="A23" s="541"/>
      <c r="B23" s="541"/>
      <c r="C23" s="541"/>
      <c r="D23" s="551"/>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1"/>
      <c r="AL23" s="541"/>
      <c r="AM23" s="541"/>
      <c r="AN23" s="536"/>
      <c r="AO23" s="537">
        <f>IF(SUM(AO20:AO22)&gt;14,14,SUM(AO20:AO22))</f>
        <v>0</v>
      </c>
      <c r="AP23" s="537" t="s">
        <v>1309</v>
      </c>
    </row>
    <row r="24" spans="1:42" s="537" customFormat="1" ht="12.75" customHeight="1" x14ac:dyDescent="0.25">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x14ac:dyDescent="0.25">
      <c r="A25" s="541"/>
      <c r="B25" s="2396" t="s">
        <v>592</v>
      </c>
      <c r="C25" s="2396"/>
      <c r="D25" s="548"/>
      <c r="E25" s="2397" t="s">
        <v>2036</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1"/>
      <c r="AL25" s="541"/>
      <c r="AM25" s="541"/>
      <c r="AN25" s="536"/>
      <c r="AO25" s="551">
        <f>IF($B45="yes",6,0)</f>
        <v>0</v>
      </c>
    </row>
    <row r="26" spans="1:42" s="537" customFormat="1" ht="12.75" customHeight="1" x14ac:dyDescent="0.25">
      <c r="A26" s="541"/>
      <c r="B26" s="541"/>
      <c r="C26" s="541"/>
      <c r="D26" s="551"/>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1"/>
      <c r="AL26" s="541"/>
      <c r="AM26" s="541"/>
      <c r="AN26" s="536"/>
      <c r="AO26" s="537">
        <f>IF(AO25&gt;6,6,AO25)</f>
        <v>0</v>
      </c>
      <c r="AP26" s="537" t="s">
        <v>1309</v>
      </c>
    </row>
    <row r="27" spans="1:42" s="537" customFormat="1" ht="12.75" customHeight="1" x14ac:dyDescent="0.25">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x14ac:dyDescent="0.25">
      <c r="A28" s="541"/>
      <c r="B28" s="2396" t="s">
        <v>592</v>
      </c>
      <c r="C28" s="2396"/>
      <c r="D28" s="548"/>
      <c r="E28" s="2420" t="s">
        <v>2253</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1"/>
      <c r="AL28" s="541"/>
      <c r="AM28" s="541"/>
      <c r="AN28" s="536"/>
      <c r="AO28" s="551"/>
    </row>
    <row r="29" spans="1:42" s="537" customFormat="1" ht="12.75" customHeight="1" x14ac:dyDescent="0.25">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x14ac:dyDescent="0.25">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x14ac:dyDescent="0.25">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x14ac:dyDescent="0.25">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x14ac:dyDescent="0.25">
      <c r="A33" s="541"/>
      <c r="B33" s="2396" t="s">
        <v>592</v>
      </c>
      <c r="C33" s="2396"/>
      <c r="D33" s="548"/>
      <c r="E33" s="2432" t="s">
        <v>2255</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1"/>
      <c r="AL33" s="541"/>
      <c r="AM33" s="541"/>
      <c r="AN33" s="536"/>
      <c r="AO33" s="551"/>
    </row>
    <row r="34" spans="1:41" s="537" customFormat="1" ht="12.75" customHeight="1" x14ac:dyDescent="0.25">
      <c r="A34" s="541"/>
      <c r="B34" s="541"/>
      <c r="C34" s="541"/>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1"/>
      <c r="AL34" s="541"/>
      <c r="AM34" s="541"/>
      <c r="AN34" s="536"/>
    </row>
    <row r="35" spans="1:41" s="537" customFormat="1" ht="12.75" customHeight="1" x14ac:dyDescent="0.25">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x14ac:dyDescent="0.25">
      <c r="A36" s="541"/>
      <c r="B36" s="2396" t="s">
        <v>592</v>
      </c>
      <c r="C36" s="2396"/>
      <c r="D36" s="548"/>
      <c r="E36" s="2397" t="s">
        <v>2256</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1"/>
      <c r="AL36" s="541"/>
      <c r="AM36" s="541"/>
      <c r="AN36" s="536"/>
    </row>
    <row r="37" spans="1:41" s="537" customFormat="1" ht="12.75" customHeight="1" x14ac:dyDescent="0.25">
      <c r="A37" s="541"/>
      <c r="B37" s="541"/>
      <c r="C37" s="541"/>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1"/>
      <c r="AL37" s="541"/>
      <c r="AM37" s="541"/>
      <c r="AN37" s="536"/>
    </row>
    <row r="38" spans="1:41" s="537" customFormat="1" ht="12.75" customHeight="1" x14ac:dyDescent="0.25">
      <c r="A38" s="541"/>
      <c r="B38" s="541"/>
      <c r="C38" s="541"/>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1"/>
      <c r="AL38" s="541"/>
      <c r="AM38" s="541"/>
      <c r="AN38" s="536"/>
    </row>
    <row r="39" spans="1:41" s="537" customFormat="1" ht="12.75" customHeight="1" x14ac:dyDescent="0.25">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x14ac:dyDescent="0.25">
      <c r="A40" s="541"/>
      <c r="B40" s="2396" t="s">
        <v>592</v>
      </c>
      <c r="C40" s="2396"/>
      <c r="D40" s="548"/>
      <c r="E40" s="2397" t="s">
        <v>2254</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1"/>
      <c r="AL40" s="541"/>
      <c r="AM40" s="541"/>
      <c r="AN40" s="536"/>
    </row>
    <row r="41" spans="1:41" s="537" customFormat="1" ht="12.75" customHeight="1" x14ac:dyDescent="0.25">
      <c r="A41" s="541"/>
      <c r="B41" s="541"/>
      <c r="C41" s="541"/>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1"/>
      <c r="AL41" s="541"/>
      <c r="AM41" s="541"/>
      <c r="AN41" s="536"/>
    </row>
    <row r="42" spans="1:41" s="537" customFormat="1" ht="12.75" customHeight="1" x14ac:dyDescent="0.25">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x14ac:dyDescent="0.25">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x14ac:dyDescent="0.25">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x14ac:dyDescent="0.25">
      <c r="A45" s="541"/>
      <c r="B45" s="2396" t="s">
        <v>592</v>
      </c>
      <c r="C45" s="2396"/>
      <c r="D45" s="1144"/>
      <c r="E45" s="2397" t="s">
        <v>2011</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4"/>
      <c r="AL45" s="541"/>
      <c r="AM45" s="541"/>
      <c r="AN45" s="536"/>
    </row>
    <row r="46" spans="1:41" s="537" customFormat="1" ht="12.75" customHeight="1" x14ac:dyDescent="0.25">
      <c r="A46" s="541"/>
      <c r="B46" s="541"/>
      <c r="C46" s="541"/>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1"/>
      <c r="AL46" s="541"/>
      <c r="AM46" s="541"/>
      <c r="AN46" s="536"/>
    </row>
    <row r="47" spans="1:41" s="537" customFormat="1" ht="12.75" customHeight="1" x14ac:dyDescent="0.25">
      <c r="A47" s="541"/>
      <c r="D47" s="548"/>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1"/>
      <c r="AL47" s="541"/>
      <c r="AM47" s="541"/>
      <c r="AN47" s="536"/>
      <c r="AO47" s="557"/>
    </row>
    <row r="48" spans="1:41" s="537" customFormat="1" ht="12.75" customHeight="1" x14ac:dyDescent="0.25">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x14ac:dyDescent="0.3">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x14ac:dyDescent="0.25">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x14ac:dyDescent="0.25">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x14ac:dyDescent="0.25">
      <c r="A52" s="541"/>
      <c r="B52" s="2396" t="s">
        <v>592</v>
      </c>
      <c r="C52" s="2396"/>
      <c r="D52" s="541"/>
      <c r="E52" s="2397" t="s">
        <v>2016</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1"/>
      <c r="AL52" s="541"/>
      <c r="AM52" s="541"/>
      <c r="AN52" s="536"/>
      <c r="AO52" s="560"/>
    </row>
    <row r="53" spans="1:50" s="537" customFormat="1" ht="12.75" customHeight="1" x14ac:dyDescent="0.25">
      <c r="A53" s="541"/>
      <c r="D53" s="548"/>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1"/>
      <c r="AL53" s="541"/>
      <c r="AM53" s="541"/>
      <c r="AN53" s="536"/>
      <c r="AO53" s="560"/>
    </row>
    <row r="54" spans="1:50" s="537" customFormat="1" ht="12.75" customHeight="1" x14ac:dyDescent="0.25">
      <c r="A54" s="541"/>
      <c r="D54" s="541"/>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1"/>
      <c r="AL54" s="541"/>
      <c r="AM54" s="541"/>
      <c r="AN54" s="536"/>
    </row>
    <row r="55" spans="1:50" s="537" customFormat="1" ht="12.75" customHeight="1" x14ac:dyDescent="0.25">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x14ac:dyDescent="0.25">
      <c r="A56" s="541"/>
      <c r="B56" s="2396" t="s">
        <v>592</v>
      </c>
      <c r="C56" s="2396"/>
      <c r="D56" s="541"/>
      <c r="E56" s="2417" t="s">
        <v>2017</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1"/>
      <c r="AL56" s="541"/>
      <c r="AM56" s="541"/>
      <c r="AN56" s="536"/>
    </row>
    <row r="57" spans="1:50" s="537" customFormat="1" ht="12.75" customHeight="1" x14ac:dyDescent="0.25">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x14ac:dyDescent="0.25">
      <c r="A58" s="541"/>
      <c r="B58" s="2396" t="s">
        <v>592</v>
      </c>
      <c r="C58" s="2396"/>
      <c r="D58" s="541"/>
      <c r="E58" s="2397" t="s">
        <v>2018</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1"/>
      <c r="AL58" s="541"/>
      <c r="AM58" s="541"/>
      <c r="AN58" s="536"/>
    </row>
    <row r="59" spans="1:50" s="537" customFormat="1" ht="12.75" customHeight="1" x14ac:dyDescent="0.3">
      <c r="A59" s="541"/>
      <c r="B59" s="548"/>
      <c r="C59" s="548"/>
      <c r="D59" s="548"/>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1"/>
      <c r="AL59" s="541"/>
      <c r="AM59" s="541"/>
      <c r="AN59" s="536"/>
      <c r="AX59" s="540"/>
    </row>
    <row r="60" spans="1:50" s="537" customFormat="1" ht="12.75" customHeight="1" x14ac:dyDescent="0.3">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x14ac:dyDescent="0.25">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x14ac:dyDescent="0.3">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29">
        <f>AO39</f>
        <v>0</v>
      </c>
      <c r="AL62" s="2430"/>
      <c r="AM62" s="2431"/>
      <c r="AN62" s="536"/>
    </row>
    <row r="63" spans="1:50" s="537" customFormat="1" ht="12.75" customHeight="1" thickBot="1" x14ac:dyDescent="0.3">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x14ac:dyDescent="0.3">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x14ac:dyDescent="0.3">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6" t="s">
        <v>1315</v>
      </c>
      <c r="AF65" s="2406"/>
      <c r="AG65" s="2406"/>
      <c r="AH65" s="2406"/>
      <c r="AI65" s="2406"/>
      <c r="AJ65" s="2406"/>
      <c r="AK65" s="2406"/>
      <c r="AL65" s="541"/>
      <c r="AM65" s="541"/>
      <c r="AN65" s="536"/>
    </row>
    <row r="66" spans="1:42" s="537" customFormat="1" ht="12.75" customHeight="1" x14ac:dyDescent="0.3">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x14ac:dyDescent="0.3">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x14ac:dyDescent="0.3">
      <c r="A68" s="539"/>
      <c r="B68" s="2396" t="s">
        <v>592</v>
      </c>
      <c r="C68" s="2396"/>
      <c r="D68" s="548" t="s">
        <v>1316</v>
      </c>
      <c r="E68" s="2407" t="s">
        <v>2019</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4"/>
      <c r="AL68" s="541"/>
      <c r="AM68" s="541"/>
      <c r="AN68" s="536"/>
      <c r="AO68" s="551">
        <f>IF($B68="yes",10,0)</f>
        <v>0</v>
      </c>
    </row>
    <row r="69" spans="1:42" s="537" customFormat="1" ht="12.75" customHeight="1" x14ac:dyDescent="0.3">
      <c r="A69" s="539"/>
      <c r="B69" s="541"/>
      <c r="C69" s="541"/>
      <c r="D69" s="552"/>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4"/>
      <c r="AL69" s="541"/>
      <c r="AM69" s="541"/>
      <c r="AN69" s="536"/>
      <c r="AO69" s="551">
        <f>IF($B74="yes",10,0)</f>
        <v>10</v>
      </c>
    </row>
    <row r="70" spans="1:42" s="537" customFormat="1" ht="12.75" customHeight="1" x14ac:dyDescent="0.3">
      <c r="A70" s="539"/>
      <c r="B70" s="541"/>
      <c r="C70" s="541"/>
      <c r="D70" s="552"/>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4"/>
      <c r="AL70" s="541"/>
      <c r="AM70" s="541"/>
      <c r="AN70" s="536"/>
      <c r="AO70" s="551">
        <f>IF($B81="yes",10,0)</f>
        <v>0</v>
      </c>
    </row>
    <row r="71" spans="1:42" s="537" customFormat="1" ht="12.75" customHeight="1" x14ac:dyDescent="0.3">
      <c r="A71" s="539"/>
      <c r="B71" s="541"/>
      <c r="C71" s="541"/>
      <c r="D71" s="552"/>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4"/>
      <c r="AL71" s="541"/>
      <c r="AM71" s="541"/>
      <c r="AN71" s="536"/>
      <c r="AO71" s="537">
        <f>IF(SUM(AO68:AO70)&gt;10,10,(SUM(AO68:AO70)))</f>
        <v>10</v>
      </c>
      <c r="AP71" s="575" t="s">
        <v>1317</v>
      </c>
    </row>
    <row r="72" spans="1:42" s="537" customFormat="1" ht="12.75" customHeight="1" x14ac:dyDescent="0.3">
      <c r="A72" s="539"/>
      <c r="B72" s="541"/>
      <c r="C72" s="541"/>
      <c r="D72" s="552"/>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4"/>
      <c r="AL72" s="541"/>
      <c r="AM72" s="541"/>
      <c r="AN72" s="536"/>
    </row>
    <row r="73" spans="1:42" s="537" customFormat="1" ht="12.75" customHeight="1" x14ac:dyDescent="0.3">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x14ac:dyDescent="0.3">
      <c r="A74" s="539"/>
      <c r="B74" s="2396" t="s">
        <v>546</v>
      </c>
      <c r="C74" s="239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x14ac:dyDescent="0.3">
      <c r="A75" s="539"/>
      <c r="B75" s="541"/>
      <c r="C75" s="541"/>
      <c r="D75" s="551"/>
      <c r="E75" s="2416" t="s">
        <v>592</v>
      </c>
      <c r="F75" s="239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x14ac:dyDescent="0.3">
      <c r="A76" s="539"/>
      <c r="B76" s="541"/>
      <c r="C76" s="541"/>
      <c r="D76" s="551"/>
      <c r="E76" s="2394" t="s">
        <v>592</v>
      </c>
      <c r="F76" s="2395"/>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x14ac:dyDescent="0.3">
      <c r="A77" s="539"/>
      <c r="B77" s="541"/>
      <c r="C77" s="541"/>
      <c r="D77" s="551"/>
      <c r="E77" s="2394" t="s">
        <v>592</v>
      </c>
      <c r="F77" s="2395"/>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x14ac:dyDescent="0.3">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x14ac:dyDescent="0.3">
      <c r="A79" s="539"/>
      <c r="B79" s="541"/>
      <c r="C79" s="541"/>
      <c r="D79" s="551"/>
      <c r="E79" s="2416" t="s">
        <v>546</v>
      </c>
      <c r="F79" s="239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x14ac:dyDescent="0.3">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x14ac:dyDescent="0.3">
      <c r="A81" s="539"/>
      <c r="B81" s="2396" t="s">
        <v>592</v>
      </c>
      <c r="C81" s="2396"/>
      <c r="D81" s="548" t="s">
        <v>1321</v>
      </c>
      <c r="E81" s="2397" t="s">
        <v>1741</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4"/>
      <c r="AL81" s="541"/>
      <c r="AM81" s="541"/>
      <c r="AN81" s="536"/>
    </row>
    <row r="82" spans="1:43" s="537" customFormat="1" ht="12.75" customHeight="1" x14ac:dyDescent="0.3">
      <c r="A82" s="539"/>
      <c r="B82" s="541"/>
      <c r="C82" s="541"/>
      <c r="D82" s="551"/>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4"/>
      <c r="AL82" s="541"/>
      <c r="AM82" s="541"/>
      <c r="AN82" s="536"/>
    </row>
    <row r="83" spans="1:43" s="537" customFormat="1" ht="12.75" customHeight="1" x14ac:dyDescent="0.3">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x14ac:dyDescent="0.3">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29">
        <f>IF(AK62&gt;0,0,AO71)</f>
        <v>10</v>
      </c>
      <c r="AL84" s="2430"/>
      <c r="AM84" s="2431"/>
      <c r="AN84" s="536"/>
    </row>
    <row r="85" spans="1:43" s="537" customFormat="1" ht="12.75" customHeight="1" thickBot="1" x14ac:dyDescent="0.3">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x14ac:dyDescent="0.3">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x14ac:dyDescent="0.3">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6" t="s">
        <v>1306</v>
      </c>
      <c r="AF87" s="2406"/>
      <c r="AG87" s="2406"/>
      <c r="AH87" s="2406"/>
      <c r="AI87" s="2406"/>
      <c r="AJ87" s="2406"/>
      <c r="AK87" s="2406"/>
      <c r="AL87" s="541"/>
      <c r="AM87" s="541"/>
      <c r="AN87" s="536"/>
    </row>
    <row r="88" spans="1:43" s="537" customFormat="1" ht="12.75" customHeight="1" x14ac:dyDescent="0.3">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x14ac:dyDescent="0.3">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x14ac:dyDescent="0.3">
      <c r="A90" s="539"/>
      <c r="B90" s="2396" t="s">
        <v>592</v>
      </c>
      <c r="C90" s="2396"/>
      <c r="D90" s="548" t="s">
        <v>1316</v>
      </c>
      <c r="E90" s="2407" t="s">
        <v>1326</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4"/>
      <c r="AL90" s="541"/>
      <c r="AM90" s="541"/>
      <c r="AN90" s="536"/>
    </row>
    <row r="91" spans="1:43" s="537" customFormat="1" ht="12.75" customHeight="1" x14ac:dyDescent="0.3">
      <c r="A91" s="539"/>
      <c r="B91" s="540"/>
      <c r="C91" s="540"/>
      <c r="D91" s="540"/>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4"/>
      <c r="AL91" s="541"/>
      <c r="AM91" s="541"/>
      <c r="AN91" s="536"/>
    </row>
    <row r="92" spans="1:43" s="537" customFormat="1" ht="12.75" customHeight="1" x14ac:dyDescent="0.3">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x14ac:dyDescent="0.3">
      <c r="A93" s="539"/>
      <c r="B93" s="540"/>
      <c r="C93" s="540"/>
      <c r="D93" s="540"/>
      <c r="E93" s="2390">
        <f>Application!AC753</f>
        <v>0.5</v>
      </c>
      <c r="F93" s="2391"/>
      <c r="G93" s="2391"/>
      <c r="H93" s="2391"/>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x14ac:dyDescent="0.3">
      <c r="A94" s="539"/>
      <c r="B94" s="540"/>
      <c r="C94" s="540"/>
      <c r="D94" s="540"/>
      <c r="E94" s="2392">
        <f>0.6-ROUNDUP(E93,2)</f>
        <v>9.9999999999999978E-2</v>
      </c>
      <c r="F94" s="2393"/>
      <c r="G94" s="2393"/>
      <c r="H94" s="2393"/>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x14ac:dyDescent="0.3">
      <c r="A95" s="539"/>
      <c r="B95" s="540"/>
      <c r="C95" s="540"/>
      <c r="D95" s="540"/>
      <c r="E95" s="2423">
        <f>IF(E94*200&gt;20,20,E94*200)</f>
        <v>19.999999999999996</v>
      </c>
      <c r="F95" s="2424"/>
      <c r="G95" s="2424"/>
      <c r="H95" s="2424"/>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x14ac:dyDescent="0.3">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x14ac:dyDescent="0.3">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x14ac:dyDescent="0.3">
      <c r="A98" s="539"/>
      <c r="B98" s="2396" t="s">
        <v>546</v>
      </c>
      <c r="C98" s="2396"/>
      <c r="D98" s="548" t="s">
        <v>1318</v>
      </c>
      <c r="E98" s="2407" t="s">
        <v>1726</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4"/>
      <c r="AL98" s="541"/>
      <c r="AM98" s="541"/>
      <c r="AN98" s="536"/>
    </row>
    <row r="99" spans="1:47" s="537" customFormat="1" ht="12.75" customHeight="1" x14ac:dyDescent="0.3">
      <c r="A99" s="539"/>
      <c r="B99" s="540"/>
      <c r="C99" s="540"/>
      <c r="D99" s="540"/>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4"/>
      <c r="AL99" s="541"/>
      <c r="AM99" s="541"/>
      <c r="AN99" s="536"/>
    </row>
    <row r="100" spans="1:47" s="537" customFormat="1" ht="12.75" customHeight="1" x14ac:dyDescent="0.3">
      <c r="A100" s="539"/>
      <c r="B100" s="540"/>
      <c r="C100" s="540"/>
      <c r="D100" s="540"/>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4"/>
      <c r="AL100" s="541"/>
      <c r="AM100" s="541"/>
      <c r="AN100" s="536"/>
    </row>
    <row r="101" spans="1:47" s="537" customFormat="1" ht="12.75" customHeight="1" x14ac:dyDescent="0.3">
      <c r="A101" s="539"/>
      <c r="B101" s="540"/>
      <c r="C101" s="540"/>
      <c r="D101" s="540"/>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4"/>
      <c r="AL101" s="541"/>
      <c r="AM101" s="541"/>
      <c r="AN101" s="536"/>
    </row>
    <row r="102" spans="1:47" s="537" customFormat="1" ht="12.75" customHeight="1" x14ac:dyDescent="0.3">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x14ac:dyDescent="0.3">
      <c r="A103" s="539"/>
      <c r="B103" s="540"/>
      <c r="C103" s="540"/>
      <c r="D103" s="540"/>
      <c r="E103" s="2390">
        <f>Application!AC753</f>
        <v>0.5</v>
      </c>
      <c r="F103" s="2391"/>
      <c r="G103" s="2391"/>
      <c r="H103" s="2391"/>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x14ac:dyDescent="0.3">
      <c r="A104" s="539"/>
      <c r="B104" s="540"/>
      <c r="C104" s="540"/>
      <c r="D104" s="540"/>
      <c r="E104" s="2390">
        <f ca="1">SUMIF(Application!AC718:AG752,0.2,Application!G718:J752)/Application!G753+SUMIF(Application!AC718:AG752,0.25,Application!G718:J752)/Application!G753+SUMIF(Application!AC718:AG752,0.3,Application!G718:J752)/Application!G753</f>
        <v>0.5</v>
      </c>
      <c r="F104" s="2391"/>
      <c r="G104" s="2391"/>
      <c r="H104" s="2391"/>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x14ac:dyDescent="0.3">
      <c r="A105" s="539"/>
      <c r="B105" s="540"/>
      <c r="C105" s="540"/>
      <c r="D105" s="540"/>
      <c r="E105" s="2390">
        <f ca="1">SUMIF(Application!AC718:AG752,0.35,Application!G718:J752)/Application!G753+SUMIF(Application!AC718:AG752,0.4,Application!G718:J752)/Application!G753+SUMIF(Application!AC718:AG752,0.45,Application!G718:J752)/Application!G753+SUMIF(Application!AC718:AG752,0.5,Application!G718:J752)/Application!G753</f>
        <v>0</v>
      </c>
      <c r="F105" s="2391"/>
      <c r="G105" s="2391"/>
      <c r="H105" s="2391"/>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x14ac:dyDescent="0.3">
      <c r="A106" s="539"/>
      <c r="B106" s="540"/>
      <c r="C106" s="540"/>
      <c r="D106" s="540"/>
      <c r="E106" s="2448">
        <f ca="1">IF(AND(E103&lt;=0.6,OR(AND(E104&gt;=0.1,E105&gt;=0.1),AND(E104&gt;0.1,(E104+E105)&gt;=0.2))),20,0)</f>
        <v>20</v>
      </c>
      <c r="F106" s="2449"/>
      <c r="G106" s="2449"/>
      <c r="H106" s="2449"/>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x14ac:dyDescent="0.3">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x14ac:dyDescent="0.3">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x14ac:dyDescent="0.3">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29">
        <f ca="1">MAX(AP95,AP106)</f>
        <v>20</v>
      </c>
      <c r="AL109" s="2430"/>
      <c r="AM109" s="2431"/>
      <c r="AN109" s="536"/>
    </row>
    <row r="110" spans="1:47" s="537" customFormat="1" ht="12.75" customHeight="1" thickBot="1" x14ac:dyDescent="0.3">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x14ac:dyDescent="0.3">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x14ac:dyDescent="0.3">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6" t="s">
        <v>1315</v>
      </c>
      <c r="AF112" s="2406"/>
      <c r="AG112" s="2406"/>
      <c r="AH112" s="2406"/>
      <c r="AI112" s="2406"/>
      <c r="AJ112" s="2406"/>
      <c r="AK112" s="2406"/>
      <c r="AL112" s="541"/>
      <c r="AM112" s="541"/>
      <c r="AN112" s="536"/>
      <c r="AO112" s="537" t="str">
        <f>Application!B718</f>
        <v>1 Bedroom</v>
      </c>
      <c r="AQ112" s="537">
        <f>Application!O718</f>
        <v>680</v>
      </c>
    </row>
    <row r="113" spans="1:52" s="537" customFormat="1" ht="12.75" customHeight="1" x14ac:dyDescent="0.3">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1460</v>
      </c>
    </row>
    <row r="114" spans="1:52" s="537" customFormat="1" ht="12.75" customHeight="1" x14ac:dyDescent="0.3">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1980</v>
      </c>
    </row>
    <row r="115" spans="1:52" s="537" customFormat="1" ht="12.75" customHeight="1" x14ac:dyDescent="0.25">
      <c r="A115" s="541"/>
      <c r="B115" s="2396" t="s">
        <v>592</v>
      </c>
      <c r="C115" s="2396"/>
      <c r="D115" s="548" t="s">
        <v>1316</v>
      </c>
      <c r="E115" s="2407" t="s">
        <v>1859</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1"/>
      <c r="AL115" s="541"/>
      <c r="AM115" s="541"/>
      <c r="AN115" s="536"/>
      <c r="AO115" s="537" t="str">
        <f>Application!B721</f>
        <v>2 Bedrooms</v>
      </c>
      <c r="AQ115" s="537">
        <f>Application!O721</f>
        <v>2368</v>
      </c>
      <c r="AU115" s="537" t="s">
        <v>1841</v>
      </c>
      <c r="AV115" s="596" t="s">
        <v>1842</v>
      </c>
      <c r="AW115" s="537" t="s">
        <v>1843</v>
      </c>
    </row>
    <row r="116" spans="1:52" s="537" customFormat="1" ht="12.75" customHeight="1" x14ac:dyDescent="0.3">
      <c r="A116" s="541"/>
      <c r="B116" s="540"/>
      <c r="C116" s="540"/>
      <c r="D116" s="540"/>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x14ac:dyDescent="0.3">
      <c r="A117" s="541"/>
      <c r="B117" s="540"/>
      <c r="C117" s="540"/>
      <c r="D117" s="540"/>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1"/>
      <c r="AL117" s="541"/>
      <c r="AM117" s="541"/>
      <c r="AN117" s="536"/>
      <c r="AO117" s="537">
        <f>Application!B723</f>
        <v>0</v>
      </c>
      <c r="AQ117" s="537">
        <f>Application!O723</f>
        <v>0</v>
      </c>
      <c r="AU117" s="857" t="str">
        <f>J124</f>
        <v>1-bedroom</v>
      </c>
      <c r="AV117" s="537">
        <f t="array" ref="AV117">SUM(IF(Application!B718:F752="1 Bedroom",Application!G718:J752))</f>
        <v>97</v>
      </c>
      <c r="AW117" s="1012">
        <f>AV117/AV122</f>
        <v>0.97</v>
      </c>
    </row>
    <row r="118" spans="1:52" s="537" customFormat="1" ht="12.75" customHeight="1" x14ac:dyDescent="0.3">
      <c r="A118" s="541"/>
      <c r="B118" s="540"/>
      <c r="C118" s="540"/>
      <c r="D118" s="540"/>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1"/>
      <c r="AL118" s="541"/>
      <c r="AM118" s="541"/>
      <c r="AN118" s="536"/>
      <c r="AO118" s="537">
        <f>Application!B724</f>
        <v>0</v>
      </c>
      <c r="AQ118" s="537">
        <f>Application!O724</f>
        <v>0</v>
      </c>
      <c r="AU118" s="857" t="str">
        <f>O124</f>
        <v>2-bedroom</v>
      </c>
      <c r="AV118" s="537">
        <f t="array" ref="AV118">SUM(IF(Application!B718:F752="2 Bedrooms",Application!G718:J752))</f>
        <v>3</v>
      </c>
      <c r="AW118" s="1012">
        <f>AV118/AV122</f>
        <v>0.03</v>
      </c>
    </row>
    <row r="119" spans="1:52" s="537" customFormat="1" ht="12.75" customHeight="1" x14ac:dyDescent="0.3">
      <c r="A119" s="541"/>
      <c r="B119" s="540"/>
      <c r="C119" s="540"/>
      <c r="D119" s="540"/>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x14ac:dyDescent="0.3">
      <c r="A120" s="541"/>
      <c r="B120" s="540"/>
      <c r="C120" s="540"/>
      <c r="D120" s="540"/>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x14ac:dyDescent="0.3">
      <c r="A121" s="541"/>
      <c r="B121" s="540"/>
      <c r="C121" s="540"/>
      <c r="D121" s="540"/>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x14ac:dyDescent="0.3">
      <c r="A122" s="541"/>
      <c r="B122" s="540"/>
      <c r="C122" s="540"/>
      <c r="D122" s="540"/>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1"/>
      <c r="AL122" s="541"/>
      <c r="AM122" s="541"/>
      <c r="AN122" s="536"/>
      <c r="AO122" s="537">
        <f>Application!B728</f>
        <v>0</v>
      </c>
      <c r="AQ122" s="537">
        <f>Application!O728</f>
        <v>0</v>
      </c>
      <c r="AV122" s="537">
        <f>SUM(AV116:AV121)</f>
        <v>100</v>
      </c>
      <c r="AW122" s="1012">
        <f>SUM(AW116:AW121)</f>
        <v>1</v>
      </c>
    </row>
    <row r="123" spans="1:52" s="537" customFormat="1" ht="12.75" customHeight="1" x14ac:dyDescent="0.3">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x14ac:dyDescent="0.3">
      <c r="A124" s="541"/>
      <c r="B124" s="540"/>
      <c r="C124" s="541"/>
      <c r="D124" s="541"/>
      <c r="E124" s="2390" t="s">
        <v>1589</v>
      </c>
      <c r="F124" s="2391"/>
      <c r="G124" s="2391"/>
      <c r="H124" s="2391"/>
      <c r="I124" s="578"/>
      <c r="J124" s="2391" t="s">
        <v>1632</v>
      </c>
      <c r="K124" s="2391"/>
      <c r="L124" s="2391"/>
      <c r="M124" s="2391"/>
      <c r="N124" s="578"/>
      <c r="O124" s="2391" t="s">
        <v>1633</v>
      </c>
      <c r="P124" s="2391"/>
      <c r="Q124" s="2391"/>
      <c r="R124" s="2391"/>
      <c r="S124" s="578"/>
      <c r="T124" s="2391" t="s">
        <v>1335</v>
      </c>
      <c r="U124" s="2391"/>
      <c r="V124" s="2391"/>
      <c r="W124" s="2391"/>
      <c r="X124" s="578"/>
      <c r="Y124" s="2391" t="s">
        <v>1634</v>
      </c>
      <c r="Z124" s="2391"/>
      <c r="AA124" s="2391"/>
      <c r="AB124" s="2391"/>
      <c r="AC124" s="578"/>
      <c r="AD124" s="2391" t="s">
        <v>1635</v>
      </c>
      <c r="AE124" s="2391"/>
      <c r="AF124" s="2391"/>
      <c r="AG124" s="2391"/>
      <c r="AH124" s="578"/>
      <c r="AI124" s="578"/>
      <c r="AJ124" s="580"/>
      <c r="AK124" s="541"/>
      <c r="AL124" s="541"/>
      <c r="AM124" s="541"/>
      <c r="AN124" s="536"/>
      <c r="AO124" s="537">
        <f>Application!B730</f>
        <v>0</v>
      </c>
      <c r="AQ124" s="537">
        <f>Application!O730</f>
        <v>0</v>
      </c>
    </row>
    <row r="125" spans="1:52" s="537" customFormat="1" ht="12.75" customHeight="1" x14ac:dyDescent="0.3">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x14ac:dyDescent="0.3">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x14ac:dyDescent="0.3">
      <c r="A127" s="541"/>
      <c r="B127" s="540"/>
      <c r="C127" s="541"/>
      <c r="D127" s="541"/>
      <c r="E127" s="2450"/>
      <c r="F127" s="2451"/>
      <c r="G127" s="2451"/>
      <c r="H127" s="2451"/>
      <c r="I127" s="865"/>
      <c r="J127" s="2451">
        <v>3262</v>
      </c>
      <c r="K127" s="2451"/>
      <c r="L127" s="2451"/>
      <c r="M127" s="2451"/>
      <c r="N127" s="865"/>
      <c r="O127" s="2451">
        <v>4124</v>
      </c>
      <c r="P127" s="2451"/>
      <c r="Q127" s="2451"/>
      <c r="R127" s="2451"/>
      <c r="S127" s="865"/>
      <c r="T127" s="2451"/>
      <c r="U127" s="2451"/>
      <c r="V127" s="2451"/>
      <c r="W127" s="2451"/>
      <c r="X127" s="865"/>
      <c r="Y127" s="2451"/>
      <c r="Z127" s="2451"/>
      <c r="AA127" s="2451"/>
      <c r="AB127" s="2451"/>
      <c r="AC127" s="865"/>
      <c r="AD127" s="2451"/>
      <c r="AE127" s="2451"/>
      <c r="AF127" s="2451"/>
      <c r="AG127" s="2451"/>
      <c r="AH127" s="578"/>
      <c r="AI127" s="578"/>
      <c r="AJ127" s="580"/>
      <c r="AK127" s="541"/>
      <c r="AL127" s="541"/>
      <c r="AM127" s="541"/>
      <c r="AN127" s="536"/>
      <c r="AO127" s="537">
        <f>Application!B733</f>
        <v>0</v>
      </c>
      <c r="AQ127" s="537">
        <f>Application!O733</f>
        <v>0</v>
      </c>
    </row>
    <row r="128" spans="1:52" s="537" customFormat="1" ht="12.75" customHeight="1" x14ac:dyDescent="0.3">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x14ac:dyDescent="0.3">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x14ac:dyDescent="0.3">
      <c r="A130" s="541"/>
      <c r="B130" s="540"/>
      <c r="C130" s="541"/>
      <c r="D130" s="541"/>
      <c r="E130" s="2443">
        <f>Application!DX670</f>
        <v>0</v>
      </c>
      <c r="F130" s="2444"/>
      <c r="G130" s="2444"/>
      <c r="H130" s="2444"/>
      <c r="I130" s="865"/>
      <c r="J130" s="2444">
        <f>Application!EC670</f>
        <v>1175.8762886597938</v>
      </c>
      <c r="K130" s="2444"/>
      <c r="L130" s="2444"/>
      <c r="M130" s="2444"/>
      <c r="N130" s="865"/>
      <c r="O130" s="2444">
        <f>Application!EH670</f>
        <v>2368</v>
      </c>
      <c r="P130" s="2444"/>
      <c r="Q130" s="2444"/>
      <c r="R130" s="2444"/>
      <c r="S130" s="869"/>
      <c r="T130" s="2444">
        <f>Application!EM670</f>
        <v>0</v>
      </c>
      <c r="U130" s="2444"/>
      <c r="V130" s="2444"/>
      <c r="W130" s="2444"/>
      <c r="X130" s="869"/>
      <c r="Y130" s="2444">
        <f>Application!ER670</f>
        <v>0</v>
      </c>
      <c r="Z130" s="2444"/>
      <c r="AA130" s="2444"/>
      <c r="AB130" s="2444"/>
      <c r="AC130" s="869"/>
      <c r="AD130" s="2444">
        <f>Application!EW670</f>
        <v>0</v>
      </c>
      <c r="AE130" s="2444"/>
      <c r="AF130" s="2444"/>
      <c r="AG130" s="244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x14ac:dyDescent="0.3">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x14ac:dyDescent="0.3">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x14ac:dyDescent="0.3">
      <c r="A133" s="541"/>
      <c r="B133" s="540"/>
      <c r="C133" s="541"/>
      <c r="D133" s="541"/>
      <c r="E133" s="2642" t="e">
        <f>(E127-E130)/E127</f>
        <v>#DIV/0!</v>
      </c>
      <c r="F133" s="2393"/>
      <c r="G133" s="2393"/>
      <c r="H133" s="2643"/>
      <c r="I133" s="578"/>
      <c r="J133" s="2642">
        <f>(J127-J130)/J127</f>
        <v>0.63952290353777019</v>
      </c>
      <c r="K133" s="2393"/>
      <c r="L133" s="2393"/>
      <c r="M133" s="2643"/>
      <c r="N133" s="578"/>
      <c r="O133" s="2642">
        <f>(O127-O130)/O127</f>
        <v>0.42580019398642094</v>
      </c>
      <c r="P133" s="2393"/>
      <c r="Q133" s="2393"/>
      <c r="R133" s="2643"/>
      <c r="S133" s="578"/>
      <c r="T133" s="2642" t="e">
        <f>(T127-T130)/T127</f>
        <v>#DIV/0!</v>
      </c>
      <c r="U133" s="2393"/>
      <c r="V133" s="2393"/>
      <c r="W133" s="2643"/>
      <c r="X133" s="578"/>
      <c r="Y133" s="2642" t="e">
        <f>(Y127-Y130)/Y127</f>
        <v>#DIV/0!</v>
      </c>
      <c r="Z133" s="2393"/>
      <c r="AA133" s="2393"/>
      <c r="AB133" s="2643"/>
      <c r="AC133" s="578"/>
      <c r="AD133" s="2642" t="e">
        <f>(AD127-AD130)/AD127</f>
        <v>#DIV/0!</v>
      </c>
      <c r="AE133" s="2393"/>
      <c r="AF133" s="2393"/>
      <c r="AG133" s="264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x14ac:dyDescent="0.3">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x14ac:dyDescent="0.3">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x14ac:dyDescent="0.3">
      <c r="A136" s="541"/>
      <c r="B136" s="540"/>
      <c r="C136" s="541"/>
      <c r="D136" s="541"/>
      <c r="E136" s="2445" t="e">
        <f>IF(((E133-0.1)*AW116)&gt;0,((E133-0.1)*AW116),0)</f>
        <v>#DIV/0!</v>
      </c>
      <c r="F136" s="2446"/>
      <c r="G136" s="2446"/>
      <c r="H136" s="2447"/>
      <c r="I136" s="578"/>
      <c r="J136" s="2445">
        <f>IF(((J133-0.1)*AW117)&gt;0,((J133-0.1)*AW117),0)</f>
        <v>0.52333721643163711</v>
      </c>
      <c r="K136" s="2446"/>
      <c r="L136" s="2446"/>
      <c r="M136" s="2447"/>
      <c r="N136" s="578"/>
      <c r="O136" s="2445">
        <f>IF(((O133-0.1)*AW118)&gt;0,((O133-0.1)*AW118),0)</f>
        <v>9.7740058195926269E-3</v>
      </c>
      <c r="P136" s="2446"/>
      <c r="Q136" s="2446"/>
      <c r="R136" s="2447"/>
      <c r="S136" s="578"/>
      <c r="T136" s="2445" t="e">
        <f>IF(((T133-0.1)*AW119)&gt;0,((T133-0.1)*AW119),0)</f>
        <v>#DIV/0!</v>
      </c>
      <c r="U136" s="2446"/>
      <c r="V136" s="2446"/>
      <c r="W136" s="2447"/>
      <c r="X136" s="578"/>
      <c r="Y136" s="2445" t="e">
        <f>IF(((Y133-0.1)*AW120)&gt;0,((Y133-0.1)*AW120),0)</f>
        <v>#DIV/0!</v>
      </c>
      <c r="Z136" s="2446"/>
      <c r="AA136" s="2446"/>
      <c r="AB136" s="2447"/>
      <c r="AC136" s="578"/>
      <c r="AD136" s="2445" t="e">
        <f>IF(((AD133-0.1)*AW121)&gt;0,((AD133-0.1)*AW121),0)</f>
        <v>#DIV/0!</v>
      </c>
      <c r="AE136" s="2446"/>
      <c r="AF136" s="2446"/>
      <c r="AG136" s="244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x14ac:dyDescent="0.3">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x14ac:dyDescent="0.3">
      <c r="A138" s="541"/>
      <c r="B138" s="540"/>
      <c r="C138" s="541"/>
      <c r="D138" s="541"/>
      <c r="E138" s="2642">
        <f>ROUNDDOWN(SUMIF(E136:AG136,"&gt;0"),2)</f>
        <v>0.53</v>
      </c>
      <c r="F138" s="2393"/>
      <c r="G138" s="2393"/>
      <c r="H138" s="264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x14ac:dyDescent="0.3">
      <c r="A139" s="541"/>
      <c r="B139" s="540"/>
      <c r="C139" s="541"/>
      <c r="D139" s="541"/>
      <c r="E139" s="2429">
        <f>IF((E138*100)&gt;10,10,E138*100)</f>
        <v>10</v>
      </c>
      <c r="F139" s="2430"/>
      <c r="G139" s="2430"/>
      <c r="H139" s="243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x14ac:dyDescent="0.25">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x14ac:dyDescent="0.25">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x14ac:dyDescent="0.25">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x14ac:dyDescent="0.3">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29">
        <f>E139</f>
        <v>10</v>
      </c>
      <c r="AL143" s="2430"/>
      <c r="AM143" s="2431"/>
      <c r="AN143" s="536"/>
    </row>
    <row r="144" spans="1:52" s="537" customFormat="1" ht="12.75" customHeight="1" thickBot="1" x14ac:dyDescent="0.3">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x14ac:dyDescent="0.3">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x14ac:dyDescent="0.3">
      <c r="A146" s="539" t="s">
        <v>1337</v>
      </c>
      <c r="AE146" s="2406" t="s">
        <v>1315</v>
      </c>
      <c r="AF146" s="2406"/>
      <c r="AG146" s="2406"/>
      <c r="AH146" s="2406"/>
      <c r="AI146" s="2406"/>
      <c r="AJ146" s="2406"/>
      <c r="AK146" s="2406"/>
      <c r="AL146" s="592"/>
      <c r="AN146" s="593"/>
      <c r="AO146" s="537"/>
    </row>
    <row r="147" spans="1:42" s="540" customFormat="1" ht="12.9" customHeight="1" x14ac:dyDescent="0.3">
      <c r="A147" s="539"/>
      <c r="AE147" s="592"/>
      <c r="AF147" s="592"/>
      <c r="AG147" s="592"/>
      <c r="AH147" s="592"/>
      <c r="AI147" s="592"/>
      <c r="AJ147" s="592"/>
      <c r="AK147" s="592"/>
      <c r="AL147" s="592"/>
      <c r="AN147" s="593"/>
    </row>
    <row r="148" spans="1:42" s="537" customFormat="1" ht="12.75" customHeight="1" x14ac:dyDescent="0.3">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1" t="s">
        <v>1339</v>
      </c>
      <c r="AG148" s="2441"/>
      <c r="AH148" s="2441"/>
      <c r="AI148" s="2441"/>
      <c r="AJ148" s="2441"/>
      <c r="AK148" s="2441"/>
      <c r="AL148" s="2441"/>
      <c r="AM148" s="540"/>
      <c r="AN148" s="536"/>
    </row>
    <row r="149" spans="1:42" s="537" customFormat="1" ht="12.75" customHeight="1" x14ac:dyDescent="0.3">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x14ac:dyDescent="0.3">
      <c r="A150" s="539"/>
      <c r="B150" s="2442" t="s">
        <v>2756</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40"/>
      <c r="AE150" s="595"/>
      <c r="AF150" s="595"/>
      <c r="AG150" s="595"/>
      <c r="AH150" s="595"/>
      <c r="AI150" s="595"/>
      <c r="AJ150" s="595"/>
      <c r="AK150" s="595"/>
      <c r="AL150" s="595"/>
      <c r="AM150" s="540"/>
      <c r="AN150" s="536"/>
      <c r="AP150" s="596"/>
    </row>
    <row r="151" spans="1:42" s="537" customFormat="1" ht="12.75" customHeight="1" x14ac:dyDescent="0.3">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x14ac:dyDescent="0.3">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x14ac:dyDescent="0.3">
      <c r="A153" s="539"/>
      <c r="B153" s="2468" t="s">
        <v>1342</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40"/>
      <c r="AN153" s="536"/>
      <c r="AO153" s="477" t="s">
        <v>1342</v>
      </c>
      <c r="AP153" s="490">
        <v>7</v>
      </c>
    </row>
    <row r="154" spans="1:42" s="537" customFormat="1" ht="12.9" customHeight="1" x14ac:dyDescent="0.3">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x14ac:dyDescent="0.3">
      <c r="A155" s="539"/>
      <c r="B155" s="540" t="s">
        <v>1343</v>
      </c>
      <c r="AB155" s="2469" t="s">
        <v>592</v>
      </c>
      <c r="AC155" s="2469"/>
      <c r="AD155" s="592"/>
      <c r="AM155" s="540"/>
      <c r="AN155" s="536"/>
      <c r="AO155" s="477"/>
      <c r="AP155" s="477"/>
    </row>
    <row r="156" spans="1:42" s="537" customFormat="1" ht="9" customHeight="1" x14ac:dyDescent="0.3">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x14ac:dyDescent="0.3">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x14ac:dyDescent="0.3">
      <c r="A158" s="539"/>
      <c r="B158" s="2468" t="s">
        <v>1344</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6"/>
      <c r="AO158" s="477" t="s">
        <v>1347</v>
      </c>
      <c r="AP158" s="490">
        <v>7</v>
      </c>
    </row>
    <row r="159" spans="1:42" s="537" customFormat="1" ht="12.75" customHeight="1" x14ac:dyDescent="0.3">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x14ac:dyDescent="0.3">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x14ac:dyDescent="0.3">
      <c r="B161" s="2629" t="s">
        <v>2480</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2"/>
      <c r="AM161" s="540"/>
      <c r="AN161" s="536"/>
      <c r="AO161" s="477"/>
      <c r="AP161" s="490"/>
    </row>
    <row r="162" spans="1:42" s="537" customFormat="1" ht="12.75" customHeight="1" x14ac:dyDescent="0.3">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2"/>
      <c r="AM162" s="540"/>
      <c r="AN162" s="536"/>
      <c r="AO162" s="477"/>
      <c r="AP162" s="490"/>
    </row>
    <row r="163" spans="1:42" s="537" customFormat="1" ht="12.75" customHeight="1" x14ac:dyDescent="0.3">
      <c r="C163" s="2532" t="s">
        <v>2481</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2"/>
      <c r="AM163" s="540"/>
      <c r="AN163" s="536"/>
      <c r="AO163" s="477"/>
      <c r="AP163" s="490"/>
    </row>
    <row r="164" spans="1:42" s="537" customFormat="1" ht="12.75" customHeight="1" x14ac:dyDescent="0.3">
      <c r="B164" s="1182"/>
      <c r="C164" s="2467" t="s">
        <v>2479</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2"/>
      <c r="AB164" s="1172"/>
      <c r="AC164" s="1172"/>
      <c r="AD164" s="1172"/>
      <c r="AE164" s="1172"/>
      <c r="AF164" s="1172"/>
      <c r="AG164" s="1172"/>
      <c r="AH164" s="1172"/>
      <c r="AJ164" s="2469" t="s">
        <v>592</v>
      </c>
      <c r="AK164" s="2469"/>
      <c r="AM164" s="540"/>
      <c r="AN164" s="536"/>
      <c r="AO164" s="477"/>
      <c r="AP164" s="490"/>
    </row>
    <row r="165" spans="1:42" s="537" customFormat="1" ht="12.75" customHeight="1" x14ac:dyDescent="0.3">
      <c r="AM165" s="540"/>
      <c r="AN165" s="536"/>
    </row>
    <row r="166" spans="1:42" s="551" customFormat="1" ht="12.75" customHeight="1" x14ac:dyDescent="0.3">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2">
        <f>IF($AB$155="N/A",VLOOKUP($B$153,$AO$151:$AP$154,2,FALSE),VLOOKUP($B$158,$AO$156:$AP$158,2,FALSE))</f>
        <v>7</v>
      </c>
      <c r="AK166" s="2472"/>
      <c r="AL166" s="596"/>
      <c r="AM166" s="537"/>
      <c r="AN166" s="599"/>
    </row>
    <row r="167" spans="1:42" s="551" customFormat="1" ht="12.75" customHeight="1" x14ac:dyDescent="0.25">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x14ac:dyDescent="0.3">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1" t="s">
        <v>1353</v>
      </c>
      <c r="AG168" s="2441"/>
      <c r="AH168" s="2441"/>
      <c r="AI168" s="2441"/>
      <c r="AJ168" s="2441"/>
      <c r="AK168" s="2441"/>
      <c r="AL168" s="2441"/>
      <c r="AM168" s="604"/>
      <c r="AN168" s="599"/>
    </row>
    <row r="169" spans="1:42" s="551" customFormat="1" ht="12.75" customHeight="1" x14ac:dyDescent="0.3">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x14ac:dyDescent="0.25">
      <c r="A170" s="537"/>
      <c r="B170" s="537"/>
      <c r="C170" s="2468" t="s">
        <v>1351</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7"/>
      <c r="AK170" s="537"/>
      <c r="AL170" s="537"/>
      <c r="AM170" s="604"/>
      <c r="AN170" s="598"/>
      <c r="AO170" s="477" t="s">
        <v>307</v>
      </c>
      <c r="AP170" s="477"/>
    </row>
    <row r="171" spans="1:42" s="551" customFormat="1" ht="12.9" customHeight="1" x14ac:dyDescent="0.25">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x14ac:dyDescent="0.3">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9" t="s">
        <v>592</v>
      </c>
      <c r="AG172" s="2469"/>
      <c r="AH172" s="537"/>
      <c r="AI172" s="537"/>
      <c r="AJ172" s="537"/>
      <c r="AK172" s="537"/>
      <c r="AL172" s="537"/>
      <c r="AM172" s="604"/>
      <c r="AN172" s="598"/>
      <c r="AO172" s="477" t="s">
        <v>1351</v>
      </c>
      <c r="AP172" s="600">
        <v>3</v>
      </c>
    </row>
    <row r="173" spans="1:42" s="551" customFormat="1" ht="9" customHeight="1" x14ac:dyDescent="0.25">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x14ac:dyDescent="0.25">
      <c r="A174" s="537"/>
      <c r="B174" s="537"/>
      <c r="C174" s="2468" t="s">
        <v>1344</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7"/>
      <c r="AF174" s="537"/>
      <c r="AG174" s="537"/>
      <c r="AH174" s="537"/>
      <c r="AI174" s="537"/>
      <c r="AJ174" s="537"/>
      <c r="AK174" s="537"/>
      <c r="AL174" s="537"/>
      <c r="AM174" s="604"/>
      <c r="AN174" s="598"/>
      <c r="AO174" s="603"/>
      <c r="AP174" s="600"/>
    </row>
    <row r="175" spans="1:42" s="551" customFormat="1" ht="12.75" customHeight="1" x14ac:dyDescent="0.3">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x14ac:dyDescent="0.25">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x14ac:dyDescent="0.3">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x14ac:dyDescent="0.25">
      <c r="A178" s="537"/>
      <c r="B178" s="537"/>
      <c r="C178" s="2470" t="str">
        <f>Application!AA335</f>
        <v>Thomas Safran &amp; Associates, Inc.</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7"/>
      <c r="AF178" s="537"/>
      <c r="AG178" s="537"/>
      <c r="AH178" s="537"/>
      <c r="AI178" s="537"/>
      <c r="AJ178" s="537"/>
      <c r="AK178" s="537"/>
      <c r="AL178" s="537"/>
      <c r="AM178" s="604"/>
      <c r="AN178" s="598"/>
      <c r="AO178" s="477" t="s">
        <v>1355</v>
      </c>
      <c r="AP178" s="600">
        <v>2</v>
      </c>
    </row>
    <row r="179" spans="1:73" s="551" customFormat="1" ht="12.75" customHeight="1" x14ac:dyDescent="0.25">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x14ac:dyDescent="0.3">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1">
        <f>IF($AF$172="N/A",VLOOKUP($C$170,$AO$170:$AP$173,2,FALSE),VLOOKUP($C$174,$AO$177:$AP$179,2,FALSE))</f>
        <v>3</v>
      </c>
      <c r="AK180" s="2471"/>
      <c r="AL180" s="609"/>
      <c r="AM180" s="610"/>
      <c r="AN180" s="598"/>
      <c r="AO180" s="603"/>
      <c r="AP180" s="600"/>
    </row>
    <row r="181" spans="1:73" s="551" customFormat="1" ht="12.75" customHeight="1" x14ac:dyDescent="0.25">
      <c r="A181" s="537"/>
      <c r="B181" s="611"/>
      <c r="R181" s="537"/>
      <c r="S181" s="611"/>
      <c r="AN181" s="598"/>
    </row>
    <row r="182" spans="1:73" s="551" customFormat="1" ht="12.75" customHeight="1" x14ac:dyDescent="0.2">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x14ac:dyDescent="0.3">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29">
        <f>$AJ$166+$AJ$180</f>
        <v>10</v>
      </c>
      <c r="AL183" s="2430"/>
      <c r="AM183" s="2431"/>
      <c r="AN183" s="598"/>
    </row>
    <row r="184" spans="1:73" s="551" customFormat="1" ht="12.75" customHeight="1" thickBot="1" x14ac:dyDescent="0.3">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x14ac:dyDescent="0.3">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x14ac:dyDescent="0.3">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6" t="s">
        <v>1315</v>
      </c>
      <c r="AF186" s="2406"/>
      <c r="AG186" s="2406"/>
      <c r="AH186" s="2406"/>
      <c r="AI186" s="2406"/>
      <c r="AJ186" s="2406"/>
      <c r="AK186" s="2406"/>
      <c r="AL186" s="592"/>
      <c r="AN186" s="598"/>
      <c r="AP186" s="551" t="s">
        <v>1042</v>
      </c>
      <c r="AQ186" s="551">
        <v>10</v>
      </c>
    </row>
    <row r="187" spans="1:73" s="551" customFormat="1" ht="12.75" customHeight="1" x14ac:dyDescent="0.3">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x14ac:dyDescent="0.25">
      <c r="A188" s="537"/>
      <c r="B188" s="2466" t="s">
        <v>1044</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7"/>
      <c r="AE188" s="537"/>
      <c r="AF188" s="2441" t="s">
        <v>1364</v>
      </c>
      <c r="AG188" s="2441"/>
      <c r="AH188" s="2441"/>
      <c r="AI188" s="2441"/>
      <c r="AJ188" s="2441"/>
      <c r="AK188" s="2441"/>
      <c r="AL188" s="2441"/>
      <c r="AN188" s="598"/>
      <c r="AP188" s="551" t="s">
        <v>1044</v>
      </c>
      <c r="AQ188" s="551">
        <v>10</v>
      </c>
    </row>
    <row r="189" spans="1:73" s="551" customFormat="1" ht="12.75" customHeight="1" x14ac:dyDescent="0.3">
      <c r="A189" s="537"/>
      <c r="B189" s="2467" t="s">
        <v>1727</v>
      </c>
      <c r="C189" s="2467"/>
      <c r="D189" s="2467"/>
      <c r="E189" s="2467"/>
      <c r="F189" s="2467"/>
      <c r="G189" s="2467"/>
      <c r="H189" s="2467"/>
      <c r="I189" s="2467"/>
      <c r="J189" s="2467"/>
      <c r="K189" s="2467"/>
      <c r="L189" s="2467"/>
      <c r="M189" s="2467"/>
      <c r="N189" s="2467"/>
      <c r="O189" s="2467"/>
      <c r="P189" s="2467"/>
      <c r="Q189" s="2467"/>
      <c r="R189" s="2467"/>
      <c r="S189" s="2467"/>
      <c r="T189" s="2442" t="s">
        <v>592</v>
      </c>
      <c r="U189" s="2442"/>
      <c r="V189" s="2442"/>
      <c r="W189" s="2442"/>
      <c r="X189" s="2442"/>
      <c r="Y189" s="2442"/>
      <c r="Z189" s="2442"/>
      <c r="AA189" s="2442"/>
      <c r="AB189" s="2442"/>
      <c r="AC189" s="2442"/>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x14ac:dyDescent="0.3">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x14ac:dyDescent="0.3">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6">
        <f>IF(AK84&gt;0,VLOOKUP($B$188,AP185:AQ191,2,FALSE),0)</f>
        <v>10</v>
      </c>
      <c r="AL191" s="2477"/>
      <c r="AM191" s="2478"/>
      <c r="AN191" s="536"/>
      <c r="AP191" s="551" t="s">
        <v>1370</v>
      </c>
      <c r="AQ191" s="551">
        <v>10</v>
      </c>
      <c r="AS191" s="551" t="s">
        <v>1369</v>
      </c>
    </row>
    <row r="192" spans="1:73" s="551" customFormat="1" ht="12.75" customHeight="1" thickBot="1" x14ac:dyDescent="0.3">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x14ac:dyDescent="0.3">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x14ac:dyDescent="0.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6" t="s">
        <v>1373</v>
      </c>
      <c r="AF194" s="2406"/>
      <c r="AG194" s="2406"/>
      <c r="AH194" s="2406"/>
      <c r="AI194" s="2406"/>
      <c r="AJ194" s="2406"/>
      <c r="AK194" s="2406"/>
    </row>
    <row r="195" spans="1:40" ht="13" x14ac:dyDescent="0.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x14ac:dyDescent="0.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x14ac:dyDescent="0.25">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x14ac:dyDescent="0.25">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x14ac:dyDescent="0.25">
      <c r="A199" s="606"/>
      <c r="B199" s="2453" t="s">
        <v>2713</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7"/>
      <c r="AD199" s="2454">
        <v>7458750</v>
      </c>
      <c r="AE199" s="2454"/>
      <c r="AF199" s="2454"/>
      <c r="AG199" s="2454"/>
      <c r="AH199" s="2454"/>
      <c r="AI199" s="2454"/>
      <c r="AJ199" s="2454"/>
      <c r="AK199" s="611"/>
    </row>
    <row r="200" spans="1:40" x14ac:dyDescent="0.25">
      <c r="A200" s="606"/>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7"/>
      <c r="AD200" s="2454"/>
      <c r="AE200" s="2454"/>
      <c r="AF200" s="2454"/>
      <c r="AG200" s="2454"/>
      <c r="AH200" s="2454"/>
      <c r="AI200" s="2454"/>
      <c r="AJ200" s="2454"/>
      <c r="AK200" s="611"/>
    </row>
    <row r="201" spans="1:40" x14ac:dyDescent="0.25">
      <c r="A201" s="606"/>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7"/>
      <c r="AD201" s="2454"/>
      <c r="AE201" s="2454"/>
      <c r="AF201" s="2454"/>
      <c r="AG201" s="2454"/>
      <c r="AH201" s="2454"/>
      <c r="AI201" s="2454"/>
      <c r="AJ201" s="2454"/>
      <c r="AK201" s="611"/>
    </row>
    <row r="202" spans="1:40" x14ac:dyDescent="0.25">
      <c r="A202" s="606"/>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7"/>
      <c r="AD202" s="2454"/>
      <c r="AE202" s="2454"/>
      <c r="AF202" s="2454"/>
      <c r="AG202" s="2454"/>
      <c r="AH202" s="2454"/>
      <c r="AI202" s="2454"/>
      <c r="AJ202" s="2454"/>
      <c r="AK202" s="611"/>
    </row>
    <row r="203" spans="1:40" x14ac:dyDescent="0.25">
      <c r="A203" s="606"/>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7"/>
      <c r="AD203" s="2454"/>
      <c r="AE203" s="2454"/>
      <c r="AF203" s="2454"/>
      <c r="AG203" s="2454"/>
      <c r="AH203" s="2454"/>
      <c r="AI203" s="2454"/>
      <c r="AJ203" s="2454"/>
      <c r="AK203" s="611"/>
    </row>
    <row r="204" spans="1:40" x14ac:dyDescent="0.25">
      <c r="A204" s="606"/>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7"/>
      <c r="AD204" s="2454"/>
      <c r="AE204" s="2454"/>
      <c r="AF204" s="2454"/>
      <c r="AG204" s="2454"/>
      <c r="AH204" s="2454"/>
      <c r="AI204" s="2454"/>
      <c r="AJ204" s="2454"/>
      <c r="AK204" s="611"/>
    </row>
    <row r="205" spans="1:40" x14ac:dyDescent="0.25">
      <c r="A205" s="606"/>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7"/>
      <c r="AD205" s="2454"/>
      <c r="AE205" s="2454"/>
      <c r="AF205" s="2454"/>
      <c r="AG205" s="2454"/>
      <c r="AH205" s="2454"/>
      <c r="AI205" s="2454"/>
      <c r="AJ205" s="2454"/>
      <c r="AK205" s="611"/>
    </row>
    <row r="206" spans="1:40" x14ac:dyDescent="0.25">
      <c r="A206" s="606"/>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7"/>
      <c r="AD206" s="2454"/>
      <c r="AE206" s="2454"/>
      <c r="AF206" s="2454"/>
      <c r="AG206" s="2454"/>
      <c r="AH206" s="2454"/>
      <c r="AI206" s="2454"/>
      <c r="AJ206" s="2454"/>
      <c r="AK206" s="611"/>
    </row>
    <row r="207" spans="1:40" x14ac:dyDescent="0.25">
      <c r="A207" s="606"/>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7"/>
      <c r="AD207" s="2454"/>
      <c r="AE207" s="2454"/>
      <c r="AF207" s="2454"/>
      <c r="AG207" s="2454"/>
      <c r="AH207" s="2454"/>
      <c r="AI207" s="2454"/>
      <c r="AJ207" s="2454"/>
      <c r="AK207" s="611"/>
    </row>
    <row r="208" spans="1:40" x14ac:dyDescent="0.25">
      <c r="A208" s="606"/>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7"/>
      <c r="AD208" s="2454"/>
      <c r="AE208" s="2454"/>
      <c r="AF208" s="2454"/>
      <c r="AG208" s="2454"/>
      <c r="AH208" s="2454"/>
      <c r="AI208" s="2454"/>
      <c r="AJ208" s="2454"/>
      <c r="AK208" s="611"/>
    </row>
    <row r="209" spans="1:37" x14ac:dyDescent="0.25">
      <c r="A209" s="606"/>
      <c r="B209" s="2464" t="s">
        <v>1628</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7"/>
      <c r="AD209" s="2483">
        <f>AB260</f>
        <v>14092511.867054306</v>
      </c>
      <c r="AE209" s="2483"/>
      <c r="AF209" s="2483"/>
      <c r="AG209" s="2483"/>
      <c r="AH209" s="2483"/>
      <c r="AI209" s="2483"/>
      <c r="AJ209" s="2483"/>
      <c r="AK209" s="611"/>
    </row>
    <row r="210" spans="1:37" x14ac:dyDescent="0.25">
      <c r="A210" s="606"/>
      <c r="B210" s="2610" t="s">
        <v>1591</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7"/>
      <c r="AD210" s="2484">
        <f>'Sources and Uses Budget'!B15</f>
        <v>0</v>
      </c>
      <c r="AE210" s="2484"/>
      <c r="AF210" s="2484"/>
      <c r="AG210" s="2484"/>
      <c r="AH210" s="2484"/>
      <c r="AI210" s="2484"/>
      <c r="AJ210" s="2484"/>
      <c r="AK210" s="611"/>
    </row>
    <row r="211" spans="1:37" ht="13" x14ac:dyDescent="0.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8">
        <f>SUM(AD199:AJ209)-AD210</f>
        <v>21551261.867054306</v>
      </c>
      <c r="AE211" s="2488"/>
      <c r="AF211" s="2488"/>
      <c r="AG211" s="2488"/>
      <c r="AH211" s="2488"/>
      <c r="AI211" s="2488"/>
      <c r="AJ211" s="2488"/>
      <c r="AK211" s="611"/>
    </row>
    <row r="212" spans="1:37" x14ac:dyDescent="0.25">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x14ac:dyDescent="0.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x14ac:dyDescent="0.25">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x14ac:dyDescent="0.25">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x14ac:dyDescent="0.25">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x14ac:dyDescent="0.25">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x14ac:dyDescent="0.25">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x14ac:dyDescent="0.25">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x14ac:dyDescent="0.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x14ac:dyDescent="0.25">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x14ac:dyDescent="0.25">
      <c r="A222" s="606"/>
      <c r="B222" s="849"/>
      <c r="C222" s="477"/>
      <c r="D222" s="477"/>
      <c r="I222" s="2457" t="s">
        <v>1608</v>
      </c>
      <c r="J222" s="2457"/>
      <c r="K222" s="2457"/>
      <c r="L222" s="537"/>
      <c r="M222" s="537"/>
      <c r="N222" s="537"/>
      <c r="O222" s="537"/>
      <c r="P222" s="537"/>
      <c r="Q222" s="537"/>
      <c r="R222" s="537"/>
      <c r="S222" s="537"/>
      <c r="T222" s="2645" t="s">
        <v>1602</v>
      </c>
      <c r="U222" s="2645"/>
      <c r="V222" s="2645"/>
      <c r="W222" s="2645"/>
      <c r="X222" s="2645"/>
      <c r="Y222" s="2645"/>
      <c r="Z222" s="850"/>
      <c r="AA222" s="490"/>
      <c r="AB222" s="2452" t="s">
        <v>1603</v>
      </c>
      <c r="AC222" s="2452"/>
      <c r="AD222" s="2452"/>
      <c r="AE222" s="2452"/>
      <c r="AF222" s="2452"/>
      <c r="AG222" s="2452"/>
      <c r="AH222" s="828"/>
      <c r="AI222" s="828"/>
      <c r="AJ222" s="828"/>
      <c r="AK222" s="611"/>
    </row>
    <row r="223" spans="1:37" x14ac:dyDescent="0.25">
      <c r="A223" s="606"/>
      <c r="B223" s="2455" t="s">
        <v>1588</v>
      </c>
      <c r="C223" s="2455"/>
      <c r="D223" s="2455"/>
      <c r="E223" s="2455"/>
      <c r="F223" s="2455"/>
      <c r="G223" s="2455"/>
      <c r="I223" s="2456" t="s">
        <v>1609</v>
      </c>
      <c r="J223" s="2456"/>
      <c r="K223" s="2456"/>
      <c r="L223" s="1009"/>
      <c r="N223" s="2462" t="s">
        <v>1604</v>
      </c>
      <c r="O223" s="2462"/>
      <c r="P223" s="2462"/>
      <c r="Q223" s="2462"/>
      <c r="R223" s="2462"/>
      <c r="T223" s="2462" t="s">
        <v>1605</v>
      </c>
      <c r="U223" s="2462"/>
      <c r="V223" s="2462"/>
      <c r="W223" s="2462"/>
      <c r="X223" s="2462"/>
      <c r="Y223" s="2462"/>
      <c r="Z223" s="851"/>
      <c r="AA223" s="490"/>
      <c r="AB223" s="2599" t="s">
        <v>1606</v>
      </c>
      <c r="AC223" s="2599"/>
      <c r="AD223" s="2599"/>
      <c r="AE223" s="2599"/>
      <c r="AF223" s="2599"/>
      <c r="AG223" s="2599"/>
      <c r="AH223" s="828"/>
      <c r="AI223" s="828"/>
      <c r="AJ223" s="828"/>
      <c r="AK223" s="611"/>
    </row>
    <row r="224" spans="1:37" x14ac:dyDescent="0.25">
      <c r="A224" s="606"/>
      <c r="B224" s="2459" t="s">
        <v>2757</v>
      </c>
      <c r="C224" s="2459"/>
      <c r="D224" s="2459"/>
      <c r="E224" s="2459"/>
      <c r="F224" s="2459"/>
      <c r="G224" s="2459"/>
      <c r="H224" s="853"/>
      <c r="I224" s="2458">
        <v>75</v>
      </c>
      <c r="J224" s="2458"/>
      <c r="K224" s="2458"/>
      <c r="L224" s="1009"/>
      <c r="N224" s="2463">
        <f>780-Application!Q832</f>
        <v>680</v>
      </c>
      <c r="O224" s="2463"/>
      <c r="P224" s="2463"/>
      <c r="Q224" s="2463"/>
      <c r="R224" s="2463"/>
      <c r="T224" s="2611">
        <f>'Subsidy Contract Calculation'!F4</f>
        <v>1996</v>
      </c>
      <c r="U224" s="2611"/>
      <c r="V224" s="2611"/>
      <c r="W224" s="2611"/>
      <c r="X224" s="2611"/>
      <c r="Y224" s="2611"/>
      <c r="Z224" s="852"/>
      <c r="AA224" s="852"/>
      <c r="AB224" s="2460">
        <f t="shared" ref="AB224:AB233" si="0">MAX(($T224-$N224)*$I224*12,0)</f>
        <v>1184400</v>
      </c>
      <c r="AC224" s="2460"/>
      <c r="AD224" s="2460"/>
      <c r="AE224" s="2460"/>
      <c r="AF224" s="2460"/>
      <c r="AG224" s="2460"/>
      <c r="AH224" s="828"/>
      <c r="AI224" s="828"/>
      <c r="AJ224" s="828"/>
      <c r="AK224" s="611"/>
    </row>
    <row r="225" spans="1:37" x14ac:dyDescent="0.25">
      <c r="A225" s="606"/>
      <c r="B225" s="2459" t="s">
        <v>2757</v>
      </c>
      <c r="C225" s="2459"/>
      <c r="D225" s="2459"/>
      <c r="E225" s="2459"/>
      <c r="F225" s="2459"/>
      <c r="G225" s="2459"/>
      <c r="I225" s="2458">
        <v>22</v>
      </c>
      <c r="J225" s="2458"/>
      <c r="K225" s="2458"/>
      <c r="L225" s="1009"/>
      <c r="N225" s="2463">
        <f>1040-Application!Q832</f>
        <v>940</v>
      </c>
      <c r="O225" s="2463"/>
      <c r="P225" s="2463"/>
      <c r="Q225" s="2463"/>
      <c r="R225" s="2463"/>
      <c r="T225" s="2611">
        <f>'Subsidy Contract Calculation'!F5</f>
        <v>1996</v>
      </c>
      <c r="U225" s="2611"/>
      <c r="V225" s="2611"/>
      <c r="W225" s="2611"/>
      <c r="X225" s="2611"/>
      <c r="Y225" s="2611"/>
      <c r="Z225" s="852"/>
      <c r="AA225" s="852"/>
      <c r="AB225" s="2460">
        <f t="shared" si="0"/>
        <v>278784</v>
      </c>
      <c r="AC225" s="2460"/>
      <c r="AD225" s="2460"/>
      <c r="AE225" s="2460"/>
      <c r="AF225" s="2460"/>
      <c r="AG225" s="2460"/>
      <c r="AH225" s="828"/>
      <c r="AI225" s="828"/>
      <c r="AJ225" s="828"/>
      <c r="AK225" s="611"/>
    </row>
    <row r="226" spans="1:37" x14ac:dyDescent="0.25">
      <c r="A226" s="606"/>
      <c r="B226" s="2459" t="s">
        <v>2758</v>
      </c>
      <c r="C226" s="2459"/>
      <c r="D226" s="2459"/>
      <c r="E226" s="2459"/>
      <c r="F226" s="2459"/>
      <c r="G226" s="2459"/>
      <c r="I226" s="2458">
        <v>3</v>
      </c>
      <c r="J226" s="2458"/>
      <c r="K226" s="2458"/>
      <c r="L226" s="1009"/>
      <c r="N226" s="2463">
        <f>1248-Application!U832</f>
        <v>1120</v>
      </c>
      <c r="O226" s="2463"/>
      <c r="P226" s="2463"/>
      <c r="Q226" s="2463"/>
      <c r="R226" s="2463"/>
      <c r="T226" s="2611">
        <f>'Subsidy Contract Calculation'!F7</f>
        <v>2538</v>
      </c>
      <c r="U226" s="2611"/>
      <c r="V226" s="2611"/>
      <c r="W226" s="2611"/>
      <c r="X226" s="2611"/>
      <c r="Y226" s="2611"/>
      <c r="Z226" s="852"/>
      <c r="AA226" s="852"/>
      <c r="AB226" s="2460">
        <f t="shared" si="0"/>
        <v>51048</v>
      </c>
      <c r="AC226" s="2460"/>
      <c r="AD226" s="2460"/>
      <c r="AE226" s="2460"/>
      <c r="AF226" s="2460"/>
      <c r="AG226" s="2460"/>
      <c r="AH226" s="828"/>
      <c r="AI226" s="828"/>
      <c r="AJ226" s="828"/>
      <c r="AK226" s="611"/>
    </row>
    <row r="227" spans="1:37" x14ac:dyDescent="0.25">
      <c r="A227" s="606"/>
      <c r="B227" s="2459" t="s">
        <v>1185</v>
      </c>
      <c r="C227" s="2459"/>
      <c r="D227" s="2459"/>
      <c r="E227" s="2459"/>
      <c r="F227" s="2459"/>
      <c r="G227" s="2459"/>
      <c r="I227" s="2458"/>
      <c r="J227" s="2458"/>
      <c r="K227" s="2458"/>
      <c r="L227" s="1009"/>
      <c r="N227" s="2463"/>
      <c r="O227" s="2463"/>
      <c r="P227" s="2463"/>
      <c r="Q227" s="2463"/>
      <c r="R227" s="2463"/>
      <c r="T227" s="2611"/>
      <c r="U227" s="2611"/>
      <c r="V227" s="2611"/>
      <c r="W227" s="2611"/>
      <c r="X227" s="2611"/>
      <c r="Y227" s="2611"/>
      <c r="Z227" s="852"/>
      <c r="AA227" s="852"/>
      <c r="AB227" s="2460">
        <f t="shared" si="0"/>
        <v>0</v>
      </c>
      <c r="AC227" s="2460"/>
      <c r="AD227" s="2460"/>
      <c r="AE227" s="2460"/>
      <c r="AF227" s="2460"/>
      <c r="AG227" s="2460"/>
      <c r="AH227" s="828"/>
      <c r="AI227" s="828"/>
      <c r="AJ227" s="828"/>
      <c r="AK227" s="611"/>
    </row>
    <row r="228" spans="1:37" x14ac:dyDescent="0.25">
      <c r="A228" s="606"/>
      <c r="B228" s="2459" t="s">
        <v>1185</v>
      </c>
      <c r="C228" s="2459"/>
      <c r="D228" s="2459"/>
      <c r="E228" s="2459"/>
      <c r="F228" s="2459"/>
      <c r="G228" s="2459"/>
      <c r="I228" s="2458"/>
      <c r="J228" s="2458"/>
      <c r="K228" s="2458"/>
      <c r="L228" s="1016"/>
      <c r="N228" s="2463"/>
      <c r="O228" s="2463"/>
      <c r="P228" s="2463"/>
      <c r="Q228" s="2463"/>
      <c r="R228" s="2463"/>
      <c r="T228" s="2611"/>
      <c r="U228" s="2611"/>
      <c r="V228" s="2611"/>
      <c r="W228" s="2611"/>
      <c r="X228" s="2611"/>
      <c r="Y228" s="2611"/>
      <c r="Z228" s="852"/>
      <c r="AA228" s="852"/>
      <c r="AB228" s="2460">
        <f t="shared" si="0"/>
        <v>0</v>
      </c>
      <c r="AC228" s="2460"/>
      <c r="AD228" s="2460"/>
      <c r="AE228" s="2460"/>
      <c r="AF228" s="2460"/>
      <c r="AG228" s="2460"/>
      <c r="AH228" s="828"/>
      <c r="AI228" s="828"/>
      <c r="AJ228" s="828"/>
      <c r="AK228" s="611"/>
    </row>
    <row r="229" spans="1:37" x14ac:dyDescent="0.25">
      <c r="A229" s="606"/>
      <c r="B229" s="2459" t="s">
        <v>1185</v>
      </c>
      <c r="C229" s="2459"/>
      <c r="D229" s="2459"/>
      <c r="E229" s="2459"/>
      <c r="F229" s="2459"/>
      <c r="G229" s="2459"/>
      <c r="I229" s="2458"/>
      <c r="J229" s="2458"/>
      <c r="K229" s="2458"/>
      <c r="L229" s="1016"/>
      <c r="N229" s="2463"/>
      <c r="O229" s="2463"/>
      <c r="P229" s="2463"/>
      <c r="Q229" s="2463"/>
      <c r="R229" s="2463"/>
      <c r="T229" s="2611"/>
      <c r="U229" s="2611"/>
      <c r="V229" s="2611"/>
      <c r="W229" s="2611"/>
      <c r="X229" s="2611"/>
      <c r="Y229" s="2611"/>
      <c r="Z229" s="852"/>
      <c r="AA229" s="852"/>
      <c r="AB229" s="2460">
        <f t="shared" si="0"/>
        <v>0</v>
      </c>
      <c r="AC229" s="2460"/>
      <c r="AD229" s="2460"/>
      <c r="AE229" s="2460"/>
      <c r="AF229" s="2460"/>
      <c r="AG229" s="2460"/>
      <c r="AH229" s="828"/>
      <c r="AI229" s="828"/>
      <c r="AJ229" s="828"/>
      <c r="AK229" s="611"/>
    </row>
    <row r="230" spans="1:37" x14ac:dyDescent="0.25">
      <c r="A230" s="606"/>
      <c r="B230" s="2459" t="s">
        <v>1185</v>
      </c>
      <c r="C230" s="2459"/>
      <c r="D230" s="2459"/>
      <c r="E230" s="2459"/>
      <c r="F230" s="2459"/>
      <c r="G230" s="2459"/>
      <c r="I230" s="2458"/>
      <c r="J230" s="2458"/>
      <c r="K230" s="2458"/>
      <c r="L230" s="1016"/>
      <c r="N230" s="2463"/>
      <c r="O230" s="2463"/>
      <c r="P230" s="2463"/>
      <c r="Q230" s="2463"/>
      <c r="R230" s="2463"/>
      <c r="T230" s="2611"/>
      <c r="U230" s="2611"/>
      <c r="V230" s="2611"/>
      <c r="W230" s="2611"/>
      <c r="X230" s="2611"/>
      <c r="Y230" s="2611"/>
      <c r="Z230" s="852"/>
      <c r="AA230" s="852"/>
      <c r="AB230" s="2460">
        <f t="shared" si="0"/>
        <v>0</v>
      </c>
      <c r="AC230" s="2460"/>
      <c r="AD230" s="2460"/>
      <c r="AE230" s="2460"/>
      <c r="AF230" s="2460"/>
      <c r="AG230" s="2460"/>
      <c r="AH230" s="828"/>
      <c r="AI230" s="828"/>
      <c r="AJ230" s="828"/>
      <c r="AK230" s="611"/>
    </row>
    <row r="231" spans="1:37" x14ac:dyDescent="0.25">
      <c r="A231" s="606"/>
      <c r="B231" s="2459" t="s">
        <v>1185</v>
      </c>
      <c r="C231" s="2459"/>
      <c r="D231" s="2459"/>
      <c r="E231" s="2459"/>
      <c r="F231" s="2459"/>
      <c r="G231" s="2459"/>
      <c r="I231" s="2458"/>
      <c r="J231" s="2458"/>
      <c r="K231" s="2458"/>
      <c r="L231" s="1016"/>
      <c r="N231" s="2463"/>
      <c r="O231" s="2463"/>
      <c r="P231" s="2463"/>
      <c r="Q231" s="2463"/>
      <c r="R231" s="2463"/>
      <c r="T231" s="2611"/>
      <c r="U231" s="2611"/>
      <c r="V231" s="2611"/>
      <c r="W231" s="2611"/>
      <c r="X231" s="2611"/>
      <c r="Y231" s="2611"/>
      <c r="Z231" s="852"/>
      <c r="AA231" s="852"/>
      <c r="AB231" s="2460">
        <f t="shared" si="0"/>
        <v>0</v>
      </c>
      <c r="AC231" s="2460"/>
      <c r="AD231" s="2460"/>
      <c r="AE231" s="2460"/>
      <c r="AF231" s="2460"/>
      <c r="AG231" s="2460"/>
      <c r="AH231" s="828"/>
      <c r="AI231" s="828"/>
      <c r="AJ231" s="828"/>
      <c r="AK231" s="611"/>
    </row>
    <row r="232" spans="1:37" x14ac:dyDescent="0.25">
      <c r="A232" s="606"/>
      <c r="B232" s="2459" t="s">
        <v>1185</v>
      </c>
      <c r="C232" s="2459"/>
      <c r="D232" s="2459"/>
      <c r="E232" s="2459"/>
      <c r="F232" s="2459"/>
      <c r="G232" s="2459"/>
      <c r="I232" s="2458"/>
      <c r="J232" s="2458"/>
      <c r="K232" s="2458"/>
      <c r="L232" s="1016"/>
      <c r="N232" s="2463"/>
      <c r="O232" s="2463"/>
      <c r="P232" s="2463"/>
      <c r="Q232" s="2463"/>
      <c r="R232" s="2463"/>
      <c r="T232" s="2611"/>
      <c r="U232" s="2611"/>
      <c r="V232" s="2611"/>
      <c r="W232" s="2611"/>
      <c r="X232" s="2611"/>
      <c r="Y232" s="2611"/>
      <c r="Z232" s="852"/>
      <c r="AA232" s="852"/>
      <c r="AB232" s="2460">
        <f t="shared" si="0"/>
        <v>0</v>
      </c>
      <c r="AC232" s="2460"/>
      <c r="AD232" s="2460"/>
      <c r="AE232" s="2460"/>
      <c r="AF232" s="2460"/>
      <c r="AG232" s="2460"/>
      <c r="AH232" s="828"/>
      <c r="AI232" s="828"/>
      <c r="AJ232" s="828"/>
      <c r="AK232" s="611"/>
    </row>
    <row r="233" spans="1:37" x14ac:dyDescent="0.25">
      <c r="A233" s="606"/>
      <c r="B233" s="2459" t="s">
        <v>1185</v>
      </c>
      <c r="C233" s="2459"/>
      <c r="D233" s="2459"/>
      <c r="E233" s="2459"/>
      <c r="F233" s="2459"/>
      <c r="G233" s="2459"/>
      <c r="I233" s="2461"/>
      <c r="J233" s="2461"/>
      <c r="K233" s="2461"/>
      <c r="L233" s="1016"/>
      <c r="N233" s="2463"/>
      <c r="O233" s="2463"/>
      <c r="P233" s="2463"/>
      <c r="Q233" s="2463"/>
      <c r="R233" s="2463"/>
      <c r="T233" s="2611"/>
      <c r="U233" s="2611"/>
      <c r="V233" s="2611"/>
      <c r="W233" s="2611"/>
      <c r="X233" s="2611"/>
      <c r="Y233" s="2611"/>
      <c r="Z233" s="852"/>
      <c r="AA233" s="852"/>
      <c r="AB233" s="2609">
        <f t="shared" si="0"/>
        <v>0</v>
      </c>
      <c r="AC233" s="2609"/>
      <c r="AD233" s="2609"/>
      <c r="AE233" s="2609"/>
      <c r="AF233" s="2609"/>
      <c r="AG233" s="2609"/>
      <c r="AH233" s="828"/>
      <c r="AI233" s="828"/>
      <c r="AJ233" s="828"/>
      <c r="AK233" s="611"/>
    </row>
    <row r="234" spans="1:37" x14ac:dyDescent="0.25">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0">
        <f>SUM(AB224:AB233)</f>
        <v>1514232</v>
      </c>
      <c r="AC234" s="2460"/>
      <c r="AD234" s="2460"/>
      <c r="AE234" s="2460"/>
      <c r="AF234" s="2460"/>
      <c r="AG234" s="2460"/>
      <c r="AH234" s="828"/>
      <c r="AI234" s="828"/>
      <c r="AJ234" s="828"/>
      <c r="AK234" s="611"/>
    </row>
    <row r="235" spans="1:37" x14ac:dyDescent="0.25">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x14ac:dyDescent="0.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x14ac:dyDescent="0.25">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x14ac:dyDescent="0.25">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x14ac:dyDescent="0.25">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x14ac:dyDescent="0.25">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2"/>
      <c r="AC240" s="2612"/>
      <c r="AD240" s="2612"/>
      <c r="AE240" s="2612"/>
      <c r="AF240" s="2612"/>
      <c r="AG240" s="2612"/>
      <c r="AH240" s="611"/>
      <c r="AI240" s="611"/>
      <c r="AJ240" s="611"/>
      <c r="AK240" s="611"/>
    </row>
    <row r="241" spans="1:37" ht="13" x14ac:dyDescent="0.25">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x14ac:dyDescent="0.25">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x14ac:dyDescent="0.25">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2"/>
      <c r="AC243" s="2612"/>
      <c r="AD243" s="2612"/>
      <c r="AE243" s="2612"/>
      <c r="AF243" s="2612"/>
      <c r="AG243" s="2612"/>
      <c r="AH243" s="611"/>
      <c r="AI243" s="611"/>
      <c r="AJ243" s="611"/>
      <c r="AK243" s="611"/>
    </row>
    <row r="244" spans="1:37" x14ac:dyDescent="0.25">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4"/>
      <c r="AC244" s="2644"/>
      <c r="AD244" s="2644"/>
      <c r="AE244" s="2644"/>
      <c r="AF244" s="2644"/>
      <c r="AG244" s="2644"/>
      <c r="AH244" s="611"/>
      <c r="AI244" s="611"/>
      <c r="AJ244" s="611"/>
      <c r="AK244" s="611"/>
    </row>
    <row r="245" spans="1:37" x14ac:dyDescent="0.25">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6">
        <f>IFERROR(AB243/AB244,0)</f>
        <v>0</v>
      </c>
      <c r="AC245" s="2626"/>
      <c r="AD245" s="2626"/>
      <c r="AE245" s="2626"/>
      <c r="AF245" s="2626"/>
      <c r="AG245" s="2626"/>
      <c r="AH245" s="611"/>
      <c r="AI245" s="611"/>
      <c r="AJ245" s="611"/>
      <c r="AK245" s="611"/>
    </row>
    <row r="246" spans="1:37" x14ac:dyDescent="0.25">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x14ac:dyDescent="0.25">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9">
        <f>MAX(AB240,AB245)</f>
        <v>0</v>
      </c>
      <c r="AC247" s="2609"/>
      <c r="AD247" s="2609"/>
      <c r="AE247" s="2609"/>
      <c r="AF247" s="2609"/>
      <c r="AG247" s="2609"/>
      <c r="AH247" s="611"/>
      <c r="AI247" s="611"/>
      <c r="AJ247" s="611"/>
      <c r="AK247" s="611"/>
    </row>
    <row r="248" spans="1:37" x14ac:dyDescent="0.25">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x14ac:dyDescent="0.25">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x14ac:dyDescent="0.25">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0">
        <f>AB234+AB247</f>
        <v>1514232</v>
      </c>
      <c r="AC250" s="2460"/>
      <c r="AD250" s="2460"/>
      <c r="AE250" s="2460"/>
      <c r="AF250" s="2460"/>
      <c r="AG250" s="2460"/>
      <c r="AH250" s="611"/>
      <c r="AI250" s="611"/>
      <c r="AJ250" s="611"/>
      <c r="AK250" s="611"/>
    </row>
    <row r="251" spans="1:37" x14ac:dyDescent="0.25">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2">
        <v>0.05</v>
      </c>
      <c r="AC251" s="2492"/>
      <c r="AD251" s="2492"/>
      <c r="AE251" s="2492"/>
      <c r="AF251" s="2492"/>
      <c r="AG251" s="2492"/>
      <c r="AH251" s="611"/>
      <c r="AI251" s="611"/>
      <c r="AJ251" s="611"/>
      <c r="AK251" s="611"/>
    </row>
    <row r="252" spans="1:37" x14ac:dyDescent="0.25">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3">
        <f>AB250-(AB250*AB251)</f>
        <v>1438520.4</v>
      </c>
      <c r="AC252" s="2493"/>
      <c r="AD252" s="2493"/>
      <c r="AE252" s="2493"/>
      <c r="AF252" s="2493"/>
      <c r="AG252" s="2493"/>
      <c r="AH252" s="611"/>
      <c r="AI252" s="611"/>
      <c r="AJ252" s="611"/>
      <c r="AK252" s="611"/>
    </row>
    <row r="253" spans="1:37" x14ac:dyDescent="0.25">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x14ac:dyDescent="0.25">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0">
        <f>AB252/AB258</f>
        <v>1250887.3043478262</v>
      </c>
      <c r="AC254" s="2460"/>
      <c r="AD254" s="2460"/>
      <c r="AE254" s="2460"/>
      <c r="AF254" s="2460"/>
      <c r="AG254" s="2460"/>
      <c r="AH254" s="611"/>
      <c r="AI254" s="611"/>
      <c r="AJ254" s="611"/>
      <c r="AK254" s="611"/>
    </row>
    <row r="255" spans="1:37" x14ac:dyDescent="0.25">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x14ac:dyDescent="0.25">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2">
        <v>15</v>
      </c>
      <c r="AC256" s="2452"/>
      <c r="AD256" s="2452"/>
      <c r="AE256" s="2452"/>
      <c r="AF256" s="2452"/>
      <c r="AG256" s="2452"/>
      <c r="AH256" s="611"/>
      <c r="AI256" s="611"/>
      <c r="AJ256" s="611"/>
      <c r="AK256" s="611"/>
    </row>
    <row r="257" spans="1:37" x14ac:dyDescent="0.25">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4">
        <v>0.04</v>
      </c>
      <c r="AC257" s="2494"/>
      <c r="AD257" s="2494"/>
      <c r="AE257" s="2494"/>
      <c r="AF257" s="2494"/>
      <c r="AG257" s="2494"/>
      <c r="AH257" s="611"/>
      <c r="AI257" s="611"/>
      <c r="AJ257" s="611"/>
      <c r="AK257" s="611"/>
    </row>
    <row r="258" spans="1:37" x14ac:dyDescent="0.25">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5">
        <v>1.1499999999999999</v>
      </c>
      <c r="AC258" s="2465"/>
      <c r="AD258" s="2465"/>
      <c r="AE258" s="2465"/>
      <c r="AF258" s="2465"/>
      <c r="AG258" s="2465"/>
      <c r="AH258" s="611"/>
      <c r="AI258" s="611"/>
      <c r="AJ258" s="611"/>
      <c r="AK258" s="611"/>
    </row>
    <row r="259" spans="1:37" x14ac:dyDescent="0.25">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x14ac:dyDescent="0.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5">
        <f>PV(AB257/12,AB256*12,-AB254/12, ,0)</f>
        <v>14092511.867054306</v>
      </c>
      <c r="AC260" s="2486"/>
      <c r="AD260" s="2486"/>
      <c r="AE260" s="2486"/>
      <c r="AF260" s="2486"/>
      <c r="AG260" s="2487"/>
      <c r="AH260" s="611"/>
      <c r="AI260" s="611"/>
      <c r="AJ260" s="611"/>
      <c r="AK260" s="611"/>
    </row>
    <row r="261" spans="1:37" ht="13" x14ac:dyDescent="0.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x14ac:dyDescent="0.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x14ac:dyDescent="0.25">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x14ac:dyDescent="0.25">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x14ac:dyDescent="0.25">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x14ac:dyDescent="0.25">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9">
        <f>IFERROR(('Sources and Uses Budget'!D105/'Sources and Uses Budget'!B105),0)</f>
        <v>0</v>
      </c>
      <c r="AC266" s="2490"/>
      <c r="AD266" s="2490"/>
      <c r="AE266" s="2490"/>
      <c r="AF266" s="2490"/>
      <c r="AG266" s="2491"/>
      <c r="AH266" s="857"/>
      <c r="AI266" s="857"/>
      <c r="AJ266" s="857"/>
      <c r="AK266" s="611"/>
    </row>
    <row r="267" spans="1:37" x14ac:dyDescent="0.25">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x14ac:dyDescent="0.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9">
        <f>AD211*(1-AB266)</f>
        <v>21551261.867054306</v>
      </c>
      <c r="AH268" s="2479"/>
      <c r="AI268" s="2479"/>
      <c r="AJ268" s="2479"/>
      <c r="AK268" s="2479"/>
    </row>
    <row r="269" spans="1:37" x14ac:dyDescent="0.25">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9">
        <f>'Sources and Uses Budget'!C105</f>
        <v>77057767</v>
      </c>
      <c r="AH269" s="2479"/>
      <c r="AI269" s="2479"/>
      <c r="AJ269" s="2479"/>
      <c r="AK269" s="2479"/>
    </row>
    <row r="270" spans="1:37" x14ac:dyDescent="0.25">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0">
        <f>ROUNDDOWN(IF(AND(C292="Yes",AK84=10),((AG268*2)/AG269),AG268/AG269),2)</f>
        <v>0.55000000000000004</v>
      </c>
      <c r="AH270" s="2480"/>
      <c r="AI270" s="2480"/>
      <c r="AJ270" s="2480"/>
      <c r="AK270" s="2480"/>
    </row>
    <row r="271" spans="1:37" ht="13" x14ac:dyDescent="0.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x14ac:dyDescent="0.25">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x14ac:dyDescent="0.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1">
        <f>IFERROR(IF(AG270=0,0,IF((AG270*100)&gt;8,8,(AG270*100))),0)</f>
        <v>8</v>
      </c>
      <c r="AL273" s="2481"/>
      <c r="AM273" s="2482"/>
    </row>
    <row r="274" spans="1:52" ht="13" thickBot="1" x14ac:dyDescent="0.3"/>
    <row r="275" spans="1:52" s="551" customFormat="1" ht="12.75" customHeight="1" thickTop="1" x14ac:dyDescent="0.3">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x14ac:dyDescent="0.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x14ac:dyDescent="0.3">
      <c r="A277" s="592"/>
      <c r="AI277" s="552"/>
      <c r="AJ277" s="551"/>
      <c r="AK277" s="551"/>
      <c r="AL277" s="551"/>
      <c r="AM277" s="551"/>
      <c r="AO277" s="551"/>
    </row>
    <row r="278" spans="1:52" ht="13.65" customHeight="1" x14ac:dyDescent="0.25">
      <c r="A278" s="551"/>
      <c r="B278" s="597"/>
      <c r="C278" s="2473" t="s">
        <v>546</v>
      </c>
      <c r="D278" s="2473"/>
      <c r="E278" s="548"/>
      <c r="F278" s="2630" t="s">
        <v>2027</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1"/>
      <c r="AF278" s="636"/>
      <c r="AG278" s="2474" t="s">
        <v>1364</v>
      </c>
      <c r="AH278" s="2474"/>
      <c r="AI278" s="2474"/>
      <c r="AJ278" s="2474"/>
      <c r="AK278" s="551"/>
      <c r="AL278" s="551"/>
      <c r="AM278" s="551"/>
      <c r="AO278" s="551"/>
    </row>
    <row r="279" spans="1:52" ht="13.65" customHeight="1" x14ac:dyDescent="0.25">
      <c r="A279" s="551"/>
      <c r="B279" s="597"/>
      <c r="C279" s="637"/>
      <c r="D279" s="551"/>
      <c r="E279" s="548"/>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1"/>
      <c r="AF279" s="636"/>
      <c r="AG279" s="636"/>
      <c r="AH279" s="636"/>
      <c r="AI279" s="636"/>
      <c r="AJ279" s="551"/>
      <c r="AK279" s="551"/>
      <c r="AL279" s="551"/>
      <c r="AM279" s="551"/>
      <c r="AO279" s="551"/>
    </row>
    <row r="280" spans="1:52" x14ac:dyDescent="0.25">
      <c r="A280" s="551"/>
      <c r="B280" s="597"/>
      <c r="C280" s="637"/>
      <c r="D280" s="551"/>
      <c r="E280" s="548"/>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1"/>
      <c r="AF280" s="636"/>
      <c r="AG280" s="636"/>
      <c r="AH280" s="636"/>
      <c r="AI280" s="636"/>
      <c r="AJ280" s="551"/>
      <c r="AK280" s="551"/>
      <c r="AL280" s="551"/>
      <c r="AM280" s="551"/>
      <c r="AO280" s="551"/>
      <c r="AP280" s="638"/>
    </row>
    <row r="281" spans="1:52" x14ac:dyDescent="0.25">
      <c r="A281" s="551"/>
      <c r="B281" s="597"/>
      <c r="C281" s="637"/>
      <c r="D281" s="551"/>
      <c r="E281" s="548"/>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1"/>
      <c r="AF281" s="636"/>
      <c r="AG281" s="636"/>
      <c r="AH281" s="636"/>
      <c r="AI281" s="636"/>
      <c r="AJ281" s="551"/>
      <c r="AK281" s="551"/>
      <c r="AL281" s="551"/>
      <c r="AM281" s="551"/>
      <c r="AO281" s="551"/>
      <c r="AP281" s="638"/>
    </row>
    <row r="282" spans="1:52" ht="13.65" customHeight="1" x14ac:dyDescent="0.25">
      <c r="A282" s="551"/>
      <c r="B282" s="597"/>
      <c r="C282" s="2475"/>
      <c r="D282" s="2475"/>
      <c r="E282" s="548"/>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1"/>
      <c r="AF282" s="636"/>
      <c r="AG282" s="2474"/>
      <c r="AH282" s="2474"/>
      <c r="AI282" s="2474"/>
      <c r="AJ282" s="2474"/>
      <c r="AK282" s="551"/>
      <c r="AL282" s="551"/>
      <c r="AM282" s="551"/>
    </row>
    <row r="283" spans="1:52" ht="13.65" hidden="1" customHeight="1" x14ac:dyDescent="0.25">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x14ac:dyDescent="0.25">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x14ac:dyDescent="0.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1">
        <f>IF($C$278="yes",10,0)</f>
        <v>10</v>
      </c>
      <c r="AL285" s="2481"/>
      <c r="AM285" s="2482"/>
      <c r="AN285" s="73"/>
    </row>
    <row r="286" spans="1:52" ht="13" thickBot="1" x14ac:dyDescent="0.3"/>
    <row r="287" spans="1:52" ht="13" thickTop="1" x14ac:dyDescent="0.25">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x14ac:dyDescent="0.3">
      <c r="A288" s="539" t="s">
        <v>1381</v>
      </c>
      <c r="B288" s="539" t="s">
        <v>1855</v>
      </c>
      <c r="AH288" s="592" t="s">
        <v>1315</v>
      </c>
    </row>
    <row r="289" spans="1:49" ht="15" customHeight="1" x14ac:dyDescent="0.3">
      <c r="B289" s="540"/>
    </row>
    <row r="290" spans="1:49" ht="15" customHeight="1" x14ac:dyDescent="0.3">
      <c r="B290" s="540" t="s">
        <v>1729</v>
      </c>
    </row>
    <row r="291" spans="1:49" ht="13" x14ac:dyDescent="0.25">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x14ac:dyDescent="0.3">
      <c r="A292" s="1626" t="s">
        <v>1383</v>
      </c>
      <c r="B292" s="1626"/>
      <c r="C292" s="2469" t="s">
        <v>546</v>
      </c>
      <c r="D292" s="2473"/>
      <c r="E292" s="548"/>
      <c r="F292" s="2501" t="s">
        <v>1384</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2020</v>
      </c>
      <c r="AH292" s="2504"/>
      <c r="AI292" s="2504"/>
      <c r="AJ292" s="2504"/>
      <c r="AK292" s="2504"/>
      <c r="AL292" s="551"/>
      <c r="AM292" s="551"/>
      <c r="AN292" s="73"/>
      <c r="AO292" s="14"/>
      <c r="AP292" s="30"/>
      <c r="AS292" s="571"/>
      <c r="AT292" s="571"/>
      <c r="AU292" s="571"/>
      <c r="AV292" s="32"/>
      <c r="AW292" s="32"/>
    </row>
    <row r="293" spans="1:49" ht="13" x14ac:dyDescent="0.25">
      <c r="A293" s="641"/>
      <c r="B293" s="597"/>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x14ac:dyDescent="0.25">
      <c r="A294" s="641"/>
      <c r="B294" s="597"/>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x14ac:dyDescent="0.25">
      <c r="A295" s="641"/>
      <c r="B295" s="597"/>
      <c r="F295" s="2495" t="s">
        <v>2028</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3"/>
      <c r="AF295" s="552"/>
      <c r="AH295" s="552"/>
      <c r="AI295" s="552"/>
      <c r="AJ295" s="551"/>
      <c r="AK295" s="551"/>
      <c r="AL295" s="551"/>
      <c r="AM295" s="551"/>
      <c r="AN295" s="73"/>
      <c r="AO295" s="14"/>
      <c r="AP295" s="612">
        <f>MAX(AP293,AP294)</f>
        <v>10</v>
      </c>
      <c r="AQ295" s="575" t="s">
        <v>1317</v>
      </c>
      <c r="AS295" s="571"/>
      <c r="AT295" s="571"/>
      <c r="AU295" s="571"/>
      <c r="AV295" s="32"/>
      <c r="AW295" s="32"/>
    </row>
    <row r="296" spans="1:49" ht="13" x14ac:dyDescent="0.25">
      <c r="A296" s="641"/>
      <c r="B296" s="597"/>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3"/>
      <c r="AF296" s="552"/>
      <c r="AH296" s="552"/>
      <c r="AI296" s="552"/>
      <c r="AJ296" s="551"/>
      <c r="AK296" s="551"/>
      <c r="AL296" s="551"/>
      <c r="AM296" s="551"/>
      <c r="AN296" s="73"/>
      <c r="AO296" s="14"/>
      <c r="AP296" s="551"/>
      <c r="AS296" s="571"/>
      <c r="AT296" s="571"/>
      <c r="AU296" s="571"/>
      <c r="AV296" s="32"/>
      <c r="AW296" s="32"/>
    </row>
    <row r="297" spans="1:49" ht="12.75" customHeight="1" x14ac:dyDescent="0.25">
      <c r="A297" s="551"/>
      <c r="B297" s="552"/>
      <c r="C297" s="551"/>
      <c r="D297" s="552"/>
      <c r="E297" s="551"/>
      <c r="F297" s="2495" t="s">
        <v>1385</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3"/>
      <c r="AF297" s="552"/>
      <c r="AG297" s="552"/>
      <c r="AH297" s="552"/>
      <c r="AI297" s="552"/>
      <c r="AJ297" s="551"/>
      <c r="AK297" s="551"/>
      <c r="AL297" s="551"/>
      <c r="AM297" s="551"/>
      <c r="AN297" s="73"/>
      <c r="AO297" s="14"/>
      <c r="AS297" s="571"/>
      <c r="AT297" s="571"/>
      <c r="AU297" s="571"/>
      <c r="AV297" s="32"/>
      <c r="AW297" s="32"/>
    </row>
    <row r="298" spans="1:49" ht="15" customHeight="1" x14ac:dyDescent="0.25">
      <c r="A298" s="551"/>
      <c r="B298" s="552"/>
      <c r="C298" s="552"/>
      <c r="D298" s="552"/>
      <c r="E298" s="552"/>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3"/>
      <c r="AF298" s="552"/>
      <c r="AG298" s="552"/>
      <c r="AH298" s="552"/>
      <c r="AI298" s="552"/>
      <c r="AJ298" s="551"/>
      <c r="AK298" s="551"/>
      <c r="AL298" s="551"/>
      <c r="AM298" s="551"/>
      <c r="AN298" s="73"/>
      <c r="AO298" s="14"/>
      <c r="AS298" s="571"/>
      <c r="AT298" s="571"/>
      <c r="AU298" s="571"/>
      <c r="AV298" s="32"/>
      <c r="AW298" s="32"/>
    </row>
    <row r="299" spans="1:49" ht="12.75" customHeight="1" x14ac:dyDescent="0.25">
      <c r="A299" s="551"/>
      <c r="B299" s="552"/>
      <c r="C299" s="552"/>
      <c r="D299" s="552"/>
      <c r="E299" s="552"/>
      <c r="F299" s="2495" t="s">
        <v>1386</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4"/>
      <c r="AF299" s="552"/>
      <c r="AG299" s="552"/>
      <c r="AH299" s="552"/>
      <c r="AI299" s="552"/>
      <c r="AJ299" s="551"/>
      <c r="AK299" s="551"/>
      <c r="AL299" s="551"/>
      <c r="AM299" s="551"/>
      <c r="AN299" s="73"/>
      <c r="AO299" s="14"/>
      <c r="AP299" s="551"/>
      <c r="AS299" s="571"/>
      <c r="AT299" s="571"/>
      <c r="AU299" s="571"/>
      <c r="AV299" s="32"/>
      <c r="AW299" s="32"/>
    </row>
    <row r="300" spans="1:49" x14ac:dyDescent="0.25">
      <c r="A300" s="551"/>
      <c r="B300" s="552"/>
      <c r="C300" s="552"/>
      <c r="D300" s="552"/>
      <c r="E300" s="552"/>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4"/>
      <c r="AF300" s="552"/>
      <c r="AG300" s="552"/>
      <c r="AH300" s="552"/>
      <c r="AI300" s="552"/>
      <c r="AJ300" s="551"/>
      <c r="AK300" s="551"/>
      <c r="AL300" s="551"/>
      <c r="AM300" s="551"/>
      <c r="AN300" s="73"/>
      <c r="AO300" s="14"/>
      <c r="AP300" s="551"/>
      <c r="AS300" s="571"/>
      <c r="AT300" s="571"/>
      <c r="AU300" s="571"/>
      <c r="AV300" s="32"/>
      <c r="AW300" s="32"/>
    </row>
    <row r="301" spans="1:49" x14ac:dyDescent="0.25">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x14ac:dyDescent="0.3">
      <c r="A302" s="1626" t="s">
        <v>1387</v>
      </c>
      <c r="B302" s="1626"/>
      <c r="C302" s="2473" t="s">
        <v>592</v>
      </c>
      <c r="D302" s="2473"/>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x14ac:dyDescent="0.25">
      <c r="A303" s="551"/>
      <c r="B303" s="552"/>
      <c r="C303" s="551"/>
      <c r="D303" s="552"/>
      <c r="E303" s="551"/>
      <c r="F303" s="2403" t="s">
        <v>2022</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2"/>
      <c r="AF303" s="552"/>
      <c r="AG303" s="552"/>
      <c r="AH303" s="552"/>
      <c r="AI303" s="552"/>
      <c r="AJ303" s="551"/>
      <c r="AK303" s="551"/>
      <c r="AL303" s="551"/>
      <c r="AM303" s="551"/>
      <c r="AR303" s="649"/>
    </row>
    <row r="304" spans="1:49" ht="15" customHeight="1" x14ac:dyDescent="0.25">
      <c r="A304" s="551"/>
      <c r="B304" s="552"/>
      <c r="C304" s="551"/>
      <c r="D304" s="552"/>
      <c r="E304" s="551"/>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2"/>
      <c r="AF304" s="552"/>
      <c r="AG304" s="552"/>
      <c r="AH304" s="552"/>
      <c r="AI304" s="552"/>
      <c r="AJ304" s="551"/>
      <c r="AK304" s="551"/>
      <c r="AL304" s="551"/>
      <c r="AM304" s="551"/>
      <c r="AR304" s="649"/>
    </row>
    <row r="305" spans="1:44" x14ac:dyDescent="0.25">
      <c r="A305" s="551"/>
      <c r="B305" s="552"/>
      <c r="C305" s="551"/>
      <c r="D305" s="552"/>
      <c r="E305" s="551"/>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2"/>
      <c r="AF305" s="552"/>
      <c r="AG305" s="552"/>
      <c r="AH305" s="552"/>
      <c r="AI305" s="552"/>
      <c r="AJ305" s="551"/>
      <c r="AK305" s="551"/>
      <c r="AL305" s="551"/>
      <c r="AM305" s="551"/>
      <c r="AP305" s="612"/>
      <c r="AQ305" s="575"/>
      <c r="AR305" s="649"/>
    </row>
    <row r="306" spans="1:44" ht="15" customHeight="1" x14ac:dyDescent="0.25">
      <c r="A306" s="551"/>
      <c r="B306" s="552"/>
      <c r="C306" s="551"/>
      <c r="D306" s="552"/>
      <c r="E306" s="551"/>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2"/>
      <c r="AF306" s="552"/>
      <c r="AG306" s="552"/>
      <c r="AH306" s="552"/>
      <c r="AI306" s="552"/>
      <c r="AJ306" s="551"/>
      <c r="AK306" s="551"/>
      <c r="AL306" s="551"/>
      <c r="AM306" s="551"/>
      <c r="AP306" s="612"/>
      <c r="AQ306" s="575"/>
      <c r="AR306" s="649"/>
    </row>
    <row r="307" spans="1:44" x14ac:dyDescent="0.25">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x14ac:dyDescent="0.25">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x14ac:dyDescent="0.25">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x14ac:dyDescent="0.3">
      <c r="A310" s="1626" t="s">
        <v>1390</v>
      </c>
      <c r="B310" s="1626"/>
      <c r="C310" s="2473" t="s">
        <v>592</v>
      </c>
      <c r="D310" s="2473"/>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x14ac:dyDescent="0.3">
      <c r="A311" s="89"/>
      <c r="B311" s="89"/>
      <c r="C311" s="731"/>
      <c r="D311" s="731"/>
      <c r="E311" s="548"/>
      <c r="F311" s="2495" t="s">
        <v>2029</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2"/>
      <c r="AF311" s="552"/>
      <c r="AG311" s="540"/>
      <c r="AH311" s="552"/>
      <c r="AI311" s="552"/>
      <c r="AJ311" s="551"/>
      <c r="AK311" s="551"/>
      <c r="AL311" s="551"/>
      <c r="AM311" s="551"/>
      <c r="AN311" s="73"/>
      <c r="AO311" s="14"/>
      <c r="AP311" s="558" t="s">
        <v>1185</v>
      </c>
    </row>
    <row r="312" spans="1:44" hidden="1" x14ac:dyDescent="0.25">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2"/>
      <c r="AF312" s="552"/>
      <c r="AH312" s="552"/>
      <c r="AI312" s="552"/>
      <c r="AJ312" s="551"/>
      <c r="AK312" s="551"/>
      <c r="AL312" s="551"/>
      <c r="AM312" s="551"/>
      <c r="AN312" s="73"/>
      <c r="AO312" s="14"/>
      <c r="AP312" s="558" t="s">
        <v>1731</v>
      </c>
    </row>
    <row r="313" spans="1:44" ht="13" hidden="1" x14ac:dyDescent="0.3">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x14ac:dyDescent="0.3">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x14ac:dyDescent="0.3">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x14ac:dyDescent="0.25">
      <c r="A316" s="551"/>
      <c r="B316" s="552"/>
      <c r="C316" s="731"/>
      <c r="D316" s="731"/>
      <c r="E316" s="548"/>
      <c r="F316" s="2505" t="s">
        <v>1185</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3"/>
      <c r="AF316" s="643"/>
      <c r="AG316" s="643"/>
      <c r="AH316" s="643"/>
      <c r="AI316" s="643"/>
      <c r="AJ316" s="643"/>
      <c r="AK316" s="643"/>
      <c r="AL316" s="551"/>
      <c r="AM316" s="551"/>
      <c r="AN316" s="73"/>
      <c r="AO316" s="14"/>
      <c r="AP316" s="30"/>
    </row>
    <row r="317" spans="1:44" ht="13" hidden="1" x14ac:dyDescent="0.3">
      <c r="A317" s="551"/>
      <c r="B317" s="552"/>
      <c r="C317" s="731"/>
      <c r="D317" s="731"/>
      <c r="E317" s="548"/>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2"/>
      <c r="AF317" s="552"/>
      <c r="AG317" s="540"/>
      <c r="AH317" s="552"/>
      <c r="AI317" s="552"/>
      <c r="AJ317" s="551"/>
      <c r="AK317" s="551"/>
      <c r="AL317" s="551"/>
      <c r="AM317" s="551"/>
      <c r="AN317" s="73"/>
      <c r="AO317" s="14"/>
      <c r="AP317" s="30"/>
    </row>
    <row r="318" spans="1:44" ht="13" hidden="1" x14ac:dyDescent="0.3">
      <c r="A318" s="551"/>
      <c r="B318" s="552"/>
      <c r="C318" s="731"/>
      <c r="D318" s="731"/>
      <c r="E318" s="548"/>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2"/>
      <c r="AF318" s="552"/>
      <c r="AG318" s="540"/>
      <c r="AH318" s="552"/>
      <c r="AI318" s="552"/>
      <c r="AJ318" s="551"/>
      <c r="AK318" s="551"/>
      <c r="AL318" s="551"/>
      <c r="AM318" s="551"/>
      <c r="AN318" s="73"/>
      <c r="AO318" s="14"/>
      <c r="AP318" s="30"/>
    </row>
    <row r="319" spans="1:44" ht="13" hidden="1" x14ac:dyDescent="0.3">
      <c r="A319" s="551"/>
      <c r="B319" s="552"/>
      <c r="C319" s="731"/>
      <c r="D319" s="731"/>
      <c r="E319" s="548"/>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2"/>
      <c r="AF319" s="552"/>
      <c r="AG319" s="540"/>
      <c r="AH319" s="552"/>
      <c r="AI319" s="552"/>
      <c r="AJ319" s="551"/>
      <c r="AK319" s="551"/>
      <c r="AL319" s="551"/>
      <c r="AM319" s="551"/>
      <c r="AN319" s="73"/>
      <c r="AO319" s="14"/>
      <c r="AP319" s="30"/>
    </row>
    <row r="320" spans="1:44" ht="13" hidden="1" x14ac:dyDescent="0.3">
      <c r="A320" s="551"/>
      <c r="B320" s="552"/>
      <c r="C320" s="731"/>
      <c r="D320" s="731"/>
      <c r="E320" s="548"/>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2"/>
      <c r="AF320" s="552"/>
      <c r="AG320" s="540"/>
      <c r="AH320" s="552"/>
      <c r="AI320" s="552"/>
      <c r="AJ320" s="551"/>
      <c r="AK320" s="551"/>
      <c r="AL320" s="551"/>
      <c r="AM320" s="551"/>
      <c r="AN320" s="73"/>
      <c r="AO320" s="14"/>
      <c r="AP320" s="30"/>
    </row>
    <row r="321" spans="1:42" ht="13" hidden="1" x14ac:dyDescent="0.3">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x14ac:dyDescent="0.3">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x14ac:dyDescent="0.3">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x14ac:dyDescent="0.3">
      <c r="A324" s="551"/>
      <c r="B324" s="552"/>
      <c r="C324" s="731"/>
      <c r="D324" s="731"/>
      <c r="E324" s="548"/>
      <c r="F324" s="657"/>
      <c r="G324" s="576" t="s">
        <v>688</v>
      </c>
      <c r="H324" s="576"/>
      <c r="I324" s="2511" t="s">
        <v>1185</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2"/>
      <c r="AF324" s="552"/>
      <c r="AG324" s="540"/>
      <c r="AH324" s="552"/>
      <c r="AI324" s="552"/>
      <c r="AJ324" s="551"/>
      <c r="AK324" s="551"/>
      <c r="AL324" s="551"/>
      <c r="AM324" s="551"/>
      <c r="AN324" s="73"/>
      <c r="AO324" s="14"/>
      <c r="AP324" s="558" t="s">
        <v>1638</v>
      </c>
    </row>
    <row r="325" spans="1:42" ht="13" hidden="1" x14ac:dyDescent="0.3">
      <c r="A325" s="551"/>
      <c r="B325" s="552"/>
      <c r="C325" s="731"/>
      <c r="D325" s="731"/>
      <c r="E325" s="548"/>
      <c r="F325" s="657"/>
      <c r="G325" s="576"/>
      <c r="H325" s="576"/>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2"/>
      <c r="AF325" s="552"/>
      <c r="AG325" s="540"/>
      <c r="AH325" s="552"/>
      <c r="AI325" s="552"/>
      <c r="AJ325" s="551"/>
      <c r="AK325" s="551"/>
      <c r="AL325" s="551"/>
      <c r="AM325" s="551"/>
      <c r="AN325" s="73"/>
      <c r="AO325" s="14"/>
      <c r="AP325" s="558" t="s">
        <v>1734</v>
      </c>
    </row>
    <row r="326" spans="1:42" ht="13" hidden="1" x14ac:dyDescent="0.3">
      <c r="A326" s="551"/>
      <c r="B326" s="552"/>
      <c r="C326" s="652"/>
      <c r="D326" s="652"/>
      <c r="E326" s="548"/>
      <c r="F326" s="657"/>
      <c r="G326" s="576"/>
      <c r="H326" s="576"/>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2"/>
      <c r="AF326" s="552"/>
      <c r="AG326" s="540"/>
      <c r="AH326" s="552"/>
      <c r="AI326" s="552"/>
      <c r="AJ326" s="551"/>
      <c r="AK326" s="551"/>
      <c r="AL326" s="551"/>
      <c r="AM326" s="551"/>
      <c r="AN326" s="73"/>
      <c r="AO326" s="14"/>
      <c r="AP326" s="558" t="s">
        <v>1736</v>
      </c>
    </row>
    <row r="327" spans="1:42" ht="13" hidden="1" x14ac:dyDescent="0.3">
      <c r="A327" s="551"/>
      <c r="B327" s="552"/>
      <c r="C327" s="652"/>
      <c r="D327" s="652"/>
      <c r="E327" s="548"/>
      <c r="F327" s="655"/>
      <c r="G327" s="552"/>
      <c r="H327" s="552"/>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2"/>
      <c r="AF327" s="552"/>
      <c r="AG327" s="540"/>
      <c r="AH327" s="552"/>
      <c r="AI327" s="552"/>
      <c r="AJ327" s="551"/>
      <c r="AK327" s="551"/>
      <c r="AL327" s="551"/>
      <c r="AM327" s="551"/>
      <c r="AN327" s="73"/>
      <c r="AO327" s="14"/>
      <c r="AP327" s="558" t="s">
        <v>1735</v>
      </c>
    </row>
    <row r="328" spans="1:42" ht="13" hidden="1" x14ac:dyDescent="0.3">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x14ac:dyDescent="0.3">
      <c r="A329" s="551"/>
      <c r="B329" s="552"/>
      <c r="C329" s="652"/>
      <c r="D329" s="652"/>
      <c r="E329" s="548"/>
      <c r="F329" s="655"/>
      <c r="G329" s="552" t="s">
        <v>510</v>
      </c>
      <c r="H329" s="552"/>
      <c r="I329" s="2511" t="s">
        <v>1185</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2"/>
      <c r="AF329" s="552"/>
      <c r="AG329" s="540"/>
      <c r="AH329" s="552"/>
      <c r="AI329" s="552"/>
      <c r="AJ329" s="551"/>
      <c r="AK329" s="551"/>
      <c r="AL329" s="551"/>
      <c r="AM329" s="551"/>
      <c r="AN329" s="73"/>
      <c r="AO329" s="14"/>
    </row>
    <row r="330" spans="1:42" ht="13" hidden="1" x14ac:dyDescent="0.3">
      <c r="A330" s="551"/>
      <c r="B330" s="552"/>
      <c r="C330" s="652"/>
      <c r="D330" s="652"/>
      <c r="E330" s="548"/>
      <c r="F330" s="655"/>
      <c r="G330" s="552"/>
      <c r="H330" s="552"/>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2"/>
      <c r="AF330" s="552"/>
      <c r="AG330" s="540"/>
      <c r="AH330" s="552"/>
      <c r="AI330" s="552"/>
      <c r="AJ330" s="551"/>
      <c r="AK330" s="551"/>
      <c r="AL330" s="551"/>
      <c r="AM330" s="551"/>
      <c r="AN330" s="73"/>
      <c r="AO330" s="14"/>
      <c r="AP330" s="558" t="s">
        <v>1185</v>
      </c>
    </row>
    <row r="331" spans="1:42" ht="13" hidden="1" x14ac:dyDescent="0.3">
      <c r="A331" s="551"/>
      <c r="B331" s="552"/>
      <c r="C331" s="652"/>
      <c r="D331" s="652"/>
      <c r="E331" s="548"/>
      <c r="F331" s="658"/>
      <c r="G331" s="659"/>
      <c r="H331" s="659"/>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2"/>
      <c r="AF331" s="552"/>
      <c r="AG331" s="540"/>
      <c r="AH331" s="552"/>
      <c r="AI331" s="552"/>
      <c r="AJ331" s="551"/>
      <c r="AK331" s="551"/>
      <c r="AL331" s="551"/>
      <c r="AM331" s="551"/>
      <c r="AN331" s="73"/>
      <c r="AO331" s="14"/>
      <c r="AP331" s="558" t="s">
        <v>1392</v>
      </c>
    </row>
    <row r="332" spans="1:42" hidden="1" x14ac:dyDescent="0.25">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x14ac:dyDescent="0.3">
      <c r="A333" s="1626" t="s">
        <v>1393</v>
      </c>
      <c r="B333" s="1626"/>
      <c r="C333" s="2473" t="s">
        <v>592</v>
      </c>
      <c r="D333" s="2473"/>
      <c r="E333" s="548"/>
      <c r="F333" s="2397" t="s">
        <v>2030</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2"/>
      <c r="AF333" s="552"/>
      <c r="AG333" s="540" t="s">
        <v>1389</v>
      </c>
      <c r="AH333" s="552"/>
      <c r="AI333" s="552"/>
      <c r="AJ333" s="551"/>
      <c r="AK333" s="551"/>
      <c r="AL333" s="551"/>
      <c r="AM333" s="551"/>
      <c r="AN333" s="73"/>
      <c r="AO333" s="14"/>
    </row>
    <row r="334" spans="1:42" ht="15" hidden="1" customHeight="1" x14ac:dyDescent="0.25">
      <c r="A334" s="551"/>
      <c r="B334" s="552"/>
      <c r="C334" s="552"/>
      <c r="D334" s="552"/>
      <c r="E334" s="552"/>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2"/>
      <c r="AF334" s="552"/>
      <c r="AG334" s="552"/>
      <c r="AH334" s="552"/>
      <c r="AI334" s="552"/>
      <c r="AJ334" s="551"/>
      <c r="AK334" s="551"/>
      <c r="AL334" s="551"/>
      <c r="AM334" s="551"/>
      <c r="AN334" s="73"/>
      <c r="AO334" s="14"/>
    </row>
    <row r="335" spans="1:42" ht="15" hidden="1" customHeight="1" x14ac:dyDescent="0.25">
      <c r="A335" s="551"/>
      <c r="B335" s="552"/>
      <c r="C335" s="552"/>
      <c r="D335" s="552"/>
      <c r="E335" s="552"/>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2"/>
      <c r="AF335" s="552"/>
      <c r="AG335" s="552"/>
      <c r="AH335" s="552"/>
      <c r="AI335" s="552"/>
      <c r="AJ335" s="551"/>
      <c r="AK335" s="551"/>
      <c r="AL335" s="551"/>
      <c r="AM335" s="660"/>
      <c r="AN335" s="14"/>
      <c r="AO335" s="14"/>
    </row>
    <row r="336" spans="1:42" hidden="1" x14ac:dyDescent="0.25">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x14ac:dyDescent="0.25">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x14ac:dyDescent="0.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6">
        <f>IF(NOT(OR(Application!M355="Yes",Application!M356="Yes")),0,AP295)</f>
        <v>10</v>
      </c>
      <c r="AL338" s="2477"/>
      <c r="AM338" s="2478"/>
      <c r="AN338" s="30"/>
    </row>
    <row r="339" spans="1:44" s="551" customFormat="1" ht="12.75" customHeight="1" thickBot="1" x14ac:dyDescent="0.25">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x14ac:dyDescent="0.3">
      <c r="A341" s="540" t="s">
        <v>1454</v>
      </c>
      <c r="B341" s="540" t="s">
        <v>846</v>
      </c>
      <c r="C341" s="537"/>
      <c r="AC341" s="540"/>
      <c r="AE341" s="2406" t="s">
        <v>1315</v>
      </c>
      <c r="AF341" s="2406"/>
      <c r="AG341" s="2406"/>
      <c r="AH341" s="2406"/>
      <c r="AI341" s="2406"/>
      <c r="AJ341" s="2406"/>
      <c r="AK341" s="2406"/>
      <c r="AL341" s="540"/>
      <c r="AM341" s="540"/>
      <c r="AN341" s="593"/>
    </row>
    <row r="342" spans="1:44" s="551" customFormat="1" ht="12.75" customHeight="1" x14ac:dyDescent="0.3">
      <c r="A342" s="540"/>
      <c r="B342" s="540"/>
      <c r="C342" s="537"/>
      <c r="AC342" s="540"/>
      <c r="AE342" s="544"/>
      <c r="AF342" s="544"/>
      <c r="AG342" s="544"/>
      <c r="AH342" s="544"/>
      <c r="AI342" s="544"/>
      <c r="AJ342" s="544"/>
      <c r="AK342" s="544"/>
      <c r="AL342" s="540"/>
      <c r="AM342" s="540"/>
      <c r="AN342" s="593"/>
    </row>
    <row r="343" spans="1:44" s="551" customFormat="1" ht="12.75" customHeight="1" x14ac:dyDescent="0.2">
      <c r="A343" s="604"/>
      <c r="B343" s="612"/>
      <c r="C343" s="2515" t="s">
        <v>1455</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4"/>
      <c r="AL343" s="604"/>
      <c r="AM343" s="604"/>
      <c r="AN343" s="598"/>
    </row>
    <row r="344" spans="1:44" s="551" customFormat="1" ht="12.75" customHeight="1" x14ac:dyDescent="0.2">
      <c r="A344" s="604"/>
      <c r="B344" s="612"/>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4"/>
      <c r="AL344" s="604"/>
      <c r="AM344" s="604"/>
      <c r="AN344" s="598"/>
    </row>
    <row r="345" spans="1:44" s="551" customFormat="1" ht="12.75" customHeight="1" x14ac:dyDescent="0.25">
      <c r="A345" s="604"/>
      <c r="B345" s="612"/>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4"/>
      <c r="AL345" s="604"/>
      <c r="AM345" s="604"/>
      <c r="AN345" s="598"/>
      <c r="AQ345" s="571"/>
    </row>
    <row r="346" spans="1:44" s="551" customFormat="1" ht="12.75" customHeight="1" x14ac:dyDescent="0.25">
      <c r="A346" s="604"/>
      <c r="B346" s="612"/>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4"/>
      <c r="AL346" s="604"/>
      <c r="AM346" s="604"/>
      <c r="AN346" s="598"/>
      <c r="AQ346" s="571"/>
    </row>
    <row r="347" spans="1:44" s="551" customFormat="1" ht="12.5" customHeight="1" x14ac:dyDescent="0.25">
      <c r="A347" s="604"/>
      <c r="B347" s="612"/>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4"/>
      <c r="AL347" s="604"/>
      <c r="AM347" s="604"/>
      <c r="AN347" s="598"/>
      <c r="AQ347" s="571"/>
      <c r="AR347" s="571"/>
    </row>
    <row r="348" spans="1:44" s="551" customFormat="1" ht="45.75" customHeight="1" x14ac:dyDescent="0.25">
      <c r="A348" s="604"/>
      <c r="B348" s="612"/>
      <c r="C348" s="2515" t="s">
        <v>2095</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4"/>
      <c r="AL348" s="604"/>
      <c r="AM348" s="604"/>
      <c r="AN348" s="598"/>
      <c r="AQ348" s="571"/>
      <c r="AR348" s="571"/>
    </row>
    <row r="349" spans="1:44" s="551" customFormat="1" ht="12.5" customHeight="1" x14ac:dyDescent="0.25">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x14ac:dyDescent="0.25">
      <c r="A350" s="604"/>
      <c r="B350" s="612"/>
      <c r="C350" s="2515" t="s">
        <v>2210</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4"/>
      <c r="AL350" s="604"/>
      <c r="AM350" s="604"/>
      <c r="AN350" s="598"/>
      <c r="AQ350" s="571"/>
      <c r="AR350" s="571"/>
    </row>
    <row r="351" spans="1:44" s="551" customFormat="1" ht="30" customHeight="1" x14ac:dyDescent="0.25">
      <c r="A351" s="604"/>
      <c r="B351" s="612"/>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4"/>
      <c r="AL351" s="604"/>
      <c r="AM351" s="604"/>
      <c r="AN351" s="598"/>
      <c r="AR351" s="571"/>
    </row>
    <row r="352" spans="1:44" s="551" customFormat="1" ht="12.75" customHeight="1" x14ac:dyDescent="0.25">
      <c r="A352" s="604"/>
      <c r="B352" s="612"/>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4"/>
      <c r="AL352" s="604"/>
      <c r="AM352" s="604"/>
      <c r="AN352" s="598"/>
      <c r="AR352" s="571"/>
    </row>
    <row r="353" spans="1:46" s="551" customFormat="1" ht="12.75" customHeight="1" x14ac:dyDescent="0.25">
      <c r="A353" s="604"/>
      <c r="B353" s="612"/>
      <c r="C353" s="2515" t="s">
        <v>1456</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4"/>
      <c r="AL353" s="604"/>
      <c r="AM353" s="604"/>
      <c r="AN353" s="598"/>
      <c r="AQ353" s="571"/>
      <c r="AR353" s="571"/>
    </row>
    <row r="354" spans="1:46" s="551" customFormat="1" ht="12.75" customHeight="1" x14ac:dyDescent="0.25">
      <c r="A354" s="604"/>
      <c r="B354" s="612"/>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4"/>
      <c r="AL354" s="604"/>
      <c r="AM354" s="604"/>
      <c r="AN354" s="598"/>
      <c r="AQ354" s="571"/>
      <c r="AR354" s="571"/>
    </row>
    <row r="355" spans="1:46" s="551" customFormat="1" ht="13.25" customHeight="1" x14ac:dyDescent="0.25">
      <c r="A355" s="604"/>
      <c r="B355" s="612"/>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4"/>
      <c r="AL355" s="604"/>
      <c r="AM355" s="604"/>
      <c r="AN355" s="598"/>
      <c r="AQ355" s="571"/>
      <c r="AR355" s="571"/>
    </row>
    <row r="356" spans="1:46" s="551" customFormat="1" ht="12.75" customHeight="1" x14ac:dyDescent="0.25">
      <c r="A356" s="604"/>
      <c r="B356" s="612"/>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4"/>
      <c r="AL356" s="604"/>
      <c r="AM356" s="604"/>
      <c r="AN356" s="598"/>
      <c r="AO356" s="695"/>
      <c r="AP356" s="695"/>
      <c r="AQ356" s="571"/>
    </row>
    <row r="357" spans="1:46" s="551" customFormat="1" ht="11.9" customHeight="1" x14ac:dyDescent="0.3">
      <c r="A357" s="604"/>
      <c r="B357" s="612"/>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4"/>
      <c r="AL357" s="604"/>
      <c r="AM357" s="604"/>
      <c r="AN357" s="598"/>
      <c r="AO357" s="696" t="s">
        <v>112</v>
      </c>
      <c r="AP357" s="697">
        <f>IF(C381="Yes",5,0)</f>
        <v>0</v>
      </c>
      <c r="AS357" s="540" t="s">
        <v>1457</v>
      </c>
    </row>
    <row r="358" spans="1:46" s="551" customFormat="1" ht="12.75" customHeight="1" x14ac:dyDescent="0.25">
      <c r="A358" s="604"/>
      <c r="B358" s="612"/>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4"/>
      <c r="AL358" s="604"/>
      <c r="AM358" s="604"/>
      <c r="AN358" s="598"/>
      <c r="AO358" s="696" t="s">
        <v>113</v>
      </c>
      <c r="AP358" s="697">
        <f>IF(C389="Yes",5,0)</f>
        <v>0</v>
      </c>
      <c r="AS358" s="2536">
        <f>IF(Application!D211="Non-Targeted",(SUM(AQ366+AQ375)),AS362)</f>
        <v>10</v>
      </c>
      <c r="AT358" s="2536"/>
    </row>
    <row r="359" spans="1:46" s="551" customFormat="1" ht="12.75" customHeight="1" x14ac:dyDescent="0.3">
      <c r="A359" s="604"/>
      <c r="B359" s="612"/>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4"/>
      <c r="AL359" s="604"/>
      <c r="AM359" s="604"/>
      <c r="AN359" s="598"/>
      <c r="AO359" s="696" t="s">
        <v>119</v>
      </c>
      <c r="AP359" s="697">
        <f>IF(C397="Yes",7,0)</f>
        <v>0</v>
      </c>
      <c r="AS359" s="540" t="s">
        <v>1458</v>
      </c>
    </row>
    <row r="360" spans="1:46" s="551" customFormat="1" ht="12.75" customHeight="1" x14ac:dyDescent="0.25">
      <c r="A360" s="604"/>
      <c r="B360" s="612"/>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4"/>
      <c r="AL360" s="604"/>
      <c r="AM360" s="604"/>
      <c r="AN360" s="598"/>
      <c r="AO360" s="598"/>
      <c r="AP360" s="697">
        <f>IF(C399="Yes",5,0)</f>
        <v>0</v>
      </c>
      <c r="AS360" s="2536">
        <f>IF(AND(AQ366&gt;0,AQ375&gt;0),(AQ366+AQ375)/2,0)</f>
        <v>0</v>
      </c>
      <c r="AT360" s="2536"/>
    </row>
    <row r="361" spans="1:46" s="551" customFormat="1" ht="12.75" customHeight="1" x14ac:dyDescent="0.3">
      <c r="A361" s="604"/>
      <c r="B361" s="612"/>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4"/>
      <c r="AL361" s="604"/>
      <c r="AM361" s="604"/>
      <c r="AN361" s="598"/>
      <c r="AO361" s="696" t="s">
        <v>582</v>
      </c>
      <c r="AP361" s="697">
        <f>IF(C407="Yes",5,0)</f>
        <v>0</v>
      </c>
      <c r="AS361" s="540" t="s">
        <v>1880</v>
      </c>
    </row>
    <row r="362" spans="1:46" s="551" customFormat="1" ht="12.75" customHeight="1" x14ac:dyDescent="0.25">
      <c r="A362" s="604"/>
      <c r="B362" s="612"/>
      <c r="C362" s="2537" t="s">
        <v>2236</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4"/>
      <c r="AL362" s="604"/>
      <c r="AM362" s="604"/>
      <c r="AN362" s="598"/>
      <c r="AO362" s="598"/>
      <c r="AP362" s="697">
        <f>IF(C409="Yes",3,0)</f>
        <v>0</v>
      </c>
      <c r="AS362" s="2536">
        <f>IF(AQ366=0,AQ375,AQ366)</f>
        <v>10</v>
      </c>
      <c r="AT362" s="2536"/>
    </row>
    <row r="363" spans="1:46" s="551" customFormat="1" ht="12.75" customHeight="1" x14ac:dyDescent="0.25">
      <c r="A363" s="604"/>
      <c r="B363" s="612"/>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4"/>
      <c r="AL363" s="604"/>
      <c r="AM363" s="604"/>
      <c r="AN363" s="598"/>
      <c r="AO363" s="696" t="s">
        <v>764</v>
      </c>
      <c r="AP363" s="697">
        <f>IF(C412="Yes",5,0)</f>
        <v>0</v>
      </c>
    </row>
    <row r="364" spans="1:46" s="551" customFormat="1" ht="12.75" customHeight="1" x14ac:dyDescent="0.25">
      <c r="A364" s="604"/>
      <c r="B364" s="612"/>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4"/>
      <c r="AL364" s="604"/>
      <c r="AM364" s="604"/>
      <c r="AN364" s="598"/>
      <c r="AO364" s="696" t="s">
        <v>585</v>
      </c>
      <c r="AP364" s="697">
        <f>IF(C421="Yes",5,0)</f>
        <v>0</v>
      </c>
    </row>
    <row r="365" spans="1:46" s="551" customFormat="1" ht="11.9" customHeight="1" x14ac:dyDescent="0.25">
      <c r="A365" s="604"/>
      <c r="B365" s="612"/>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4"/>
      <c r="AL365" s="604"/>
      <c r="AM365" s="604"/>
      <c r="AN365" s="598"/>
      <c r="AO365" s="698"/>
      <c r="AP365" s="699">
        <f>IF(C423="Yes",3,0)</f>
        <v>0</v>
      </c>
    </row>
    <row r="366" spans="1:46" s="551" customFormat="1" ht="12.5" customHeight="1" x14ac:dyDescent="0.3">
      <c r="A366" s="604"/>
      <c r="B366" s="612"/>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4"/>
      <c r="AL366" s="604"/>
      <c r="AM366" s="604"/>
      <c r="AN366" s="598"/>
      <c r="AO366" s="700" t="s">
        <v>227</v>
      </c>
      <c r="AP366" s="701">
        <f>SUM(AP357:AP365)</f>
        <v>0</v>
      </c>
      <c r="AQ366" s="2538">
        <f>IF(AP366&gt;0,AP366,0)</f>
        <v>0</v>
      </c>
      <c r="AR366" s="2538"/>
    </row>
    <row r="367" spans="1:46" s="551" customFormat="1" ht="12.75" customHeight="1" x14ac:dyDescent="0.25">
      <c r="A367" s="604"/>
      <c r="B367" s="612"/>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4"/>
      <c r="AL367" s="604"/>
      <c r="AM367" s="604"/>
      <c r="AN367" s="598"/>
      <c r="AP367" s="571"/>
    </row>
    <row r="368" spans="1:46" s="551" customFormat="1" ht="12.75" customHeight="1" x14ac:dyDescent="0.25">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x14ac:dyDescent="0.25">
      <c r="A369" s="604"/>
      <c r="B369" s="612"/>
      <c r="C369" s="2515" t="s">
        <v>1459</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4"/>
      <c r="AL369" s="604"/>
      <c r="AM369" s="604"/>
      <c r="AN369" s="598"/>
      <c r="AO369" s="696" t="s">
        <v>457</v>
      </c>
      <c r="AP369" s="697">
        <f>IF(C442="Yes",5,0)</f>
        <v>5</v>
      </c>
    </row>
    <row r="370" spans="1:81" s="551" customFormat="1" ht="12.75" customHeight="1" x14ac:dyDescent="0.25">
      <c r="A370" s="604"/>
      <c r="B370" s="612"/>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4"/>
      <c r="AL370" s="604"/>
      <c r="AM370" s="604"/>
      <c r="AN370" s="598"/>
      <c r="AO370" s="696" t="s">
        <v>462</v>
      </c>
      <c r="AP370" s="697">
        <f>IF(C449="Yes",5,0)</f>
        <v>5</v>
      </c>
    </row>
    <row r="371" spans="1:81" s="551" customFormat="1" ht="68.150000000000006" customHeight="1" x14ac:dyDescent="0.2">
      <c r="A371" s="604"/>
      <c r="B371" s="612"/>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4"/>
      <c r="AL371" s="604"/>
      <c r="AM371" s="604"/>
      <c r="AN371" s="598"/>
      <c r="AO371" s="696" t="s">
        <v>647</v>
      </c>
      <c r="AP371" s="702">
        <f>IF(C453="Yes",5,0)</f>
        <v>0</v>
      </c>
    </row>
    <row r="372" spans="1:81" s="551" customFormat="1" ht="12.5" customHeight="1" x14ac:dyDescent="0.25">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x14ac:dyDescent="0.25">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3">
        <f>Application!DU802-U374</f>
        <v>28</v>
      </c>
      <c r="V373" s="2623"/>
      <c r="W373" s="2623"/>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x14ac:dyDescent="0.25">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4">
        <f>IF(Application!D211="SRO",Application!DU755,Application!AG756)</f>
        <v>75</v>
      </c>
      <c r="V374" s="2624"/>
      <c r="W374" s="262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x14ac:dyDescent="0.3">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38">
        <f>IF(AP375&gt;0,AP375,0)</f>
        <v>10</v>
      </c>
      <c r="AR375" s="2538"/>
    </row>
    <row r="376" spans="1:81" s="551" customFormat="1" ht="12.75" customHeight="1" x14ac:dyDescent="0.3">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x14ac:dyDescent="0.3">
      <c r="A377" s="537"/>
      <c r="B377" s="14"/>
      <c r="C377" s="714"/>
      <c r="D377" s="715"/>
      <c r="E377" s="716" t="s">
        <v>1316</v>
      </c>
      <c r="F377" s="2519" t="s">
        <v>1461</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x14ac:dyDescent="0.3">
      <c r="A378" s="537"/>
      <c r="B378" s="14"/>
      <c r="C378" s="719"/>
      <c r="D378" s="537"/>
      <c r="E378" s="720"/>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x14ac:dyDescent="0.3">
      <c r="A379" s="537"/>
      <c r="B379" s="14"/>
      <c r="C379" s="719"/>
      <c r="D379" s="537"/>
      <c r="E379" s="720"/>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x14ac:dyDescent="0.3">
      <c r="A380" s="537"/>
      <c r="B380" s="14"/>
      <c r="C380" s="719"/>
      <c r="D380" s="537"/>
      <c r="E380" s="720"/>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x14ac:dyDescent="0.3">
      <c r="A381" s="537"/>
      <c r="B381" s="14"/>
      <c r="C381" s="2516" t="s">
        <v>592</v>
      </c>
      <c r="D381" s="2473"/>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7" t="s">
        <v>1463</v>
      </c>
      <c r="AG381" s="2517"/>
      <c r="AH381" s="2517"/>
      <c r="AI381" s="2517"/>
      <c r="AJ381" s="2517"/>
      <c r="AK381" s="2517"/>
      <c r="AL381" s="2518"/>
      <c r="AM381" s="723"/>
      <c r="BS381" s="30"/>
      <c r="BT381" s="30"/>
      <c r="BU381" s="14"/>
      <c r="BV381" s="14"/>
      <c r="BW381" s="14"/>
      <c r="BX381" s="14"/>
      <c r="BY381" s="14"/>
      <c r="BZ381" s="14"/>
      <c r="CA381" s="14"/>
      <c r="CB381" s="14"/>
      <c r="CC381" s="14"/>
    </row>
    <row r="382" spans="1:81" s="551" customFormat="1" ht="12.75" customHeight="1" x14ac:dyDescent="0.3">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x14ac:dyDescent="0.3">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x14ac:dyDescent="0.3">
      <c r="A384" s="537"/>
      <c r="B384" s="14"/>
      <c r="C384" s="714"/>
      <c r="D384" s="715"/>
      <c r="E384" s="716" t="s">
        <v>1318</v>
      </c>
      <c r="F384" s="2519" t="s">
        <v>1464</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x14ac:dyDescent="0.3">
      <c r="A385" s="537"/>
      <c r="B385" s="14"/>
      <c r="C385" s="732"/>
      <c r="D385" s="14"/>
      <c r="E385" s="692"/>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x14ac:dyDescent="0.3">
      <c r="A386" s="537"/>
      <c r="B386" s="14"/>
      <c r="C386" s="732"/>
      <c r="D386" s="14"/>
      <c r="E386" s="692"/>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x14ac:dyDescent="0.3">
      <c r="A387" s="537"/>
      <c r="B387" s="14"/>
      <c r="C387" s="732"/>
      <c r="D387" s="14"/>
      <c r="E387" s="692"/>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x14ac:dyDescent="0.25">
      <c r="A388" s="537"/>
      <c r="B388" s="14"/>
      <c r="C388" s="732"/>
      <c r="D388" s="14"/>
      <c r="E388" s="692"/>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3"/>
      <c r="AN388" s="598"/>
      <c r="BS388" s="30"/>
      <c r="BT388" s="30"/>
      <c r="BU388" s="14"/>
      <c r="BV388" s="14"/>
      <c r="BW388" s="14"/>
      <c r="BX388" s="14"/>
      <c r="BY388" s="14"/>
      <c r="BZ388" s="14"/>
      <c r="CA388" s="14"/>
      <c r="CB388" s="14"/>
      <c r="CC388" s="14"/>
    </row>
    <row r="389" spans="1:81" s="551" customFormat="1" ht="12.75" customHeight="1" x14ac:dyDescent="0.3">
      <c r="A389" s="537"/>
      <c r="B389" s="14"/>
      <c r="C389" s="2516" t="s">
        <v>592</v>
      </c>
      <c r="D389" s="2473"/>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7" t="s">
        <v>1463</v>
      </c>
      <c r="AG389" s="2517"/>
      <c r="AH389" s="2517"/>
      <c r="AI389" s="2517"/>
      <c r="AJ389" s="2517"/>
      <c r="AK389" s="2517"/>
      <c r="AL389" s="2518"/>
      <c r="AM389" s="730"/>
      <c r="AN389" s="598"/>
      <c r="BS389" s="30"/>
      <c r="BT389" s="30"/>
      <c r="BU389" s="14"/>
      <c r="BV389" s="14"/>
      <c r="BW389" s="14"/>
      <c r="BX389" s="14"/>
      <c r="BY389" s="14"/>
      <c r="BZ389" s="14"/>
      <c r="CA389" s="14"/>
      <c r="CB389" s="14"/>
      <c r="CC389" s="14"/>
    </row>
    <row r="390" spans="1:81" s="551" customFormat="1" ht="12.75" customHeight="1" x14ac:dyDescent="0.3">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x14ac:dyDescent="0.3">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x14ac:dyDescent="0.3">
      <c r="A392" s="537"/>
      <c r="B392" s="14"/>
      <c r="C392" s="714"/>
      <c r="D392" s="715"/>
      <c r="E392" s="716" t="s">
        <v>1321</v>
      </c>
      <c r="F392" s="2519" t="s">
        <v>1466</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x14ac:dyDescent="0.3">
      <c r="A393" s="537"/>
      <c r="B393" s="14"/>
      <c r="C393" s="732"/>
      <c r="D393" s="14"/>
      <c r="E393" s="692"/>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x14ac:dyDescent="0.3">
      <c r="A394" s="537"/>
      <c r="B394" s="14"/>
      <c r="C394" s="732"/>
      <c r="D394" s="14"/>
      <c r="E394" s="692"/>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x14ac:dyDescent="0.3">
      <c r="A395" s="537"/>
      <c r="B395" s="14"/>
      <c r="C395" s="732"/>
      <c r="D395" s="14"/>
      <c r="E395" s="692"/>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x14ac:dyDescent="0.3">
      <c r="A396" s="537"/>
      <c r="B396" s="14"/>
      <c r="C396" s="732"/>
      <c r="D396" s="14"/>
      <c r="E396" s="692"/>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x14ac:dyDescent="0.3">
      <c r="A397" s="537"/>
      <c r="B397" s="14"/>
      <c r="C397" s="2516" t="s">
        <v>592</v>
      </c>
      <c r="D397" s="2473"/>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7" t="s">
        <v>1468</v>
      </c>
      <c r="AG397" s="2517"/>
      <c r="AH397" s="2517"/>
      <c r="AI397" s="2517"/>
      <c r="AJ397" s="2517"/>
      <c r="AK397" s="2517"/>
      <c r="AL397" s="2518"/>
      <c r="AM397" s="723"/>
      <c r="BS397" s="571"/>
      <c r="BT397" s="571"/>
      <c r="BU397" s="571"/>
      <c r="BV397" s="571"/>
      <c r="BW397" s="571"/>
      <c r="BX397" s="571"/>
      <c r="BY397" s="571"/>
      <c r="BZ397" s="571"/>
      <c r="CA397" s="571"/>
      <c r="CB397" s="571"/>
      <c r="CC397" s="571"/>
    </row>
    <row r="398" spans="1:81" s="551" customFormat="1" ht="12.75" customHeight="1" x14ac:dyDescent="0.25">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x14ac:dyDescent="0.3">
      <c r="A399" s="537"/>
      <c r="B399" s="14"/>
      <c r="C399" s="2516" t="s">
        <v>592</v>
      </c>
      <c r="D399" s="2473"/>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7" t="s">
        <v>1463</v>
      </c>
      <c r="AG399" s="2517"/>
      <c r="AH399" s="2517"/>
      <c r="AI399" s="2517"/>
      <c r="AJ399" s="2517"/>
      <c r="AK399" s="2517"/>
      <c r="AL399" s="2518"/>
      <c r="AM399" s="571"/>
      <c r="AN399" s="598"/>
      <c r="BS399" s="571"/>
      <c r="BT399" s="571"/>
      <c r="BU399" s="571"/>
    </row>
    <row r="400" spans="1:81" s="551" customFormat="1" ht="12.75" customHeight="1" x14ac:dyDescent="0.25">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x14ac:dyDescent="0.3">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x14ac:dyDescent="0.3">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x14ac:dyDescent="0.3">
      <c r="A403" s="537"/>
      <c r="B403" s="14"/>
      <c r="C403" s="714"/>
      <c r="D403" s="715"/>
      <c r="E403" s="716" t="s">
        <v>1471</v>
      </c>
      <c r="F403" s="2519" t="s">
        <v>1472</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x14ac:dyDescent="0.3">
      <c r="A404" s="537"/>
      <c r="B404" s="14"/>
      <c r="C404" s="732"/>
      <c r="D404" s="14"/>
      <c r="E404" s="692"/>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x14ac:dyDescent="0.3">
      <c r="A405" s="537"/>
      <c r="C405" s="732"/>
      <c r="E405" s="692"/>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x14ac:dyDescent="0.3">
      <c r="A406" s="537"/>
      <c r="B406" s="14"/>
      <c r="C406" s="732"/>
      <c r="D406" s="14"/>
      <c r="E406" s="692"/>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40"/>
      <c r="AH406" s="540"/>
      <c r="AI406" s="540"/>
      <c r="AJ406" s="540"/>
      <c r="AK406" s="540"/>
      <c r="AL406" s="721"/>
      <c r="AM406" s="571"/>
      <c r="AN406" s="598"/>
      <c r="BS406" s="571"/>
      <c r="BT406" s="571"/>
      <c r="BY406" s="571"/>
      <c r="BZ406" s="571"/>
      <c r="CA406" s="571"/>
      <c r="CB406" s="571"/>
      <c r="CC406" s="571"/>
    </row>
    <row r="407" spans="1:81" s="551" customFormat="1" ht="12.75" customHeight="1" x14ac:dyDescent="0.3">
      <c r="A407" s="537"/>
      <c r="B407" s="14"/>
      <c r="C407" s="2516" t="s">
        <v>592</v>
      </c>
      <c r="D407" s="2473"/>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7" t="s">
        <v>1463</v>
      </c>
      <c r="AG407" s="2517"/>
      <c r="AH407" s="2517"/>
      <c r="AI407" s="2517"/>
      <c r="AJ407" s="2517"/>
      <c r="AK407" s="2517"/>
      <c r="AL407" s="2518"/>
      <c r="AM407" s="571"/>
      <c r="AN407" s="598"/>
      <c r="BS407" s="571"/>
      <c r="BT407" s="571"/>
      <c r="BY407" s="571"/>
      <c r="BZ407" s="571"/>
      <c r="CA407" s="571"/>
      <c r="CB407" s="571"/>
      <c r="CC407" s="571"/>
    </row>
    <row r="408" spans="1:81" s="551" customFormat="1" ht="12.75" customHeight="1" x14ac:dyDescent="0.25">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x14ac:dyDescent="0.3">
      <c r="A409" s="537"/>
      <c r="B409" s="14"/>
      <c r="C409" s="2516" t="s">
        <v>592</v>
      </c>
      <c r="D409" s="2473"/>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7" t="s">
        <v>1475</v>
      </c>
      <c r="AG409" s="2517"/>
      <c r="AH409" s="2517"/>
      <c r="AI409" s="2517"/>
      <c r="AJ409" s="2517"/>
      <c r="AK409" s="2517"/>
      <c r="AL409" s="2518"/>
      <c r="AM409" s="571"/>
      <c r="AN409" s="598"/>
      <c r="BS409" s="571"/>
      <c r="BT409" s="571"/>
      <c r="BY409" s="571"/>
      <c r="BZ409" s="571"/>
      <c r="CA409" s="571"/>
      <c r="CB409" s="571"/>
      <c r="CC409" s="571"/>
    </row>
    <row r="410" spans="1:81" s="551" customFormat="1" ht="12.75" customHeight="1" x14ac:dyDescent="0.25">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x14ac:dyDescent="0.3">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x14ac:dyDescent="0.3">
      <c r="A412" s="537"/>
      <c r="B412" s="14"/>
      <c r="C412" s="2516" t="s">
        <v>592</v>
      </c>
      <c r="D412" s="2473"/>
      <c r="E412" s="716" t="s">
        <v>1476</v>
      </c>
      <c r="F412" s="2519" t="s">
        <v>1477</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x14ac:dyDescent="0.25">
      <c r="A413" s="537"/>
      <c r="B413" s="14"/>
      <c r="C413" s="740"/>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1463</v>
      </c>
      <c r="AG413" s="2441"/>
      <c r="AH413" s="2441"/>
      <c r="AI413" s="2441"/>
      <c r="AJ413" s="2441"/>
      <c r="AK413" s="2441"/>
      <c r="AL413" s="2521"/>
      <c r="AM413" s="571"/>
      <c r="AN413" s="598"/>
      <c r="BS413" s="571"/>
      <c r="BT413" s="571"/>
      <c r="BY413" s="571"/>
      <c r="BZ413" s="571"/>
      <c r="CA413" s="571"/>
      <c r="CB413" s="571"/>
      <c r="CC413" s="571"/>
    </row>
    <row r="414" spans="1:81" s="551" customFormat="1" ht="12.75" customHeight="1" x14ac:dyDescent="0.25">
      <c r="A414" s="537"/>
      <c r="B414" s="14"/>
      <c r="C414" s="732"/>
      <c r="D414" s="14"/>
      <c r="E414" s="692"/>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3"/>
      <c r="AM414" s="571"/>
      <c r="AN414" s="598"/>
      <c r="BS414" s="571"/>
      <c r="BT414" s="571"/>
      <c r="BU414" s="571"/>
      <c r="BV414" s="571"/>
      <c r="BW414" s="571"/>
      <c r="BX414" s="571"/>
      <c r="BY414" s="571"/>
      <c r="BZ414" s="571"/>
      <c r="CA414" s="571"/>
      <c r="CB414" s="571"/>
      <c r="CC414" s="571"/>
    </row>
    <row r="415" spans="1:81" s="551" customFormat="1" ht="12.75" customHeight="1" x14ac:dyDescent="0.3">
      <c r="A415" s="537"/>
      <c r="B415" s="14"/>
      <c r="C415" s="741"/>
      <c r="D415" s="734"/>
      <c r="E415" s="735"/>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4"/>
      <c r="AG415" s="738"/>
      <c r="AH415" s="728"/>
      <c r="AI415" s="728"/>
      <c r="AJ415" s="728"/>
      <c r="AK415" s="728"/>
      <c r="AL415" s="743"/>
      <c r="AM415" s="571"/>
      <c r="AN415" s="598"/>
    </row>
    <row r="416" spans="1:81" ht="13" x14ac:dyDescent="0.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x14ac:dyDescent="0.25">
      <c r="A417" s="537"/>
      <c r="C417" s="747"/>
      <c r="D417" s="748"/>
      <c r="E417" s="716" t="s">
        <v>1478</v>
      </c>
      <c r="F417" s="2519" t="s">
        <v>1479</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8"/>
      <c r="AG417" s="748"/>
      <c r="AH417" s="748"/>
      <c r="AI417" s="748"/>
      <c r="AJ417" s="748"/>
      <c r="AK417" s="748"/>
      <c r="AL417" s="749"/>
      <c r="AM417" s="571"/>
    </row>
    <row r="418" spans="1:55" ht="13" x14ac:dyDescent="0.3">
      <c r="A418" s="537"/>
      <c r="C418" s="732"/>
      <c r="E418" s="692"/>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40"/>
      <c r="AG418" s="537"/>
      <c r="AH418" s="551"/>
      <c r="AI418" s="551"/>
      <c r="AJ418" s="551"/>
      <c r="AK418" s="551"/>
      <c r="AL418" s="733"/>
      <c r="AM418" s="571"/>
    </row>
    <row r="419" spans="1:55" s="551" customFormat="1" ht="12.75" customHeight="1" x14ac:dyDescent="0.25">
      <c r="A419" s="537"/>
      <c r="B419" s="14"/>
      <c r="C419" s="732"/>
      <c r="D419" s="14"/>
      <c r="E419" s="692"/>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3"/>
      <c r="AM419" s="571"/>
      <c r="AN419" s="598"/>
    </row>
    <row r="420" spans="1:55" s="551" customFormat="1" ht="12.75" customHeight="1" x14ac:dyDescent="0.25">
      <c r="A420" s="537"/>
      <c r="B420" s="14"/>
      <c r="C420" s="740"/>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3"/>
      <c r="AM420" s="571"/>
      <c r="AN420" s="598"/>
    </row>
    <row r="421" spans="1:55" s="551" customFormat="1" ht="12.75" customHeight="1" x14ac:dyDescent="0.25">
      <c r="A421" s="537"/>
      <c r="B421" s="14"/>
      <c r="C421" s="2516" t="s">
        <v>592</v>
      </c>
      <c r="D421" s="2473"/>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1" t="s">
        <v>1463</v>
      </c>
      <c r="AG421" s="2441"/>
      <c r="AH421" s="2441"/>
      <c r="AI421" s="2441"/>
      <c r="AJ421" s="2441"/>
      <c r="AK421" s="2441"/>
      <c r="AL421" s="2521"/>
      <c r="AM421" s="571"/>
      <c r="AN421" s="598"/>
    </row>
    <row r="422" spans="1:55" s="551" customFormat="1" ht="12.75" customHeight="1" x14ac:dyDescent="0.25">
      <c r="A422" s="537"/>
      <c r="B422" s="14"/>
      <c r="C422" s="740"/>
      <c r="AL422" s="733"/>
      <c r="AM422" s="571"/>
      <c r="AN422" s="598"/>
    </row>
    <row r="423" spans="1:55" s="551" customFormat="1" ht="12.75" customHeight="1" x14ac:dyDescent="0.25">
      <c r="A423" s="537"/>
      <c r="B423" s="14"/>
      <c r="C423" s="2516" t="s">
        <v>592</v>
      </c>
      <c r="D423" s="2473"/>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1" t="s">
        <v>1475</v>
      </c>
      <c r="AG423" s="2441"/>
      <c r="AH423" s="2441"/>
      <c r="AI423" s="2441"/>
      <c r="AJ423" s="2441"/>
      <c r="AK423" s="2441"/>
      <c r="AL423" s="2521"/>
      <c r="AM423" s="571"/>
      <c r="AN423" s="598"/>
      <c r="AO423" s="597"/>
      <c r="AP423" s="597"/>
      <c r="BC423" s="14"/>
    </row>
    <row r="424" spans="1:55" s="551" customFormat="1" ht="12.75" customHeight="1" x14ac:dyDescent="0.3">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x14ac:dyDescent="0.3">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x14ac:dyDescent="0.3">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x14ac:dyDescent="0.25">
      <c r="A427" s="537"/>
      <c r="B427" s="14"/>
      <c r="C427" s="714"/>
      <c r="D427" s="715"/>
      <c r="E427" s="716" t="s">
        <v>1482</v>
      </c>
      <c r="F427" s="2519" t="s">
        <v>1483</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5"/>
      <c r="AG427" s="715"/>
      <c r="AH427" s="715"/>
      <c r="AI427" s="715"/>
      <c r="AJ427" s="715"/>
      <c r="AK427" s="715"/>
      <c r="AL427" s="746"/>
      <c r="AM427" s="571"/>
      <c r="AN427" s="598"/>
    </row>
    <row r="428" spans="1:55" s="551" customFormat="1" ht="12.75" customHeight="1" x14ac:dyDescent="0.3">
      <c r="A428" s="537"/>
      <c r="B428" s="14"/>
      <c r="C428" s="732"/>
      <c r="D428" s="14"/>
      <c r="E428" s="692"/>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40"/>
      <c r="AG428" s="537"/>
      <c r="AL428" s="733"/>
      <c r="AM428" s="571"/>
      <c r="AN428" s="598"/>
    </row>
    <row r="429" spans="1:55" s="551" customFormat="1" ht="12.5" customHeight="1" x14ac:dyDescent="0.25">
      <c r="A429" s="537"/>
      <c r="B429" s="14"/>
      <c r="C429" s="732"/>
      <c r="D429" s="14"/>
      <c r="E429" s="692"/>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3"/>
      <c r="AM429" s="571"/>
      <c r="AN429" s="598"/>
    </row>
    <row r="430" spans="1:55" s="551" customFormat="1" ht="12.75" customHeight="1" x14ac:dyDescent="0.25">
      <c r="A430" s="537"/>
      <c r="B430" s="14"/>
      <c r="C430" s="2516" t="s">
        <v>592</v>
      </c>
      <c r="D430" s="2473"/>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1" t="s">
        <v>1463</v>
      </c>
      <c r="AG430" s="2441"/>
      <c r="AH430" s="2441"/>
      <c r="AI430" s="2441"/>
      <c r="AJ430" s="2441"/>
      <c r="AK430" s="2441"/>
      <c r="AL430" s="2521"/>
      <c r="AM430" s="571"/>
      <c r="AN430" s="598"/>
    </row>
    <row r="431" spans="1:55" s="551" customFormat="1" ht="12.75" customHeight="1" x14ac:dyDescent="0.25">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x14ac:dyDescent="0.25">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5" customHeight="1" x14ac:dyDescent="0.25">
      <c r="A433" s="537"/>
      <c r="C433" s="747"/>
      <c r="D433" s="748"/>
      <c r="E433" s="716" t="s">
        <v>1485</v>
      </c>
      <c r="F433" s="2519" t="s">
        <v>1486</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8"/>
      <c r="AG433" s="748"/>
      <c r="AH433" s="748"/>
      <c r="AI433" s="748"/>
      <c r="AJ433" s="748"/>
      <c r="AK433" s="748"/>
      <c r="AL433" s="749"/>
      <c r="AM433" s="571"/>
      <c r="AO433" s="551"/>
      <c r="AP433" s="551"/>
      <c r="BD433" s="14"/>
      <c r="BE433" s="14"/>
      <c r="BF433" s="14"/>
      <c r="BG433" s="14"/>
      <c r="BH433" s="14"/>
    </row>
    <row r="434" spans="1:60" ht="13" x14ac:dyDescent="0.25">
      <c r="A434" s="537"/>
      <c r="C434" s="732"/>
      <c r="E434" s="692"/>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5"/>
      <c r="AG434" s="595"/>
      <c r="AH434" s="595"/>
      <c r="AI434" s="595"/>
      <c r="AJ434" s="595"/>
      <c r="AK434" s="595"/>
      <c r="AL434" s="751"/>
      <c r="AM434" s="571"/>
      <c r="AO434" s="551"/>
      <c r="AP434" s="551"/>
    </row>
    <row r="435" spans="1:60" s="551" customFormat="1" ht="12.75" customHeight="1" x14ac:dyDescent="0.25">
      <c r="A435" s="537"/>
      <c r="B435" s="14"/>
      <c r="C435" s="732"/>
      <c r="D435" s="14"/>
      <c r="E435" s="692"/>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5"/>
      <c r="AG435" s="595"/>
      <c r="AH435" s="595"/>
      <c r="AI435" s="595"/>
      <c r="AJ435" s="595"/>
      <c r="AK435" s="595"/>
      <c r="AL435" s="751"/>
      <c r="AM435" s="571"/>
      <c r="AN435" s="598"/>
    </row>
    <row r="436" spans="1:60" s="551" customFormat="1" ht="12.75" customHeight="1" x14ac:dyDescent="0.25">
      <c r="A436" s="537"/>
      <c r="B436" s="14"/>
      <c r="C436" s="752"/>
      <c r="D436" s="731"/>
      <c r="E436" s="720"/>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5"/>
      <c r="AG436" s="595"/>
      <c r="AH436" s="595"/>
      <c r="AI436" s="595"/>
      <c r="AJ436" s="595"/>
      <c r="AK436" s="595"/>
      <c r="AL436" s="751"/>
      <c r="AM436" s="571"/>
      <c r="AN436" s="598"/>
      <c r="AO436" s="30"/>
      <c r="AP436" s="14"/>
    </row>
    <row r="437" spans="1:60" s="551" customFormat="1" ht="12.75" customHeight="1" x14ac:dyDescent="0.25">
      <c r="A437" s="537"/>
      <c r="B437" s="14"/>
      <c r="C437" s="752"/>
      <c r="D437" s="731"/>
      <c r="E437" s="720"/>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5"/>
      <c r="AG437" s="595"/>
      <c r="AH437" s="595"/>
      <c r="AI437" s="595"/>
      <c r="AJ437" s="595"/>
      <c r="AK437" s="595"/>
      <c r="AL437" s="751"/>
      <c r="AM437" s="571"/>
      <c r="AN437" s="598"/>
    </row>
    <row r="438" spans="1:60" s="551" customFormat="1" ht="12.75" customHeight="1" x14ac:dyDescent="0.25">
      <c r="A438" s="537"/>
      <c r="B438" s="14"/>
      <c r="C438" s="752"/>
      <c r="D438" s="731"/>
      <c r="E438" s="720"/>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5"/>
      <c r="AG438" s="595"/>
      <c r="AH438" s="595"/>
      <c r="AI438" s="595"/>
      <c r="AJ438" s="595"/>
      <c r="AK438" s="595"/>
      <c r="AL438" s="751"/>
      <c r="AM438" s="571"/>
      <c r="AN438" s="598"/>
    </row>
    <row r="439" spans="1:60" s="551" customFormat="1" ht="12.75" customHeight="1" x14ac:dyDescent="0.25">
      <c r="A439" s="537"/>
      <c r="B439" s="14"/>
      <c r="C439" s="752"/>
      <c r="D439" s="731"/>
      <c r="E439" s="720"/>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5"/>
      <c r="AG439" s="595"/>
      <c r="AH439" s="595"/>
      <c r="AI439" s="595"/>
      <c r="AJ439" s="595"/>
      <c r="AK439" s="595"/>
      <c r="AL439" s="751"/>
      <c r="AM439" s="571"/>
      <c r="AN439" s="598"/>
    </row>
    <row r="440" spans="1:60" s="551" customFormat="1" ht="12.75" customHeight="1" x14ac:dyDescent="0.25">
      <c r="A440" s="537"/>
      <c r="B440" s="14"/>
      <c r="C440" s="752"/>
      <c r="D440" s="731"/>
      <c r="E440" s="720"/>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5"/>
      <c r="AG440" s="595"/>
      <c r="AH440" s="595"/>
      <c r="AI440" s="595"/>
      <c r="AJ440" s="595"/>
      <c r="AK440" s="595"/>
      <c r="AL440" s="751"/>
      <c r="AM440" s="571"/>
      <c r="AN440" s="598"/>
    </row>
    <row r="441" spans="1:60" s="551" customFormat="1" ht="17.25" customHeight="1" x14ac:dyDescent="0.25">
      <c r="A441" s="537"/>
      <c r="B441" s="14"/>
      <c r="C441" s="752"/>
      <c r="D441" s="731"/>
      <c r="E441" s="720"/>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3"/>
      <c r="AM441" s="571"/>
      <c r="AN441" s="598"/>
    </row>
    <row r="442" spans="1:60" s="551" customFormat="1" ht="12.75" customHeight="1" x14ac:dyDescent="0.25">
      <c r="A442" s="537"/>
      <c r="B442" s="14"/>
      <c r="C442" s="2516" t="s">
        <v>546</v>
      </c>
      <c r="D442" s="2473"/>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1" t="s">
        <v>1463</v>
      </c>
      <c r="AG442" s="2441"/>
      <c r="AH442" s="2441"/>
      <c r="AI442" s="2441"/>
      <c r="AJ442" s="2441"/>
      <c r="AK442" s="2441"/>
      <c r="AL442" s="2521"/>
      <c r="AM442" s="571"/>
      <c r="AN442" s="598"/>
    </row>
    <row r="443" spans="1:60" s="551" customFormat="1" ht="12.75" customHeight="1" x14ac:dyDescent="0.25">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x14ac:dyDescent="0.3">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x14ac:dyDescent="0.25">
      <c r="A445" s="537"/>
      <c r="B445" s="14"/>
      <c r="C445" s="714"/>
      <c r="D445" s="715"/>
      <c r="E445" s="716" t="s">
        <v>1488</v>
      </c>
      <c r="F445" s="2519" t="s">
        <v>1489</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5"/>
      <c r="AG445" s="715"/>
      <c r="AH445" s="715"/>
      <c r="AI445" s="715"/>
      <c r="AJ445" s="715"/>
      <c r="AK445" s="715"/>
      <c r="AL445" s="746"/>
      <c r="AM445" s="571"/>
      <c r="AN445" s="598"/>
    </row>
    <row r="446" spans="1:60" s="551" customFormat="1" ht="12.75" customHeight="1" x14ac:dyDescent="0.3">
      <c r="A446" s="537"/>
      <c r="B446" s="14"/>
      <c r="C446" s="752"/>
      <c r="D446" s="731"/>
      <c r="E446" s="720"/>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2"/>
      <c r="AG446" s="592"/>
      <c r="AH446" s="592"/>
      <c r="AI446" s="592"/>
      <c r="AJ446" s="592"/>
      <c r="AK446" s="592"/>
      <c r="AL446" s="721"/>
      <c r="AM446" s="571"/>
      <c r="AN446" s="598"/>
    </row>
    <row r="447" spans="1:60" s="551" customFormat="1" ht="12.75" customHeight="1" x14ac:dyDescent="0.3">
      <c r="A447" s="537"/>
      <c r="B447" s="14"/>
      <c r="C447" s="752"/>
      <c r="D447" s="731"/>
      <c r="E447" s="720"/>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2"/>
      <c r="AG447" s="592"/>
      <c r="AH447" s="592"/>
      <c r="AI447" s="592"/>
      <c r="AJ447" s="592"/>
      <c r="AK447" s="592"/>
      <c r="AL447" s="721"/>
      <c r="AM447" s="571"/>
      <c r="AN447" s="598"/>
    </row>
    <row r="448" spans="1:60" s="551" customFormat="1" ht="12.75" customHeight="1" x14ac:dyDescent="0.25">
      <c r="A448" s="537"/>
      <c r="B448" s="14"/>
      <c r="C448" s="752"/>
      <c r="D448" s="731"/>
      <c r="E448" s="720"/>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3"/>
      <c r="AM448" s="571"/>
      <c r="AN448" s="598"/>
    </row>
    <row r="449" spans="1:40" s="551" customFormat="1" ht="12.75" customHeight="1" x14ac:dyDescent="0.25">
      <c r="A449" s="537"/>
      <c r="B449" s="14"/>
      <c r="C449" s="2516" t="s">
        <v>546</v>
      </c>
      <c r="D449" s="2473"/>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1" t="s">
        <v>1463</v>
      </c>
      <c r="AG449" s="2441"/>
      <c r="AH449" s="2441"/>
      <c r="AI449" s="2441"/>
      <c r="AJ449" s="2441"/>
      <c r="AK449" s="2441"/>
      <c r="AL449" s="2521"/>
      <c r="AM449" s="571"/>
      <c r="AN449" s="754"/>
    </row>
    <row r="450" spans="1:40" s="551" customFormat="1" ht="12.75" customHeight="1" x14ac:dyDescent="0.3">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x14ac:dyDescent="0.3">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x14ac:dyDescent="0.3">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x14ac:dyDescent="0.25">
      <c r="A453" s="537"/>
      <c r="B453" s="14"/>
      <c r="C453" s="2522" t="s">
        <v>592</v>
      </c>
      <c r="D453" s="2523"/>
      <c r="E453" s="716" t="s">
        <v>1498</v>
      </c>
      <c r="F453" s="2519" t="s">
        <v>1499</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1463</v>
      </c>
      <c r="AG453" s="2540"/>
      <c r="AH453" s="2540"/>
      <c r="AI453" s="2540"/>
      <c r="AJ453" s="2540"/>
      <c r="AK453" s="2540"/>
      <c r="AL453" s="2541"/>
      <c r="AM453" s="571"/>
      <c r="AN453" s="754"/>
    </row>
    <row r="454" spans="1:40" s="551" customFormat="1" ht="12.75" customHeight="1" x14ac:dyDescent="0.3">
      <c r="A454" s="537"/>
      <c r="B454" s="14"/>
      <c r="C454" s="752"/>
      <c r="D454" s="731"/>
      <c r="E454" s="720"/>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2"/>
      <c r="AG454" s="592"/>
      <c r="AH454" s="592"/>
      <c r="AI454" s="592"/>
      <c r="AJ454" s="592"/>
      <c r="AK454" s="592"/>
      <c r="AL454" s="721"/>
      <c r="AM454" s="571"/>
      <c r="AN454" s="755"/>
    </row>
    <row r="455" spans="1:40" s="551" customFormat="1" ht="17.75" customHeight="1" x14ac:dyDescent="0.3">
      <c r="A455" s="537"/>
      <c r="B455" s="14"/>
      <c r="C455" s="757"/>
      <c r="D455" s="724"/>
      <c r="E455" s="725"/>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9"/>
      <c r="AG455" s="729"/>
      <c r="AH455" s="729"/>
      <c r="AI455" s="729"/>
      <c r="AJ455" s="729"/>
      <c r="AK455" s="729"/>
      <c r="AL455" s="758"/>
      <c r="AM455" s="571"/>
      <c r="AN455" s="536"/>
    </row>
    <row r="456" spans="1:40" s="551" customFormat="1" ht="12.75" customHeight="1" x14ac:dyDescent="0.3">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x14ac:dyDescent="0.25">
      <c r="A457" s="537"/>
      <c r="B457" s="14"/>
      <c r="C457" s="2516" t="s">
        <v>592</v>
      </c>
      <c r="D457" s="2473"/>
      <c r="E457" s="716" t="s">
        <v>1504</v>
      </c>
      <c r="F457" s="2519" t="s">
        <v>1505</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1463</v>
      </c>
      <c r="AG457" s="2540"/>
      <c r="AH457" s="2540"/>
      <c r="AI457" s="2540"/>
      <c r="AJ457" s="2540"/>
      <c r="AK457" s="2540"/>
      <c r="AL457" s="2541"/>
      <c r="AM457" s="571"/>
      <c r="AN457" s="536"/>
    </row>
    <row r="458" spans="1:40" s="551" customFormat="1" ht="12.75" customHeight="1" x14ac:dyDescent="0.3">
      <c r="A458" s="537"/>
      <c r="B458" s="14"/>
      <c r="C458" s="732"/>
      <c r="D458" s="14"/>
      <c r="E458" s="692"/>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40"/>
      <c r="AG458" s="537"/>
      <c r="AL458" s="733"/>
      <c r="AM458" s="571"/>
      <c r="AN458" s="536"/>
    </row>
    <row r="459" spans="1:40" s="551" customFormat="1" ht="12.75" customHeight="1" x14ac:dyDescent="0.3">
      <c r="A459" s="537"/>
      <c r="B459" s="14"/>
      <c r="C459" s="732"/>
      <c r="D459" s="14"/>
      <c r="E459" s="692"/>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40"/>
      <c r="AG459" s="537"/>
      <c r="AL459" s="733"/>
      <c r="AM459" s="571"/>
      <c r="AN459" s="536"/>
    </row>
    <row r="460" spans="1:40" s="551" customFormat="1" ht="12.75" customHeight="1" x14ac:dyDescent="0.3">
      <c r="A460" s="537"/>
      <c r="B460" s="14"/>
      <c r="C460" s="757"/>
      <c r="D460" s="724"/>
      <c r="E460" s="725"/>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9"/>
      <c r="AG460" s="729"/>
      <c r="AH460" s="729"/>
      <c r="AI460" s="729"/>
      <c r="AJ460" s="729"/>
      <c r="AK460" s="729"/>
      <c r="AL460" s="758"/>
      <c r="AM460" s="571"/>
      <c r="AN460" s="598"/>
    </row>
    <row r="461" spans="1:40" s="551" customFormat="1" ht="12.75" customHeight="1" x14ac:dyDescent="0.25">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x14ac:dyDescent="0.25">
      <c r="A462" s="537"/>
      <c r="B462" s="14"/>
      <c r="C462" s="714"/>
      <c r="D462" s="715"/>
      <c r="E462" s="716" t="s">
        <v>1507</v>
      </c>
      <c r="F462" s="2519" t="s">
        <v>1508</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5"/>
      <c r="AH462" s="715"/>
      <c r="AI462" s="715"/>
      <c r="AJ462" s="715"/>
      <c r="AK462" s="715"/>
      <c r="AL462" s="746"/>
      <c r="AM462" s="571"/>
      <c r="AN462" s="598"/>
    </row>
    <row r="463" spans="1:40" s="551" customFormat="1" ht="12.75" customHeight="1" x14ac:dyDescent="0.25">
      <c r="A463" s="537"/>
      <c r="B463" s="14"/>
      <c r="C463" s="732"/>
      <c r="D463" s="14"/>
      <c r="E463" s="692"/>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3"/>
      <c r="AM463" s="571"/>
      <c r="AN463" s="598"/>
    </row>
    <row r="464" spans="1:40" s="551" customFormat="1" ht="12.75" customHeight="1" x14ac:dyDescent="0.25">
      <c r="A464" s="537"/>
      <c r="B464" s="14"/>
      <c r="C464" s="740"/>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3"/>
      <c r="AM464" s="571"/>
      <c r="AN464" s="598"/>
    </row>
    <row r="465" spans="1:58" s="551" customFormat="1" ht="12.75" customHeight="1" x14ac:dyDescent="0.25">
      <c r="A465" s="537"/>
      <c r="B465" s="14"/>
      <c r="C465" s="740"/>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3"/>
      <c r="AM465" s="571"/>
      <c r="AN465" s="598"/>
    </row>
    <row r="466" spans="1:58" s="551" customFormat="1" ht="12.75" customHeight="1" x14ac:dyDescent="0.3">
      <c r="A466" s="537"/>
      <c r="B466" s="14"/>
      <c r="C466" s="2516" t="s">
        <v>592</v>
      </c>
      <c r="D466" s="2473"/>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7" t="s">
        <v>1463</v>
      </c>
      <c r="AG466" s="2517"/>
      <c r="AH466" s="2517"/>
      <c r="AI466" s="2517"/>
      <c r="AJ466" s="2517"/>
      <c r="AK466" s="2517"/>
      <c r="AL466" s="2518"/>
      <c r="AM466" s="571"/>
      <c r="AN466" s="598"/>
    </row>
    <row r="467" spans="1:58" s="551" customFormat="1" ht="12.75" customHeight="1" x14ac:dyDescent="0.25">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x14ac:dyDescent="0.25">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x14ac:dyDescent="0.3">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6">
        <f>IF(Application!D214="N/A",AS358,AS360)</f>
        <v>10</v>
      </c>
      <c r="AL469" s="2477"/>
      <c r="AM469" s="2478"/>
      <c r="AN469" s="598"/>
    </row>
    <row r="470" spans="1:58" s="551" customFormat="1" ht="12.75" customHeight="1" thickBot="1" x14ac:dyDescent="0.3">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x14ac:dyDescent="0.3">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x14ac:dyDescent="0.3">
      <c r="A472" s="540" t="s">
        <v>1511</v>
      </c>
      <c r="C472" s="540"/>
      <c r="E472" s="597"/>
      <c r="AE472" s="2517" t="s">
        <v>1512</v>
      </c>
      <c r="AF472" s="2517"/>
      <c r="AG472" s="2517"/>
      <c r="AH472" s="2517"/>
      <c r="AI472" s="2517"/>
      <c r="AJ472" s="2517"/>
      <c r="AK472" s="2517"/>
      <c r="AL472" s="592"/>
      <c r="AN472" s="598"/>
      <c r="AO472" s="551" t="s">
        <v>1490</v>
      </c>
      <c r="AP472" s="551">
        <v>5</v>
      </c>
      <c r="AT472" s="551" t="s">
        <v>1490</v>
      </c>
      <c r="AU472" s="551">
        <v>5</v>
      </c>
      <c r="AV472" s="753"/>
    </row>
    <row r="473" spans="1:58" s="551" customFormat="1" ht="12.75" hidden="1" customHeight="1" x14ac:dyDescent="0.3">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x14ac:dyDescent="0.3">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x14ac:dyDescent="0.3">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x14ac:dyDescent="0.3">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x14ac:dyDescent="0.3">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x14ac:dyDescent="0.3">
      <c r="A478" s="540"/>
      <c r="C478" s="2542" t="s">
        <v>592</v>
      </c>
      <c r="D478" s="2543"/>
      <c r="E478" s="762"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5"/>
      <c r="AG478" s="715"/>
      <c r="AH478" s="715"/>
      <c r="AI478" s="715"/>
      <c r="AJ478" s="715"/>
      <c r="AK478" s="746"/>
      <c r="AN478" s="598"/>
      <c r="AO478" s="551" t="s">
        <v>1519</v>
      </c>
      <c r="AP478" s="551">
        <v>5</v>
      </c>
      <c r="AS478" s="759"/>
      <c r="AT478" s="551" t="s">
        <v>1497</v>
      </c>
      <c r="AU478" s="551">
        <v>5</v>
      </c>
    </row>
    <row r="479" spans="1:58" s="551" customFormat="1" ht="12.75" hidden="1" customHeight="1" x14ac:dyDescent="0.2">
      <c r="C479" s="763"/>
      <c r="E479" s="764"/>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2"/>
      <c r="AH479" s="552"/>
      <c r="AI479" s="552"/>
      <c r="AJ479" s="552"/>
      <c r="AK479" s="733"/>
      <c r="AN479" s="598"/>
      <c r="AO479" s="551" t="s">
        <v>1500</v>
      </c>
      <c r="AP479" s="551">
        <v>1</v>
      </c>
      <c r="AT479" s="551" t="s">
        <v>1500</v>
      </c>
      <c r="AU479" s="551">
        <v>1</v>
      </c>
    </row>
    <row r="480" spans="1:58" s="551" customFormat="1" ht="12.75" hidden="1" customHeight="1" x14ac:dyDescent="0.25">
      <c r="C480" s="765"/>
      <c r="D480" s="728"/>
      <c r="E480" s="766"/>
      <c r="F480" s="2618" t="s">
        <v>592</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x14ac:dyDescent="0.25">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x14ac:dyDescent="0.25">
      <c r="C482" s="2619" t="s">
        <v>546</v>
      </c>
      <c r="D482" s="262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x14ac:dyDescent="0.3">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x14ac:dyDescent="0.25">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x14ac:dyDescent="0.25">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7" t="s">
        <v>592</v>
      </c>
      <c r="W485" s="2617"/>
      <c r="X485" s="2617"/>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x14ac:dyDescent="0.25">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x14ac:dyDescent="0.25">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7" t="s">
        <v>592</v>
      </c>
      <c r="W487" s="2617"/>
      <c r="X487" s="2617"/>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x14ac:dyDescent="0.25">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x14ac:dyDescent="0.2">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x14ac:dyDescent="0.25">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x14ac:dyDescent="0.25">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x14ac:dyDescent="0.25">
      <c r="C492" s="778"/>
      <c r="F492" s="776" t="s">
        <v>1532</v>
      </c>
      <c r="M492" s="764"/>
      <c r="N492" s="764"/>
      <c r="O492" s="764"/>
      <c r="P492" s="764"/>
      <c r="Q492" s="552"/>
      <c r="R492" s="552"/>
      <c r="S492" s="552"/>
      <c r="T492" s="552"/>
      <c r="U492" s="552"/>
      <c r="V492" s="2617" t="s">
        <v>592</v>
      </c>
      <c r="W492" s="2617"/>
      <c r="X492" s="2617"/>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x14ac:dyDescent="0.2">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x14ac:dyDescent="0.3">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x14ac:dyDescent="0.3">
      <c r="A495" s="551"/>
      <c r="B495" s="551"/>
      <c r="C495" s="782"/>
      <c r="D495" s="2607"/>
      <c r="E495" s="260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x14ac:dyDescent="0.25">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7" t="s">
        <v>592</v>
      </c>
      <c r="W496" s="2617"/>
      <c r="X496" s="2617"/>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x14ac:dyDescent="0.25">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x14ac:dyDescent="0.3">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7" t="s">
        <v>592</v>
      </c>
      <c r="W498" s="2617"/>
      <c r="X498" s="2617"/>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x14ac:dyDescent="0.3">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x14ac:dyDescent="0.3">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x14ac:dyDescent="0.3">
      <c r="A501" s="680"/>
      <c r="B501" s="551"/>
      <c r="C501" s="2542" t="s">
        <v>592</v>
      </c>
      <c r="D501" s="2543"/>
      <c r="E501" s="762"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x14ac:dyDescent="0.25">
      <c r="A502" s="680"/>
      <c r="B502" s="551"/>
      <c r="C502" s="763"/>
      <c r="D502" s="551"/>
      <c r="E502" s="764"/>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x14ac:dyDescent="0.25">
      <c r="A503" s="680"/>
      <c r="B503" s="551"/>
      <c r="C503" s="765"/>
      <c r="D503" s="728"/>
      <c r="E503" s="766"/>
      <c r="F503" s="2613" t="s">
        <v>592</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x14ac:dyDescent="0.3">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x14ac:dyDescent="0.25">
      <c r="A505" s="551"/>
      <c r="B505" s="551"/>
      <c r="C505" s="2542" t="s">
        <v>592</v>
      </c>
      <c r="D505" s="2543"/>
      <c r="E505" s="762" t="s">
        <v>758</v>
      </c>
      <c r="F505" s="2614" t="s">
        <v>1540</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x14ac:dyDescent="0.25">
      <c r="A506" s="551"/>
      <c r="B506" s="551"/>
      <c r="C506" s="763"/>
      <c r="D506" s="551"/>
      <c r="E506" s="764"/>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x14ac:dyDescent="0.3">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x14ac:dyDescent="0.25">
      <c r="A508" s="551"/>
      <c r="B508" s="551"/>
      <c r="C508" s="765"/>
      <c r="D508" s="728"/>
      <c r="E508" s="766"/>
      <c r="F508" s="2616" t="s">
        <v>592</v>
      </c>
      <c r="G508" s="2616"/>
      <c r="H508" s="261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x14ac:dyDescent="0.25">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x14ac:dyDescent="0.3">
      <c r="A510" s="551"/>
      <c r="B510" s="551"/>
      <c r="C510" s="2542" t="s">
        <v>592</v>
      </c>
      <c r="D510" s="254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x14ac:dyDescent="0.25">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x14ac:dyDescent="0.3">
      <c r="A512" s="551"/>
      <c r="B512" s="551"/>
      <c r="C512" s="2606"/>
      <c r="D512" s="260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x14ac:dyDescent="0.25">
      <c r="A513" s="551"/>
      <c r="B513" s="551"/>
      <c r="C513" s="763"/>
      <c r="D513" s="551"/>
      <c r="E513" s="764"/>
      <c r="F513" s="552"/>
      <c r="G513" s="2608" t="s">
        <v>592</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x14ac:dyDescent="0.25">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x14ac:dyDescent="0.3">
      <c r="A515" s="14"/>
      <c r="B515" s="551"/>
      <c r="C515" s="2546" t="s">
        <v>592</v>
      </c>
      <c r="D515" s="254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x14ac:dyDescent="0.3">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x14ac:dyDescent="0.3">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x14ac:dyDescent="0.3">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x14ac:dyDescent="0.3">
      <c r="A519" s="638"/>
      <c r="C519" s="2546" t="s">
        <v>592</v>
      </c>
      <c r="D519" s="2547"/>
      <c r="F519" s="796" t="s">
        <v>1548</v>
      </c>
      <c r="G519" s="2520" t="s">
        <v>1549</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x14ac:dyDescent="0.3">
      <c r="C520" s="797"/>
      <c r="D520" s="728"/>
      <c r="E520" s="766"/>
      <c r="F520" s="727"/>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x14ac:dyDescent="0.3">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x14ac:dyDescent="0.3">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x14ac:dyDescent="0.3">
      <c r="C523" s="2548" t="s">
        <v>592</v>
      </c>
      <c r="D523" s="254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x14ac:dyDescent="0.25">
      <c r="C524" s="719"/>
      <c r="E524" s="764"/>
      <c r="F524" s="2550" t="s">
        <v>592</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x14ac:dyDescent="0.25">
      <c r="C525" s="797"/>
      <c r="D525" s="728"/>
      <c r="E525" s="766"/>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x14ac:dyDescent="0.25">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x14ac:dyDescent="0.25">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x14ac:dyDescent="0.25">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x14ac:dyDescent="0.25">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x14ac:dyDescent="0.25">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x14ac:dyDescent="0.25">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x14ac:dyDescent="0.25">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x14ac:dyDescent="0.2">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x14ac:dyDescent="0.2">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x14ac:dyDescent="0.3">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6">
        <f>SUM(AG479:AG524)</f>
        <v>0</v>
      </c>
      <c r="AL535" s="2477"/>
      <c r="AM535" s="2478"/>
      <c r="AN535" s="598"/>
      <c r="AP535" s="537"/>
      <c r="AQ535" s="537"/>
      <c r="AR535" s="537"/>
      <c r="AS535" s="537"/>
      <c r="AT535" s="537"/>
      <c r="AU535" s="537"/>
      <c r="AV535" s="537"/>
      <c r="AW535" s="537"/>
      <c r="AX535" s="537"/>
      <c r="AY535" s="537"/>
      <c r="AZ535" s="537"/>
    </row>
    <row r="536" spans="1:81" s="551" customFormat="1" ht="12.75" hidden="1" customHeight="1" x14ac:dyDescent="0.3">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x14ac:dyDescent="0.25"/>
    <row r="538" spans="1:81" s="551" customFormat="1" ht="12.75" customHeight="1" x14ac:dyDescent="0.3">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6" t="s">
        <v>1561</v>
      </c>
      <c r="AF538" s="2406"/>
      <c r="AG538" s="2406"/>
      <c r="AH538" s="2406"/>
      <c r="AI538" s="2406"/>
      <c r="AJ538" s="2406"/>
      <c r="AK538" s="2406"/>
      <c r="AL538" s="596"/>
      <c r="AM538" s="596"/>
      <c r="AN538" s="598"/>
    </row>
    <row r="539" spans="1:81" s="551" customFormat="1" ht="12.75" customHeight="1" x14ac:dyDescent="0.3">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x14ac:dyDescent="0.3">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x14ac:dyDescent="0.3">
      <c r="A541" s="540"/>
      <c r="B541" s="540"/>
      <c r="C541" s="2473" t="s">
        <v>592</v>
      </c>
      <c r="D541" s="2473"/>
      <c r="E541" s="552"/>
      <c r="F541" s="2600" t="s">
        <v>1562</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6"/>
      <c r="AN541" s="598"/>
    </row>
    <row r="542" spans="1:81" s="551" customFormat="1" ht="12.75" customHeight="1" x14ac:dyDescent="0.3">
      <c r="A542" s="540"/>
      <c r="B542" s="540"/>
      <c r="C542" s="552"/>
      <c r="D542" s="552"/>
      <c r="E542" s="552"/>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6"/>
      <c r="AN542" s="598"/>
    </row>
    <row r="543" spans="1:81" s="551" customFormat="1" ht="12.75" customHeight="1" x14ac:dyDescent="0.3">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x14ac:dyDescent="0.3">
      <c r="A544" s="540"/>
      <c r="B544" s="807"/>
      <c r="C544" s="2473" t="s">
        <v>546</v>
      </c>
      <c r="D544" s="2473"/>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x14ac:dyDescent="0.25">
      <c r="B545" s="807"/>
      <c r="C545" s="807"/>
      <c r="D545" s="807"/>
      <c r="E545" s="807"/>
      <c r="F545" s="2495" t="s">
        <v>1564</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6"/>
      <c r="AN545" s="598"/>
      <c r="AS545" s="871"/>
      <c r="AT545" s="871"/>
      <c r="AU545" s="871"/>
      <c r="AV545" s="871"/>
      <c r="AW545" s="871"/>
    </row>
    <row r="546" spans="1:49" s="551" customFormat="1" ht="12.75" customHeight="1" x14ac:dyDescent="0.25">
      <c r="B546" s="807"/>
      <c r="C546" s="807"/>
      <c r="D546" s="807"/>
      <c r="E546" s="807"/>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6"/>
      <c r="AN546" s="598"/>
    </row>
    <row r="547" spans="1:49" s="551" customFormat="1" ht="12.75" customHeight="1" x14ac:dyDescent="0.25">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x14ac:dyDescent="0.25">
      <c r="B548" s="807"/>
      <c r="C548" s="807"/>
      <c r="D548" s="807"/>
      <c r="E548" s="807"/>
      <c r="F548" s="2495" t="s">
        <v>1565</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4"/>
      <c r="AM548" s="596"/>
      <c r="AN548" s="598"/>
    </row>
    <row r="549" spans="1:49" s="551" customFormat="1" ht="12.75" customHeight="1" x14ac:dyDescent="0.25">
      <c r="B549" s="807"/>
      <c r="C549" s="807"/>
      <c r="D549" s="807"/>
      <c r="E549" s="807"/>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5"/>
      <c r="AM549" s="596"/>
      <c r="AN549" s="598"/>
    </row>
    <row r="550" spans="1:49" s="551" customFormat="1" ht="12.75" customHeight="1" x14ac:dyDescent="0.25">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2">
        <f>Application!AJ992</f>
        <v>51390615</v>
      </c>
      <c r="AQ550" s="2622"/>
      <c r="AR550" s="2622"/>
      <c r="AS550" s="551" t="s">
        <v>2172</v>
      </c>
    </row>
    <row r="551" spans="1:49" s="551" customFormat="1" ht="12.75" customHeight="1" x14ac:dyDescent="0.3">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9">
        <f>'Sources and Uses Budget'!S107+'Sources and Uses Budget'!T107</f>
        <v>72534901</v>
      </c>
      <c r="AG551" s="2479"/>
      <c r="AH551" s="2479"/>
      <c r="AI551" s="2479"/>
      <c r="AJ551" s="2479"/>
      <c r="AK551" s="596"/>
      <c r="AL551" s="596"/>
      <c r="AM551" s="596"/>
      <c r="AN551" s="598"/>
    </row>
    <row r="552" spans="1:49" s="551" customFormat="1" ht="12.75" customHeight="1" x14ac:dyDescent="0.25">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7">
        <f>IFERROR(AP559,0)</f>
        <v>107920292</v>
      </c>
      <c r="AG552" s="2627"/>
      <c r="AH552" s="2627"/>
      <c r="AI552" s="2627"/>
      <c r="AJ552" s="2627"/>
      <c r="AK552" s="596"/>
      <c r="AL552" s="596"/>
      <c r="AM552" s="596"/>
      <c r="AN552" s="598"/>
      <c r="AP552" s="2622">
        <f>Application!AJ1045</f>
        <v>0</v>
      </c>
      <c r="AQ552" s="2622"/>
      <c r="AR552" s="2622"/>
      <c r="AS552" s="551" t="s">
        <v>1866</v>
      </c>
    </row>
    <row r="553" spans="1:49" s="551" customFormat="1" ht="12.75" customHeight="1" x14ac:dyDescent="0.25">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8">
        <f>IFERROR(ROUNDDOWN(IF(C544="YES",((1-(AF551/AF552))*2),(1-(AF551/AF552))),2),0)</f>
        <v>0.65</v>
      </c>
      <c r="AG553" s="2628"/>
      <c r="AH553" s="2628"/>
      <c r="AI553" s="2628"/>
      <c r="AJ553" s="2628"/>
      <c r="AK553" s="596"/>
      <c r="AL553" s="596"/>
      <c r="AM553" s="596"/>
      <c r="AN553" s="598"/>
      <c r="AP553" s="2625">
        <f>Application!AJ1049</f>
        <v>51390615</v>
      </c>
      <c r="AQ553" s="2625"/>
      <c r="AR553" s="2625"/>
      <c r="AS553" s="551" t="s">
        <v>2173</v>
      </c>
    </row>
    <row r="554" spans="1:49" s="551" customFormat="1" ht="12.75" customHeight="1" x14ac:dyDescent="0.25">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1">
        <f>IF(((AP552+AP553)/AP550)&gt;0.8,0.8,((AP552+AP553)/AP550))</f>
        <v>0.8</v>
      </c>
      <c r="AQ554" s="2621"/>
      <c r="AR554" s="2621"/>
      <c r="AS554" s="551" t="s">
        <v>2174</v>
      </c>
    </row>
    <row r="555" spans="1:49" s="551" customFormat="1" ht="12.75" customHeight="1" x14ac:dyDescent="0.25">
      <c r="A555" s="625"/>
      <c r="B555" s="2558" t="s">
        <v>2034</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6"/>
      <c r="AL555" s="596"/>
      <c r="AM555" s="596"/>
      <c r="AN555" s="598"/>
    </row>
    <row r="556" spans="1:49" s="551" customFormat="1" ht="12.75" customHeight="1" x14ac:dyDescent="0.25">
      <c r="A556" s="625"/>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6"/>
      <c r="AL556" s="596"/>
      <c r="AM556" s="596"/>
      <c r="AN556" s="598"/>
      <c r="AP556" s="2622">
        <f>AP557-AP552-AP553</f>
        <v>66807800</v>
      </c>
      <c r="AQ556" s="2531"/>
      <c r="AR556" s="2531"/>
      <c r="AS556" s="551" t="s">
        <v>2176</v>
      </c>
    </row>
    <row r="557" spans="1:49" s="551" customFormat="1" ht="12.75" customHeight="1" x14ac:dyDescent="0.25">
      <c r="A557" s="625"/>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6"/>
      <c r="AL557" s="596"/>
      <c r="AM557" s="596"/>
      <c r="AN557" s="598"/>
      <c r="AP557" s="2622">
        <f>Application!AJ1053</f>
        <v>118198415</v>
      </c>
      <c r="AQ557" s="2622"/>
      <c r="AR557" s="2622"/>
      <c r="AS557" s="551" t="s">
        <v>2175</v>
      </c>
    </row>
    <row r="558" spans="1:49" s="551" customFormat="1" ht="12.75" customHeight="1" x14ac:dyDescent="0.3">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x14ac:dyDescent="0.3">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7">
        <f>IFERROR(IF(AND(C541="N/A",C544="N/A"),0,IF(AF553=0,0,IF((AF553*100)&gt;12,12,(AF553*100)))),0)</f>
        <v>12</v>
      </c>
      <c r="AL559" s="2567"/>
      <c r="AM559" s="2568"/>
      <c r="AN559" s="598"/>
      <c r="AP559" s="2639">
        <f>AP556+(AP550*AP554)</f>
        <v>107920292</v>
      </c>
      <c r="AQ559" s="2640"/>
      <c r="AR559" s="2641"/>
    </row>
    <row r="560" spans="1:49" s="551" customFormat="1" ht="12.75" customHeight="1" thickBot="1" x14ac:dyDescent="0.3">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x14ac:dyDescent="0.25">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x14ac:dyDescent="0.3">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6" t="s">
        <v>1315</v>
      </c>
      <c r="AF562" s="2406"/>
      <c r="AG562" s="2406"/>
      <c r="AH562" s="2406"/>
      <c r="AI562" s="2406"/>
      <c r="AJ562" s="2406"/>
      <c r="AK562" s="2406"/>
      <c r="AL562" s="592"/>
      <c r="AM562" s="604"/>
      <c r="AN562" s="598"/>
    </row>
    <row r="563" spans="1:42" s="551" customFormat="1" ht="12.75" customHeight="1" x14ac:dyDescent="0.2">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x14ac:dyDescent="0.2">
      <c r="A564" s="604"/>
      <c r="B564" s="2496" t="s">
        <v>2025</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3"/>
      <c r="AL564" s="574"/>
      <c r="AM564" s="604"/>
      <c r="AN564" s="598"/>
    </row>
    <row r="565" spans="1:42" s="551" customFormat="1" ht="12.75" customHeight="1" x14ac:dyDescent="0.2">
      <c r="A565" s="604"/>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3"/>
      <c r="AL565" s="574"/>
      <c r="AM565" s="604"/>
      <c r="AN565" s="598"/>
    </row>
    <row r="566" spans="1:42" s="551" customFormat="1" ht="12.75" customHeight="1" x14ac:dyDescent="0.2">
      <c r="A566" s="604"/>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3"/>
      <c r="AL566" s="574"/>
      <c r="AM566" s="604"/>
      <c r="AN566" s="598"/>
    </row>
    <row r="567" spans="1:42" s="551" customFormat="1" ht="12.75" customHeight="1" x14ac:dyDescent="0.2">
      <c r="A567" s="604"/>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3"/>
      <c r="AL567" s="574"/>
      <c r="AM567" s="604"/>
      <c r="AN567" s="598"/>
    </row>
    <row r="568" spans="1:42" s="551" customFormat="1" ht="12.75" customHeight="1" x14ac:dyDescent="0.2">
      <c r="A568" s="604"/>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3"/>
      <c r="AL568" s="574"/>
      <c r="AM568" s="604"/>
      <c r="AN568" s="598"/>
    </row>
    <row r="569" spans="1:42" s="551" customFormat="1" ht="12.75" customHeight="1" x14ac:dyDescent="0.2">
      <c r="A569" s="604"/>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3"/>
      <c r="AL569" s="574"/>
      <c r="AM569" s="604"/>
      <c r="AN569" s="598"/>
    </row>
    <row r="570" spans="1:42" s="551" customFormat="1" ht="12.75" customHeight="1" x14ac:dyDescent="0.2">
      <c r="A570" s="604"/>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3"/>
      <c r="AL570" s="574"/>
      <c r="AM570" s="604"/>
      <c r="AN570" s="598"/>
    </row>
    <row r="571" spans="1:42" ht="12.75" customHeight="1" x14ac:dyDescent="0.25">
      <c r="A571" s="604"/>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3"/>
      <c r="AL571" s="574"/>
      <c r="AM571" s="604"/>
    </row>
    <row r="572" spans="1:42" s="551" customFormat="1" ht="12.75" customHeight="1" x14ac:dyDescent="0.2">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3"/>
      <c r="AL572" s="574"/>
      <c r="AN572" s="598"/>
    </row>
    <row r="573" spans="1:42" s="551" customFormat="1" ht="12.75" customHeight="1" x14ac:dyDescent="0.2">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x14ac:dyDescent="0.2">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x14ac:dyDescent="0.25">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x14ac:dyDescent="0.3">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x14ac:dyDescent="0.25">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x14ac:dyDescent="0.25">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1" t="s">
        <v>1339</v>
      </c>
      <c r="AG578" s="2441"/>
      <c r="AH578" s="2441"/>
      <c r="AI578" s="2441"/>
      <c r="AJ578" s="2441"/>
      <c r="AK578" s="2441"/>
      <c r="AL578" s="2441"/>
      <c r="AN578" s="598"/>
    </row>
    <row r="579" spans="1:42" s="551" customFormat="1" ht="12.75" customHeight="1" x14ac:dyDescent="0.25">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x14ac:dyDescent="0.25">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x14ac:dyDescent="0.25">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x14ac:dyDescent="0.25">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x14ac:dyDescent="0.25">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x14ac:dyDescent="0.25">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x14ac:dyDescent="0.25">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1" t="s">
        <v>1397</v>
      </c>
      <c r="AG585" s="2441"/>
      <c r="AH585" s="2441"/>
      <c r="AI585" s="2441"/>
      <c r="AJ585" s="2441"/>
      <c r="AK585" s="2441"/>
      <c r="AL585" s="2441"/>
      <c r="AN585" s="598"/>
    </row>
    <row r="586" spans="1:42" s="551" customFormat="1" ht="12.75" customHeight="1" x14ac:dyDescent="0.3">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x14ac:dyDescent="0.25">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x14ac:dyDescent="0.25">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x14ac:dyDescent="0.25">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x14ac:dyDescent="0.25">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x14ac:dyDescent="0.25">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1" t="s">
        <v>1379</v>
      </c>
      <c r="AG591" s="2441"/>
      <c r="AH591" s="2441"/>
      <c r="AI591" s="2441"/>
      <c r="AJ591" s="2441"/>
      <c r="AK591" s="2441"/>
      <c r="AL591" s="2441"/>
      <c r="AN591" s="598"/>
      <c r="AO591" s="612" t="s">
        <v>1399</v>
      </c>
      <c r="AP591" s="551">
        <v>3</v>
      </c>
    </row>
    <row r="592" spans="1:42" s="551" customFormat="1" ht="12.75" customHeight="1" x14ac:dyDescent="0.3">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x14ac:dyDescent="0.3">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x14ac:dyDescent="0.3">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x14ac:dyDescent="0.3">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x14ac:dyDescent="0.25">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x14ac:dyDescent="0.25">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1" t="s">
        <v>1400</v>
      </c>
      <c r="AG597" s="2441"/>
      <c r="AH597" s="2441"/>
      <c r="AI597" s="2441"/>
      <c r="AJ597" s="2441"/>
      <c r="AK597" s="2441"/>
      <c r="AL597" s="2441"/>
      <c r="AN597" s="598"/>
      <c r="AO597" s="551" t="str">
        <f>X634</f>
        <v>N/A</v>
      </c>
    </row>
    <row r="598" spans="1:53" s="551" customFormat="1" ht="12.75" customHeight="1" x14ac:dyDescent="0.3">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x14ac:dyDescent="0.25">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x14ac:dyDescent="0.25">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x14ac:dyDescent="0.25">
      <c r="B601" s="611"/>
      <c r="C601" s="932"/>
      <c r="D601" s="664"/>
      <c r="E601" s="537" t="s">
        <v>1867</v>
      </c>
      <c r="O601" s="2527" t="s">
        <v>1185</v>
      </c>
      <c r="P601" s="2527"/>
      <c r="Q601" s="2527"/>
      <c r="R601" s="2527"/>
      <c r="S601" s="2527"/>
      <c r="T601" s="2527"/>
      <c r="U601" s="2527"/>
      <c r="V601" s="2527"/>
      <c r="W601" s="2527"/>
      <c r="X601" s="2527"/>
      <c r="Y601" s="2527"/>
      <c r="Z601" s="2527"/>
      <c r="AA601" s="2527"/>
      <c r="AB601" s="2527"/>
      <c r="AH601" s="537"/>
      <c r="AI601" s="537"/>
      <c r="AJ601" s="537"/>
      <c r="AK601" s="537"/>
      <c r="AL601" s="537"/>
      <c r="AN601" s="598"/>
    </row>
    <row r="602" spans="1:53" s="551" customFormat="1" ht="12.75" customHeight="1" x14ac:dyDescent="0.25">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x14ac:dyDescent="0.25">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1" t="s">
        <v>1353</v>
      </c>
      <c r="AG603" s="2441"/>
      <c r="AH603" s="2441"/>
      <c r="AI603" s="2441"/>
      <c r="AJ603" s="2441"/>
      <c r="AK603" s="2441"/>
      <c r="AL603" s="2441"/>
      <c r="AN603" s="598"/>
    </row>
    <row r="604" spans="1:53" s="551" customFormat="1" ht="12.75" customHeight="1" x14ac:dyDescent="0.25">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x14ac:dyDescent="0.3">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x14ac:dyDescent="0.3">
      <c r="B606" s="537"/>
      <c r="C606" s="934"/>
      <c r="D606" s="537" t="s">
        <v>1401</v>
      </c>
      <c r="E606" s="937"/>
      <c r="F606" s="937"/>
      <c r="G606" s="937"/>
      <c r="H606" s="2525" t="s">
        <v>688</v>
      </c>
      <c r="I606" s="2525"/>
      <c r="J606" s="937"/>
      <c r="K606" s="937"/>
      <c r="L606" s="937"/>
      <c r="N606" s="22"/>
      <c r="O606" s="22"/>
      <c r="P606" s="22"/>
      <c r="Q606" s="1153" t="s">
        <v>2179</v>
      </c>
      <c r="R606" s="2528"/>
      <c r="S606" s="2528"/>
      <c r="T606" s="2528"/>
      <c r="U606" s="2528"/>
      <c r="V606" s="2528"/>
      <c r="W606" s="252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x14ac:dyDescent="0.3">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8"/>
      <c r="AO607" s="612" t="s">
        <v>510</v>
      </c>
      <c r="AP607" s="551">
        <v>2</v>
      </c>
      <c r="AT607" s="612" t="s">
        <v>510</v>
      </c>
      <c r="AU607" s="551">
        <v>2</v>
      </c>
    </row>
    <row r="608" spans="1:53" s="551" customFormat="1" ht="12.75" customHeight="1" x14ac:dyDescent="0.3">
      <c r="B608" s="537"/>
      <c r="C608" s="934"/>
      <c r="D608" s="537"/>
      <c r="E608" s="937"/>
      <c r="F608" s="937"/>
      <c r="G608" s="937"/>
      <c r="H608" s="937"/>
      <c r="I608" s="937"/>
      <c r="J608" s="937"/>
      <c r="K608" s="937"/>
      <c r="L608" s="937"/>
      <c r="M608" s="937"/>
      <c r="N608" s="537"/>
      <c r="O608" s="537"/>
      <c r="P608" s="537"/>
      <c r="Q608" s="537"/>
      <c r="X608" s="537"/>
      <c r="Y608" s="2529"/>
      <c r="Z608" s="2529"/>
      <c r="AA608" s="2529"/>
      <c r="AB608" s="2529"/>
      <c r="AC608" s="2529"/>
      <c r="AD608" s="2529"/>
      <c r="AE608" s="2529"/>
      <c r="AF608" s="2529"/>
      <c r="AG608" s="2529"/>
      <c r="AH608" s="2529"/>
      <c r="AI608" s="2529"/>
      <c r="AJ608" s="2529"/>
      <c r="AK608" s="2529"/>
      <c r="AL608" s="2529"/>
      <c r="AM608" s="2530"/>
      <c r="AN608" s="598"/>
      <c r="AO608" s="612"/>
      <c r="AT608" s="612"/>
    </row>
    <row r="609" spans="1:42" s="551" customFormat="1" ht="12.75" customHeight="1" x14ac:dyDescent="0.3">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x14ac:dyDescent="0.3">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x14ac:dyDescent="0.3">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x14ac:dyDescent="0.3">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x14ac:dyDescent="0.3">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x14ac:dyDescent="0.3">
      <c r="B614" s="537"/>
      <c r="C614" s="934"/>
      <c r="D614" s="537"/>
      <c r="E614" s="537" t="s">
        <v>1401</v>
      </c>
      <c r="F614" s="937"/>
      <c r="G614" s="937"/>
      <c r="I614" s="2526" t="s">
        <v>592</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7"/>
      <c r="AG614" s="537"/>
      <c r="AH614" s="537"/>
      <c r="AI614" s="537"/>
      <c r="AJ614" s="537"/>
      <c r="AK614" s="537"/>
      <c r="AL614" s="537"/>
      <c r="AN614" s="598"/>
      <c r="AO614" s="551" t="s">
        <v>1402</v>
      </c>
      <c r="AP614" s="551">
        <v>3</v>
      </c>
    </row>
    <row r="615" spans="1:42" s="551" customFormat="1" ht="12.75" customHeight="1" x14ac:dyDescent="0.25">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x14ac:dyDescent="0.25">
      <c r="B616" s="2469" t="s">
        <v>592</v>
      </c>
      <c r="C616" s="2469"/>
      <c r="D616" s="643"/>
      <c r="E616" s="2496" t="s">
        <v>1404</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3"/>
      <c r="AI616" s="643"/>
      <c r="AJ616" s="643"/>
      <c r="AK616" s="643"/>
      <c r="AL616" s="643"/>
      <c r="AN616" s="598"/>
    </row>
    <row r="617" spans="1:42" s="551" customFormat="1" ht="12.75" customHeight="1" x14ac:dyDescent="0.3">
      <c r="B617" s="537"/>
      <c r="C617" s="934"/>
      <c r="D617" s="643"/>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3"/>
      <c r="AI617" s="643"/>
      <c r="AJ617" s="643"/>
      <c r="AK617" s="643"/>
      <c r="AL617" s="643"/>
      <c r="AN617" s="598"/>
    </row>
    <row r="618" spans="1:42" s="551" customFormat="1" ht="12.75" customHeight="1" x14ac:dyDescent="0.3">
      <c r="B618" s="537"/>
      <c r="C618" s="934"/>
      <c r="D618" s="643"/>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3"/>
      <c r="AI618" s="643"/>
      <c r="AJ618" s="643"/>
      <c r="AK618" s="643"/>
      <c r="AL618" s="643"/>
      <c r="AN618" s="598"/>
    </row>
    <row r="619" spans="1:42" s="551" customFormat="1" ht="12.75" customHeight="1" x14ac:dyDescent="0.3">
      <c r="B619" s="537"/>
      <c r="C619" s="934"/>
      <c r="D619" s="643"/>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3"/>
      <c r="AI619" s="643"/>
      <c r="AJ619" s="643"/>
      <c r="AK619" s="643"/>
      <c r="AL619" s="643"/>
      <c r="AN619" s="598"/>
    </row>
    <row r="620" spans="1:42" s="551" customFormat="1" ht="12.75" customHeight="1" x14ac:dyDescent="0.3">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x14ac:dyDescent="0.3">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6">
        <f>VLOOKUP($H$606,$AO$586:$AP$591,2,FALSE)+IF(R606=AO594,0,VLOOKUP($I$614,$AO$613:$AP$615,2,FALSE))</f>
        <v>7</v>
      </c>
      <c r="AK621" s="2478"/>
      <c r="AL621" s="596"/>
      <c r="AM621" s="676"/>
      <c r="AN621" s="598"/>
    </row>
    <row r="622" spans="1:42" s="551" customFormat="1" ht="12.75" customHeight="1" x14ac:dyDescent="0.3">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x14ac:dyDescent="0.3">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x14ac:dyDescent="0.25">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x14ac:dyDescent="0.3">
      <c r="A625" s="551"/>
      <c r="B625" s="537"/>
      <c r="C625" s="537"/>
      <c r="D625" s="664" t="s">
        <v>688</v>
      </c>
      <c r="E625" s="2524" t="s">
        <v>1695</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40"/>
      <c r="AF625" s="2441" t="s">
        <v>1353</v>
      </c>
      <c r="AG625" s="2441"/>
      <c r="AH625" s="2441"/>
      <c r="AI625" s="2441"/>
      <c r="AJ625" s="2441"/>
      <c r="AK625" s="2441"/>
      <c r="AL625" s="2441"/>
      <c r="AM625" s="551"/>
      <c r="AN625" s="679"/>
    </row>
    <row r="626" spans="1:42" s="551" customFormat="1" ht="12.75" customHeight="1" x14ac:dyDescent="0.3">
      <c r="A626" s="680"/>
      <c r="B626" s="537"/>
      <c r="C626" s="934"/>
      <c r="D626" s="664"/>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7"/>
      <c r="AF626" s="537"/>
      <c r="AG626" s="537"/>
      <c r="AH626" s="537"/>
      <c r="AI626" s="537"/>
      <c r="AJ626" s="537"/>
      <c r="AK626" s="537"/>
      <c r="AL626" s="537"/>
      <c r="AN626" s="598"/>
    </row>
    <row r="627" spans="1:42" s="551" customFormat="1" ht="12.75" customHeight="1" x14ac:dyDescent="0.25">
      <c r="B627" s="537"/>
      <c r="C627" s="932"/>
      <c r="D627" s="664"/>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7"/>
      <c r="AF627" s="537"/>
      <c r="AG627" s="537"/>
      <c r="AH627" s="537"/>
      <c r="AI627" s="537"/>
      <c r="AJ627" s="537"/>
      <c r="AK627" s="537"/>
      <c r="AL627" s="537"/>
      <c r="AN627" s="598"/>
    </row>
    <row r="628" spans="1:42" s="551" customFormat="1" ht="12.75" customHeight="1" x14ac:dyDescent="0.25">
      <c r="B628" s="537"/>
      <c r="C628" s="932"/>
      <c r="D628" s="664"/>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7"/>
      <c r="AF628" s="537"/>
      <c r="AG628" s="537"/>
      <c r="AH628" s="537"/>
      <c r="AI628" s="537"/>
      <c r="AJ628" s="537"/>
      <c r="AK628" s="537"/>
      <c r="AL628" s="537"/>
      <c r="AN628" s="598"/>
    </row>
    <row r="629" spans="1:42" s="551" customFormat="1" ht="12.75" customHeight="1" x14ac:dyDescent="0.25">
      <c r="B629" s="537"/>
      <c r="C629" s="932"/>
      <c r="D629" s="664"/>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7"/>
      <c r="AF629" s="537"/>
      <c r="AG629" s="537"/>
      <c r="AH629" s="537"/>
      <c r="AI629" s="537"/>
      <c r="AJ629" s="537"/>
      <c r="AK629" s="537"/>
      <c r="AL629" s="537"/>
      <c r="AN629" s="598"/>
    </row>
    <row r="630" spans="1:42" s="551" customFormat="1" ht="12.75" customHeight="1" x14ac:dyDescent="0.25">
      <c r="B630" s="537"/>
      <c r="C630" s="932"/>
      <c r="D630" s="66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7"/>
      <c r="AF630" s="537"/>
      <c r="AG630" s="537"/>
      <c r="AH630" s="537"/>
      <c r="AI630" s="537"/>
      <c r="AJ630" s="537"/>
      <c r="AK630" s="537"/>
      <c r="AL630" s="537"/>
      <c r="AN630" s="598"/>
    </row>
    <row r="631" spans="1:42" s="551" customFormat="1" ht="12.75" customHeight="1" x14ac:dyDescent="0.25">
      <c r="A631" s="638"/>
      <c r="B631" s="617"/>
      <c r="C631" s="941"/>
      <c r="D631" s="66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7"/>
      <c r="AF631" s="617"/>
      <c r="AG631" s="617"/>
      <c r="AH631" s="617"/>
      <c r="AI631" s="617"/>
      <c r="AJ631" s="617"/>
      <c r="AK631" s="537"/>
      <c r="AL631" s="537"/>
      <c r="AN631" s="598"/>
    </row>
    <row r="632" spans="1:42" s="551" customFormat="1" ht="12.75" customHeight="1" x14ac:dyDescent="0.25">
      <c r="B632" s="617"/>
      <c r="C632" s="941"/>
      <c r="D632" s="66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7"/>
      <c r="AF632" s="617"/>
      <c r="AG632" s="617"/>
      <c r="AH632" s="617"/>
      <c r="AI632" s="617"/>
      <c r="AJ632" s="617"/>
      <c r="AK632" s="537"/>
      <c r="AL632" s="537"/>
      <c r="AN632" s="598"/>
    </row>
    <row r="633" spans="1:42" s="551" customFormat="1" ht="12" customHeight="1" x14ac:dyDescent="0.25">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x14ac:dyDescent="0.25">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69" t="s">
        <v>592</v>
      </c>
      <c r="Y634" s="2469"/>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x14ac:dyDescent="0.25">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x14ac:dyDescent="0.25">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1" t="s">
        <v>1409</v>
      </c>
      <c r="AG636" s="2441"/>
      <c r="AH636" s="2441"/>
      <c r="AI636" s="2441"/>
      <c r="AJ636" s="2441"/>
      <c r="AK636" s="2441"/>
      <c r="AL636" s="2441"/>
      <c r="AN636" s="598"/>
      <c r="AO636" s="612" t="s">
        <v>278</v>
      </c>
      <c r="AP636" s="551">
        <v>3</v>
      </c>
    </row>
    <row r="637" spans="1:42" s="551" customFormat="1" ht="12.75" customHeight="1" x14ac:dyDescent="0.25">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x14ac:dyDescent="0.25">
      <c r="B638" s="537"/>
      <c r="C638" s="932"/>
      <c r="D638" s="537" t="s">
        <v>1401</v>
      </c>
      <c r="E638" s="937"/>
      <c r="F638" s="937"/>
      <c r="G638" s="937"/>
      <c r="H638" s="2525" t="s">
        <v>688</v>
      </c>
      <c r="I638" s="252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x14ac:dyDescent="0.25">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x14ac:dyDescent="0.3">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6">
        <f>VLOOKUP($H$638,$AO$605:$AP$607,2,FALSE)</f>
        <v>3</v>
      </c>
      <c r="AK640" s="2478"/>
      <c r="AL640" s="596"/>
      <c r="AN640" s="598"/>
      <c r="AO640" s="612" t="s">
        <v>1412</v>
      </c>
      <c r="AP640" s="551">
        <v>1</v>
      </c>
    </row>
    <row r="641" spans="1:42" s="551" customFormat="1" ht="12.75" customHeight="1" x14ac:dyDescent="0.3">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x14ac:dyDescent="0.3">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x14ac:dyDescent="0.3">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x14ac:dyDescent="0.25">
      <c r="B644" s="537"/>
      <c r="C644" s="537"/>
      <c r="D644" s="664" t="s">
        <v>688</v>
      </c>
      <c r="E644" s="2496" t="s">
        <v>2100</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7"/>
      <c r="AF644" s="2441" t="s">
        <v>1353</v>
      </c>
      <c r="AG644" s="2441"/>
      <c r="AH644" s="2441"/>
      <c r="AI644" s="2441"/>
      <c r="AJ644" s="2441"/>
      <c r="AK644" s="2441"/>
      <c r="AL644" s="2441"/>
      <c r="AN644" s="598"/>
    </row>
    <row r="645" spans="1:42" s="551" customFormat="1" ht="12.75" customHeight="1" x14ac:dyDescent="0.25">
      <c r="B645" s="537"/>
      <c r="C645" s="537"/>
      <c r="D645" s="664"/>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5"/>
      <c r="AF645" s="595"/>
      <c r="AG645" s="595"/>
      <c r="AH645" s="595"/>
      <c r="AI645" s="595"/>
      <c r="AJ645" s="595"/>
      <c r="AK645" s="595"/>
      <c r="AL645" s="595"/>
      <c r="AN645" s="598"/>
    </row>
    <row r="646" spans="1:42" s="551" customFormat="1" ht="12.75" customHeight="1" x14ac:dyDescent="0.25">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x14ac:dyDescent="0.25">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1" t="s">
        <v>1409</v>
      </c>
      <c r="AG647" s="2441"/>
      <c r="AH647" s="2441"/>
      <c r="AI647" s="2441"/>
      <c r="AJ647" s="2441"/>
      <c r="AK647" s="2441"/>
      <c r="AL647" s="2441"/>
      <c r="AN647" s="598"/>
    </row>
    <row r="648" spans="1:42" s="551" customFormat="1" ht="12.75" customHeight="1" x14ac:dyDescent="0.25">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x14ac:dyDescent="0.25">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x14ac:dyDescent="0.25">
      <c r="B650" s="537"/>
      <c r="C650" s="932"/>
      <c r="D650" s="537" t="s">
        <v>1401</v>
      </c>
      <c r="E650" s="937"/>
      <c r="F650" s="937"/>
      <c r="G650" s="937"/>
      <c r="H650" s="2525" t="s">
        <v>510</v>
      </c>
      <c r="I650" s="252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x14ac:dyDescent="0.25">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x14ac:dyDescent="0.3">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6">
        <f>VLOOKUP(H650,AT605:AU607,2,FALSE)</f>
        <v>2</v>
      </c>
      <c r="AK652" s="2478"/>
      <c r="AL652" s="596"/>
      <c r="AN652" s="598"/>
    </row>
    <row r="653" spans="1:42" s="551" customFormat="1" ht="12.75" customHeight="1" x14ac:dyDescent="0.25">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x14ac:dyDescent="0.3">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x14ac:dyDescent="0.3">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x14ac:dyDescent="0.3">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x14ac:dyDescent="0.3">
      <c r="B657" s="537"/>
      <c r="C657" s="540"/>
      <c r="D657" s="664" t="s">
        <v>688</v>
      </c>
      <c r="E657" s="2496" t="s">
        <v>1419</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7"/>
      <c r="AE657" s="537"/>
      <c r="AF657" s="2441" t="s">
        <v>1379</v>
      </c>
      <c r="AG657" s="2441"/>
      <c r="AH657" s="2441"/>
      <c r="AI657" s="2441"/>
      <c r="AJ657" s="2441"/>
      <c r="AK657" s="2441"/>
      <c r="AL657" s="2441"/>
      <c r="AN657" s="598"/>
    </row>
    <row r="658" spans="1:42" s="551" customFormat="1" ht="12.75" customHeight="1" x14ac:dyDescent="0.3">
      <c r="B658" s="537"/>
      <c r="C658" s="540"/>
      <c r="D658" s="537"/>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7"/>
      <c r="AE658" s="537"/>
      <c r="AF658" s="537"/>
      <c r="AG658" s="537"/>
      <c r="AH658" s="537"/>
      <c r="AI658" s="537"/>
      <c r="AJ658" s="537"/>
      <c r="AK658" s="537"/>
      <c r="AL658" s="537"/>
      <c r="AN658" s="598"/>
    </row>
    <row r="659" spans="1:42" s="551" customFormat="1" ht="12.75" customHeight="1" x14ac:dyDescent="0.3">
      <c r="B659" s="537"/>
      <c r="C659" s="540"/>
      <c r="D659" s="664"/>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7"/>
      <c r="AE659" s="537"/>
      <c r="AF659" s="537"/>
      <c r="AG659" s="537"/>
      <c r="AH659" s="537"/>
      <c r="AI659" s="537"/>
      <c r="AJ659" s="537"/>
      <c r="AK659" s="537"/>
      <c r="AL659" s="537"/>
      <c r="AN659" s="598"/>
    </row>
    <row r="660" spans="1:42" s="551" customFormat="1" ht="15" customHeight="1" x14ac:dyDescent="0.3">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x14ac:dyDescent="0.3">
      <c r="B661" s="537"/>
      <c r="C661" s="540"/>
      <c r="D661" s="664" t="s">
        <v>510</v>
      </c>
      <c r="E661" s="2496" t="s">
        <v>1420</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7"/>
      <c r="AE661" s="537"/>
      <c r="AF661" s="2441" t="s">
        <v>1400</v>
      </c>
      <c r="AG661" s="2441"/>
      <c r="AH661" s="2441"/>
      <c r="AI661" s="2441"/>
      <c r="AJ661" s="2441"/>
      <c r="AK661" s="2441"/>
      <c r="AL661" s="2441"/>
      <c r="AN661" s="598"/>
    </row>
    <row r="662" spans="1:42" s="551" customFormat="1" ht="12.75" customHeight="1" x14ac:dyDescent="0.3">
      <c r="B662" s="537"/>
      <c r="C662" s="540"/>
      <c r="D662" s="537"/>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7"/>
      <c r="AE662" s="537"/>
      <c r="AF662" s="537"/>
      <c r="AG662" s="537"/>
      <c r="AH662" s="537"/>
      <c r="AI662" s="537"/>
      <c r="AJ662" s="537"/>
      <c r="AK662" s="537"/>
      <c r="AL662" s="537"/>
      <c r="AN662" s="598"/>
    </row>
    <row r="663" spans="1:42" s="551" customFormat="1" ht="15" customHeight="1" x14ac:dyDescent="0.3">
      <c r="B663" s="537"/>
      <c r="C663" s="540"/>
      <c r="D663" s="664"/>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7"/>
      <c r="AE663" s="537"/>
      <c r="AF663" s="537"/>
      <c r="AG663" s="537"/>
      <c r="AH663" s="537"/>
      <c r="AI663" s="537"/>
      <c r="AJ663" s="537"/>
      <c r="AK663" s="537"/>
      <c r="AL663" s="537"/>
      <c r="AN663" s="598"/>
    </row>
    <row r="664" spans="1:42" s="551" customFormat="1" ht="12.75" customHeight="1" x14ac:dyDescent="0.3">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x14ac:dyDescent="0.3">
      <c r="B665" s="537"/>
      <c r="C665" s="540"/>
      <c r="D665" s="664" t="s">
        <v>278</v>
      </c>
      <c r="E665" s="2496" t="s">
        <v>1421</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7"/>
      <c r="AE665" s="537"/>
      <c r="AF665" s="2441" t="s">
        <v>1353</v>
      </c>
      <c r="AG665" s="2441"/>
      <c r="AH665" s="2441"/>
      <c r="AI665" s="2441"/>
      <c r="AJ665" s="2441"/>
      <c r="AK665" s="2441"/>
      <c r="AL665" s="2441"/>
      <c r="AN665" s="598"/>
    </row>
    <row r="666" spans="1:42" s="551" customFormat="1" ht="12.75" customHeight="1" x14ac:dyDescent="0.25">
      <c r="B666" s="537"/>
      <c r="C666" s="932"/>
      <c r="D666" s="537"/>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7"/>
      <c r="AE666" s="2441"/>
      <c r="AF666" s="2441"/>
      <c r="AG666" s="2441"/>
      <c r="AH666" s="2441"/>
      <c r="AI666" s="2441"/>
      <c r="AJ666" s="2441"/>
      <c r="AK666" s="2441"/>
      <c r="AL666" s="595"/>
      <c r="AN666" s="598"/>
      <c r="AO666" s="551" t="s">
        <v>592</v>
      </c>
      <c r="AP666" s="674">
        <v>0</v>
      </c>
    </row>
    <row r="667" spans="1:42" s="551" customFormat="1" ht="12.75" customHeight="1" x14ac:dyDescent="0.25">
      <c r="A667" s="680"/>
      <c r="B667" s="537"/>
      <c r="C667" s="537"/>
      <c r="D667" s="664"/>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7"/>
      <c r="AE667" s="537"/>
      <c r="AF667" s="537"/>
      <c r="AG667" s="537"/>
      <c r="AH667" s="537"/>
      <c r="AI667" s="537"/>
      <c r="AJ667" s="537"/>
      <c r="AK667" s="537"/>
      <c r="AL667" s="537"/>
      <c r="AN667" s="598"/>
      <c r="AO667" s="612" t="s">
        <v>688</v>
      </c>
      <c r="AP667" s="551">
        <v>3</v>
      </c>
    </row>
    <row r="668" spans="1:42" s="551" customFormat="1" ht="12.75" customHeight="1" x14ac:dyDescent="0.25">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x14ac:dyDescent="0.3">
      <c r="A669" s="671"/>
      <c r="B669" s="537"/>
      <c r="C669" s="948"/>
      <c r="D669" s="664" t="s">
        <v>1398</v>
      </c>
      <c r="E669" s="2496" t="s">
        <v>1422</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7"/>
      <c r="AE669" s="537"/>
      <c r="AF669" s="2441" t="s">
        <v>1400</v>
      </c>
      <c r="AG669" s="2441"/>
      <c r="AH669" s="2441"/>
      <c r="AI669" s="2441"/>
      <c r="AJ669" s="2441"/>
      <c r="AK669" s="2441"/>
      <c r="AL669" s="2441"/>
      <c r="AN669" s="598"/>
    </row>
    <row r="670" spans="1:42" s="551" customFormat="1" ht="12.75" customHeight="1" x14ac:dyDescent="0.3">
      <c r="A670" s="671"/>
      <c r="B670" s="537"/>
      <c r="C670" s="948"/>
      <c r="D670" s="664"/>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7"/>
      <c r="AE670" s="595"/>
      <c r="AF670" s="595"/>
      <c r="AG670" s="595"/>
      <c r="AH670" s="595"/>
      <c r="AI670" s="595"/>
      <c r="AJ670" s="595"/>
      <c r="AK670" s="595"/>
      <c r="AL670" s="595"/>
      <c r="AM670" s="597"/>
      <c r="AN670" s="598"/>
    </row>
    <row r="671" spans="1:42" s="551" customFormat="1" ht="12.75" customHeight="1" x14ac:dyDescent="0.3">
      <c r="A671" s="671"/>
      <c r="B671" s="537"/>
      <c r="C671" s="948"/>
      <c r="D671" s="664"/>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7"/>
      <c r="AE671" s="595"/>
      <c r="AF671" s="595"/>
      <c r="AG671" s="595"/>
      <c r="AH671" s="595"/>
      <c r="AI671" s="595"/>
      <c r="AJ671" s="595"/>
      <c r="AK671" s="595"/>
      <c r="AL671" s="595"/>
      <c r="AM671" s="597"/>
      <c r="AN671" s="598"/>
    </row>
    <row r="672" spans="1:42" s="551" customFormat="1" ht="12.75" customHeight="1" x14ac:dyDescent="0.3">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x14ac:dyDescent="0.25">
      <c r="B673" s="537"/>
      <c r="C673" s="932"/>
      <c r="D673" s="664" t="s">
        <v>1399</v>
      </c>
      <c r="E673" s="2496" t="s">
        <v>1423</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7"/>
      <c r="AE673" s="537"/>
      <c r="AF673" s="2441" t="s">
        <v>1353</v>
      </c>
      <c r="AG673" s="2441"/>
      <c r="AH673" s="2441"/>
      <c r="AI673" s="2441"/>
      <c r="AJ673" s="2441"/>
      <c r="AK673" s="2441"/>
      <c r="AL673" s="2441"/>
      <c r="AM673" s="597"/>
      <c r="AN673" s="598"/>
    </row>
    <row r="674" spans="1:42" s="551" customFormat="1" ht="12.75" customHeight="1" x14ac:dyDescent="0.25">
      <c r="B674" s="537"/>
      <c r="C674" s="932"/>
      <c r="D674" s="664"/>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7"/>
      <c r="AE674" s="537"/>
      <c r="AF674" s="537"/>
      <c r="AG674" s="537"/>
      <c r="AH674" s="537"/>
      <c r="AI674" s="537"/>
      <c r="AJ674" s="537"/>
      <c r="AK674" s="537"/>
      <c r="AL674" s="537"/>
      <c r="AM674" s="597"/>
      <c r="AN674" s="598"/>
    </row>
    <row r="675" spans="1:42" s="551" customFormat="1" ht="12.75" customHeight="1" x14ac:dyDescent="0.25">
      <c r="B675" s="537"/>
      <c r="C675" s="932"/>
      <c r="D675" s="664"/>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7"/>
      <c r="AE675" s="537"/>
      <c r="AF675" s="537"/>
      <c r="AG675" s="537"/>
      <c r="AH675" s="537"/>
      <c r="AI675" s="537"/>
      <c r="AJ675" s="537"/>
      <c r="AK675" s="537"/>
      <c r="AL675" s="537"/>
      <c r="AM675" s="597"/>
      <c r="AN675" s="598"/>
    </row>
    <row r="676" spans="1:42" s="551" customFormat="1" ht="12.75" customHeight="1" x14ac:dyDescent="0.25">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x14ac:dyDescent="0.25">
      <c r="A677" s="680"/>
      <c r="B677" s="537"/>
      <c r="C677" s="932"/>
      <c r="D677" s="664" t="s">
        <v>1410</v>
      </c>
      <c r="E677" s="2496" t="s">
        <v>1424</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7"/>
      <c r="AE677" s="537"/>
      <c r="AF677" s="2441" t="s">
        <v>1409</v>
      </c>
      <c r="AG677" s="2441"/>
      <c r="AH677" s="2441"/>
      <c r="AI677" s="2441"/>
      <c r="AJ677" s="2441"/>
      <c r="AK677" s="2441"/>
      <c r="AL677" s="2441"/>
      <c r="AM677" s="597"/>
      <c r="AN677" s="598"/>
    </row>
    <row r="678" spans="1:42" s="551" customFormat="1" ht="12.75" customHeight="1" x14ac:dyDescent="0.25">
      <c r="A678" s="680"/>
      <c r="B678" s="537"/>
      <c r="C678" s="932"/>
      <c r="D678" s="664"/>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7"/>
      <c r="AE678" s="537"/>
      <c r="AF678" s="595"/>
      <c r="AG678" s="595"/>
      <c r="AH678" s="595"/>
      <c r="AI678" s="595"/>
      <c r="AJ678" s="595"/>
      <c r="AK678" s="595"/>
      <c r="AL678" s="595"/>
      <c r="AM678" s="597"/>
      <c r="AN678" s="598"/>
    </row>
    <row r="679" spans="1:42" s="551" customFormat="1" ht="12.75" customHeight="1" x14ac:dyDescent="0.25">
      <c r="A679" s="680"/>
      <c r="B679" s="537"/>
      <c r="C679" s="932"/>
      <c r="D679" s="664"/>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7"/>
      <c r="AE679" s="595"/>
      <c r="AF679" s="595"/>
      <c r="AG679" s="595"/>
      <c r="AH679" s="595"/>
      <c r="AI679" s="595"/>
      <c r="AJ679" s="595"/>
      <c r="AK679" s="595"/>
      <c r="AL679" s="595"/>
      <c r="AM679" s="597"/>
      <c r="AN679" s="598"/>
    </row>
    <row r="680" spans="1:42" s="551" customFormat="1" ht="12.75" customHeight="1" x14ac:dyDescent="0.25">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x14ac:dyDescent="0.25">
      <c r="A681" s="680"/>
      <c r="B681" s="537"/>
      <c r="C681" s="932"/>
      <c r="D681" s="664" t="s">
        <v>1412</v>
      </c>
      <c r="E681" s="2496" t="s">
        <v>1425</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7"/>
      <c r="AE681" s="537"/>
      <c r="AF681" s="2441" t="s">
        <v>1426</v>
      </c>
      <c r="AG681" s="2441"/>
      <c r="AH681" s="2441"/>
      <c r="AI681" s="2441"/>
      <c r="AJ681" s="2441"/>
      <c r="AK681" s="2441"/>
      <c r="AL681" s="2441"/>
      <c r="AM681" s="597"/>
      <c r="AN681" s="598"/>
      <c r="AO681" s="612" t="s">
        <v>688</v>
      </c>
      <c r="AP681" s="551">
        <v>3</v>
      </c>
    </row>
    <row r="682" spans="1:42" s="551" customFormat="1" ht="12.75" customHeight="1" x14ac:dyDescent="0.25">
      <c r="A682" s="680"/>
      <c r="B682" s="537"/>
      <c r="C682" s="932"/>
      <c r="D682" s="664"/>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7"/>
      <c r="AE682" s="537"/>
      <c r="AF682" s="595"/>
      <c r="AG682" s="595"/>
      <c r="AH682" s="595"/>
      <c r="AI682" s="595"/>
      <c r="AJ682" s="595"/>
      <c r="AK682" s="595"/>
      <c r="AL682" s="595"/>
      <c r="AM682" s="597"/>
      <c r="AN682" s="598"/>
      <c r="AO682" s="612" t="s">
        <v>510</v>
      </c>
      <c r="AP682" s="551">
        <v>2</v>
      </c>
    </row>
    <row r="683" spans="1:42" s="551" customFormat="1" ht="12.75" customHeight="1" x14ac:dyDescent="0.25">
      <c r="A683" s="680"/>
      <c r="B683" s="537"/>
      <c r="C683" s="932"/>
      <c r="D683" s="664"/>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7"/>
      <c r="AE683" s="595"/>
      <c r="AF683" s="595"/>
      <c r="AG683" s="595"/>
      <c r="AH683" s="595"/>
      <c r="AI683" s="595"/>
      <c r="AJ683" s="595"/>
      <c r="AK683" s="595"/>
      <c r="AL683" s="595"/>
      <c r="AM683" s="597"/>
      <c r="AN683" s="598"/>
    </row>
    <row r="684" spans="1:42" s="551" customFormat="1" ht="12.75" customHeight="1" x14ac:dyDescent="0.3">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x14ac:dyDescent="0.25">
      <c r="A685" s="680"/>
      <c r="B685" s="537"/>
      <c r="C685" s="932"/>
      <c r="D685" s="537" t="s">
        <v>1401</v>
      </c>
      <c r="E685" s="937"/>
      <c r="F685" s="937"/>
      <c r="G685" s="937"/>
      <c r="H685" s="2525" t="s">
        <v>1399</v>
      </c>
      <c r="I685" s="252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x14ac:dyDescent="0.25">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x14ac:dyDescent="0.3">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6">
        <f>VLOOKUP($H$685,$AO$633:$AP$640,2,FALSE)</f>
        <v>3</v>
      </c>
      <c r="AK687" s="2478"/>
      <c r="AL687" s="596"/>
      <c r="AN687" s="598"/>
    </row>
    <row r="688" spans="1:42" s="551" customFormat="1" ht="12.75" customHeight="1" x14ac:dyDescent="0.25">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x14ac:dyDescent="0.3">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75</v>
      </c>
    </row>
    <row r="690" spans="1:51" s="551" customFormat="1" ht="12.75" customHeight="1" x14ac:dyDescent="0.25">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100</v>
      </c>
    </row>
    <row r="691" spans="1:51" s="551" customFormat="1" ht="12.75" customHeight="1" x14ac:dyDescent="0.25">
      <c r="A691" s="680"/>
      <c r="B691" s="537"/>
      <c r="C691" s="949"/>
      <c r="D691" s="664" t="s">
        <v>688</v>
      </c>
      <c r="E691" s="2532" t="s">
        <v>2192</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7"/>
      <c r="AD691" s="537"/>
      <c r="AE691" s="537"/>
      <c r="AF691" s="2441" t="s">
        <v>1353</v>
      </c>
      <c r="AG691" s="2441"/>
      <c r="AH691" s="2441"/>
      <c r="AI691" s="2441"/>
      <c r="AJ691" s="2441"/>
      <c r="AK691" s="2441"/>
      <c r="AL691" s="2441"/>
      <c r="AN691" s="598"/>
      <c r="AW691" s="22" t="s">
        <v>2187</v>
      </c>
      <c r="AX691" s="551">
        <f>Application!DE753</f>
        <v>0</v>
      </c>
    </row>
    <row r="692" spans="1:51" s="551" customFormat="1" ht="12.75" customHeight="1" x14ac:dyDescent="0.25">
      <c r="A692" s="680"/>
      <c r="B692" s="537"/>
      <c r="C692" s="949"/>
      <c r="D692" s="664"/>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x14ac:dyDescent="0.25">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x14ac:dyDescent="0.25">
      <c r="B694" s="537"/>
      <c r="C694" s="932"/>
      <c r="D694" s="664" t="s">
        <v>510</v>
      </c>
      <c r="E694" s="2496" t="s">
        <v>2136</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7"/>
      <c r="AD694" s="537"/>
      <c r="AE694" s="537"/>
      <c r="AF694" s="2441" t="s">
        <v>1353</v>
      </c>
      <c r="AG694" s="2441"/>
      <c r="AH694" s="2441"/>
      <c r="AI694" s="2441"/>
      <c r="AJ694" s="2441"/>
      <c r="AK694" s="2441"/>
      <c r="AL694" s="2441"/>
      <c r="AN694" s="598"/>
      <c r="AW694" s="22" t="s">
        <v>2190</v>
      </c>
      <c r="AX694" s="551">
        <f>AX691+AX692+AX693</f>
        <v>0</v>
      </c>
    </row>
    <row r="695" spans="1:51" s="551" customFormat="1" ht="12.75" customHeight="1" x14ac:dyDescent="0.25">
      <c r="B695" s="537"/>
      <c r="C695" s="941"/>
      <c r="D695" s="664"/>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7"/>
      <c r="AD695" s="537"/>
      <c r="AE695" s="617"/>
      <c r="AF695" s="537"/>
      <c r="AG695" s="537"/>
      <c r="AH695" s="537"/>
      <c r="AI695" s="537"/>
      <c r="AJ695" s="537"/>
      <c r="AK695" s="537"/>
      <c r="AL695" s="537"/>
      <c r="AN695" s="598"/>
      <c r="AO695" s="2531" t="b">
        <f>IF(Application!D211="Special Needs",IF(AY695&gt;=0.25,TRUE,FALSE),IF(AX695&gt;=0.25,TRUE,FALSE))</f>
        <v>0</v>
      </c>
      <c r="AP695" s="2531"/>
      <c r="AW695" s="22" t="s">
        <v>2191</v>
      </c>
      <c r="AX695" s="551">
        <f>IFERROR(AX694/AX690,0)</f>
        <v>0</v>
      </c>
      <c r="AY695" s="551">
        <f>IFERROR(AX694/(AX690-AX689),0)</f>
        <v>0</v>
      </c>
    </row>
    <row r="696" spans="1:51" s="551" customFormat="1" ht="12.75" customHeight="1" x14ac:dyDescent="0.25">
      <c r="B696" s="537"/>
      <c r="C696" s="941"/>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7"/>
      <c r="AD696" s="537"/>
      <c r="AE696" s="617"/>
      <c r="AF696" s="617"/>
      <c r="AG696" s="617"/>
      <c r="AH696" s="617"/>
      <c r="AI696" s="617"/>
      <c r="AJ696" s="617"/>
      <c r="AK696" s="617"/>
      <c r="AL696" s="617"/>
      <c r="AN696" s="598"/>
      <c r="AW696" s="14"/>
    </row>
    <row r="697" spans="1:51" s="551" customFormat="1" ht="28.5" customHeight="1" x14ac:dyDescent="0.25">
      <c r="B697" s="537"/>
      <c r="C697" s="941"/>
      <c r="D697" s="537"/>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7"/>
      <c r="AD697" s="537"/>
      <c r="AE697" s="617"/>
      <c r="AF697" s="617"/>
      <c r="AG697" s="617"/>
      <c r="AH697" s="617"/>
      <c r="AI697" s="617"/>
      <c r="AJ697" s="617"/>
      <c r="AK697" s="617"/>
      <c r="AL697" s="617"/>
      <c r="AN697" s="598"/>
      <c r="AO697" s="551" t="s">
        <v>592</v>
      </c>
      <c r="AP697" s="674">
        <v>0</v>
      </c>
    </row>
    <row r="698" spans="1:51" s="551" customFormat="1" ht="12.75" customHeight="1" x14ac:dyDescent="0.25">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x14ac:dyDescent="0.25">
      <c r="B699" s="537"/>
      <c r="C699" s="932"/>
      <c r="D699" s="664" t="s">
        <v>278</v>
      </c>
      <c r="E699" s="2496" t="s">
        <v>2137</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7"/>
      <c r="AD699" s="537"/>
      <c r="AE699" s="537"/>
      <c r="AF699" s="2441" t="s">
        <v>1409</v>
      </c>
      <c r="AG699" s="2441"/>
      <c r="AH699" s="2441"/>
      <c r="AI699" s="2441"/>
      <c r="AJ699" s="2441"/>
      <c r="AK699" s="2441"/>
      <c r="AL699" s="2441"/>
      <c r="AN699" s="598"/>
      <c r="AO699" s="612" t="s">
        <v>510</v>
      </c>
      <c r="AP699" s="551">
        <v>1</v>
      </c>
    </row>
    <row r="700" spans="1:51" s="551" customFormat="1" ht="12" customHeight="1" x14ac:dyDescent="0.25">
      <c r="B700" s="537"/>
      <c r="C700" s="932"/>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7"/>
      <c r="AD700" s="537"/>
      <c r="AE700" s="617"/>
      <c r="AF700" s="537"/>
      <c r="AG700" s="537"/>
      <c r="AH700" s="537"/>
      <c r="AI700" s="537"/>
      <c r="AJ700" s="537"/>
      <c r="AK700" s="537"/>
      <c r="AL700" s="537"/>
      <c r="AN700" s="598"/>
    </row>
    <row r="701" spans="1:51" s="551" customFormat="1" ht="12" customHeight="1" x14ac:dyDescent="0.25">
      <c r="B701" s="537"/>
      <c r="C701" s="932"/>
      <c r="D701" s="537"/>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7"/>
      <c r="AD701" s="537"/>
      <c r="AE701" s="617"/>
      <c r="AF701" s="537"/>
      <c r="AG701" s="537"/>
      <c r="AH701" s="537"/>
      <c r="AI701" s="537"/>
      <c r="AJ701" s="537"/>
      <c r="AK701" s="537"/>
      <c r="AL701" s="537"/>
      <c r="AN701" s="598"/>
    </row>
    <row r="702" spans="1:51" s="551" customFormat="1" ht="12" customHeight="1" x14ac:dyDescent="0.25">
      <c r="B702" s="537"/>
      <c r="C702" s="932"/>
      <c r="D702" s="537"/>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7"/>
      <c r="AD702" s="537"/>
      <c r="AE702" s="617"/>
      <c r="AF702" s="537"/>
      <c r="AG702" s="537"/>
      <c r="AH702" s="537"/>
      <c r="AI702" s="537"/>
      <c r="AJ702" s="537"/>
      <c r="AK702" s="537"/>
      <c r="AL702" s="537"/>
      <c r="AN702" s="598"/>
    </row>
    <row r="703" spans="1:51" s="571" customFormat="1" ht="12.9" customHeight="1" x14ac:dyDescent="0.25">
      <c r="A703" s="551"/>
      <c r="B703" s="537"/>
      <c r="C703" s="932"/>
      <c r="D703" s="537"/>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7"/>
      <c r="AD703" s="537"/>
      <c r="AE703" s="617"/>
      <c r="AF703" s="617"/>
      <c r="AG703" s="617"/>
      <c r="AH703" s="617"/>
      <c r="AI703" s="617"/>
      <c r="AJ703" s="537"/>
      <c r="AK703" s="537"/>
      <c r="AL703" s="537"/>
      <c r="AM703" s="551"/>
      <c r="AN703" s="685"/>
      <c r="AO703" s="551" t="s">
        <v>592</v>
      </c>
      <c r="AP703" s="674">
        <v>0</v>
      </c>
    </row>
    <row r="704" spans="1:51" s="571" customFormat="1" ht="12" customHeight="1" x14ac:dyDescent="0.25">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x14ac:dyDescent="0.25">
      <c r="A705" s="551"/>
      <c r="B705" s="537"/>
      <c r="C705" s="932"/>
      <c r="D705" s="537"/>
      <c r="E705" s="2496" t="s">
        <v>1694</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x14ac:dyDescent="0.25">
      <c r="A706" s="551"/>
      <c r="B706" s="537"/>
      <c r="C706" s="932"/>
      <c r="D706" s="537"/>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x14ac:dyDescent="0.25">
      <c r="A707" s="551"/>
      <c r="B707" s="537"/>
      <c r="C707" s="932"/>
      <c r="D707" s="537"/>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7"/>
      <c r="AD707" s="537"/>
      <c r="AE707" s="617"/>
      <c r="AF707" s="617"/>
      <c r="AG707" s="617"/>
      <c r="AH707" s="617"/>
      <c r="AI707" s="617"/>
      <c r="AJ707" s="537"/>
      <c r="AK707" s="537"/>
      <c r="AL707" s="537"/>
      <c r="AM707" s="551"/>
      <c r="AN707" s="685"/>
    </row>
    <row r="708" spans="1:43" s="571" customFormat="1" ht="12.75" customHeight="1" x14ac:dyDescent="0.25">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x14ac:dyDescent="0.25">
      <c r="A709" s="551"/>
      <c r="B709" s="537"/>
      <c r="C709" s="932"/>
      <c r="D709" s="537" t="s">
        <v>1401</v>
      </c>
      <c r="E709" s="937"/>
      <c r="F709" s="937"/>
      <c r="G709" s="937"/>
      <c r="H709" s="2525" t="s">
        <v>592</v>
      </c>
      <c r="I709" s="252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x14ac:dyDescent="0.25">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x14ac:dyDescent="0.3">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6">
        <f>VLOOKUP($H$709,$AO$703:$AP$706,2,FALSE)</f>
        <v>0</v>
      </c>
      <c r="AK711" s="2478"/>
      <c r="AL711" s="596"/>
      <c r="AM711" s="551"/>
      <c r="AN711" s="685"/>
      <c r="AP711" s="571" t="s">
        <v>1413</v>
      </c>
    </row>
    <row r="712" spans="1:43" s="571" customFormat="1" x14ac:dyDescent="0.25">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x14ac:dyDescent="0.3">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x14ac:dyDescent="0.25">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x14ac:dyDescent="0.25">
      <c r="A715" s="638"/>
      <c r="B715" s="537"/>
      <c r="C715" s="932"/>
      <c r="D715" s="664"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441" t="s">
        <v>1353</v>
      </c>
      <c r="AG715" s="2441"/>
      <c r="AH715" s="2441"/>
      <c r="AI715" s="2441"/>
      <c r="AJ715" s="2441"/>
      <c r="AK715" s="2441"/>
      <c r="AL715" s="2441"/>
      <c r="AM715" s="551"/>
      <c r="AN715" s="685"/>
      <c r="AP715" s="571" t="s">
        <v>1433</v>
      </c>
    </row>
    <row r="716" spans="1:43" s="571" customFormat="1" ht="11.9" customHeight="1" x14ac:dyDescent="0.3">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1434</v>
      </c>
    </row>
    <row r="717" spans="1:43" s="571" customFormat="1" ht="14" customHeight="1" x14ac:dyDescent="0.25">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1435</v>
      </c>
    </row>
    <row r="718" spans="1:43" s="571" customFormat="1" ht="14" customHeight="1" x14ac:dyDescent="0.25">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 customHeight="1" x14ac:dyDescent="0.25">
      <c r="A719" s="551"/>
      <c r="B719" s="537"/>
      <c r="C719" s="932"/>
      <c r="D719" s="664"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441" t="s">
        <v>1409</v>
      </c>
      <c r="AG719" s="2441"/>
      <c r="AH719" s="2441"/>
      <c r="AI719" s="2441"/>
      <c r="AJ719" s="2441"/>
      <c r="AK719" s="2441"/>
      <c r="AL719" s="2441"/>
      <c r="AM719" s="551"/>
      <c r="AN719" s="686"/>
    </row>
    <row r="720" spans="1:43" s="571" customFormat="1" ht="12.75" customHeight="1" x14ac:dyDescent="0.3">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592</v>
      </c>
      <c r="AQ720" s="674">
        <v>0</v>
      </c>
    </row>
    <row r="721" spans="1:81" s="571" customFormat="1" ht="14" customHeight="1" x14ac:dyDescent="0.3">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688</v>
      </c>
      <c r="AQ721" s="551">
        <v>3</v>
      </c>
    </row>
    <row r="722" spans="1:81" s="571" customFormat="1" ht="14" customHeight="1" x14ac:dyDescent="0.3">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 customHeight="1" x14ac:dyDescent="0.3">
      <c r="A723" s="551"/>
      <c r="B723" s="537"/>
      <c r="C723" s="934"/>
      <c r="D723" s="537" t="s">
        <v>1401</v>
      </c>
      <c r="E723" s="937"/>
      <c r="F723" s="937"/>
      <c r="G723" s="937"/>
      <c r="H723" s="2525" t="s">
        <v>592</v>
      </c>
      <c r="I723" s="252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x14ac:dyDescent="0.3">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x14ac:dyDescent="0.3">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6">
        <f>VLOOKUP($H$723,$AP$720:$AQ$722,2,FALSE)</f>
        <v>0</v>
      </c>
      <c r="AK725" s="2478"/>
      <c r="AL725" s="596"/>
      <c r="AM725" s="551"/>
      <c r="AN725" s="685"/>
      <c r="AP725" s="2476"/>
      <c r="AQ725" s="2478"/>
    </row>
    <row r="726" spans="1:81" s="571" customFormat="1" x14ac:dyDescent="0.25">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x14ac:dyDescent="0.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x14ac:dyDescent="0.25">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x14ac:dyDescent="0.25">
      <c r="A729" s="551"/>
      <c r="B729" s="537"/>
      <c r="C729" s="932"/>
      <c r="D729" s="664" t="s">
        <v>688</v>
      </c>
      <c r="E729" s="2496" t="s">
        <v>1697</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7"/>
      <c r="AD729" s="537"/>
      <c r="AE729" s="537"/>
      <c r="AF729" s="2441" t="s">
        <v>1353</v>
      </c>
      <c r="AG729" s="2441"/>
      <c r="AH729" s="2441"/>
      <c r="AI729" s="2441"/>
      <c r="AJ729" s="2441"/>
      <c r="AK729" s="2441"/>
      <c r="AL729" s="2441"/>
      <c r="AM729" s="551"/>
      <c r="AN729" s="685"/>
      <c r="AT729" s="14"/>
      <c r="AU729" s="14"/>
      <c r="AV729" s="14"/>
      <c r="AW729" s="14"/>
      <c r="AX729" s="14"/>
      <c r="AY729" s="14"/>
      <c r="AZ729" s="14"/>
    </row>
    <row r="730" spans="1:81" s="571" customFormat="1" ht="13" x14ac:dyDescent="0.3">
      <c r="A730" s="551"/>
      <c r="B730" s="537"/>
      <c r="C730" s="934"/>
      <c r="D730" s="664"/>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x14ac:dyDescent="0.25">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x14ac:dyDescent="0.25">
      <c r="A732" s="551"/>
      <c r="B732" s="537"/>
      <c r="C732" s="932"/>
      <c r="D732" s="664" t="s">
        <v>510</v>
      </c>
      <c r="E732" s="2496" t="s">
        <v>1440</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7"/>
      <c r="AD732" s="537"/>
      <c r="AE732" s="537"/>
      <c r="AF732" s="2441" t="s">
        <v>1409</v>
      </c>
      <c r="AG732" s="2441"/>
      <c r="AH732" s="2441"/>
      <c r="AI732" s="2441"/>
      <c r="AJ732" s="2441"/>
      <c r="AK732" s="2441"/>
      <c r="AL732" s="2441"/>
      <c r="AM732" s="551"/>
      <c r="AN732" s="685"/>
      <c r="AT732" s="14"/>
      <c r="AU732" s="14"/>
      <c r="AV732" s="14"/>
      <c r="AW732" s="14"/>
      <c r="AX732" s="14"/>
      <c r="AY732" s="14"/>
      <c r="AZ732" s="14"/>
    </row>
    <row r="733" spans="1:81" s="571" customFormat="1" ht="13" x14ac:dyDescent="0.3">
      <c r="A733" s="551"/>
      <c r="B733" s="537"/>
      <c r="C733" s="934"/>
      <c r="D733" s="537"/>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x14ac:dyDescent="0.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x14ac:dyDescent="0.3">
      <c r="A735" s="551"/>
      <c r="B735" s="537"/>
      <c r="C735" s="934"/>
      <c r="D735" s="537" t="s">
        <v>1401</v>
      </c>
      <c r="E735" s="937"/>
      <c r="F735" s="937"/>
      <c r="G735" s="937"/>
      <c r="H735" s="2525" t="s">
        <v>688</v>
      </c>
      <c r="I735" s="252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x14ac:dyDescent="0.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x14ac:dyDescent="0.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6">
        <f>VLOOKUP($H$735,$AO$666:$AP$668,2,FALSE)</f>
        <v>3</v>
      </c>
      <c r="AK737" s="247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x14ac:dyDescent="0.3">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x14ac:dyDescent="0.3">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x14ac:dyDescent="0.25">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x14ac:dyDescent="0.25">
      <c r="A741" s="551"/>
      <c r="B741" s="537"/>
      <c r="C741" s="932"/>
      <c r="D741" s="664" t="s">
        <v>688</v>
      </c>
      <c r="E741" s="2496" t="s">
        <v>1443</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7"/>
      <c r="AD741" s="537"/>
      <c r="AE741" s="537"/>
      <c r="AF741" s="2441" t="s">
        <v>1353</v>
      </c>
      <c r="AG741" s="2441"/>
      <c r="AH741" s="2441"/>
      <c r="AI741" s="2441"/>
      <c r="AJ741" s="2441"/>
      <c r="AK741" s="2441"/>
      <c r="AL741" s="2441"/>
      <c r="AM741" s="551"/>
      <c r="AN741" s="685"/>
      <c r="AT741" s="14"/>
      <c r="AU741" s="14"/>
      <c r="AV741" s="14"/>
      <c r="AW741" s="14"/>
      <c r="AX741" s="14"/>
      <c r="AY741" s="14"/>
      <c r="AZ741" s="14"/>
    </row>
    <row r="742" spans="1:81" s="571" customFormat="1" ht="13" x14ac:dyDescent="0.25">
      <c r="A742" s="551"/>
      <c r="B742" s="537"/>
      <c r="C742" s="932"/>
      <c r="D742" s="664"/>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x14ac:dyDescent="0.3">
      <c r="A743" s="551"/>
      <c r="B743" s="537"/>
      <c r="C743" s="934"/>
      <c r="D743" s="664"/>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7"/>
      <c r="AD743" s="537"/>
      <c r="AE743" s="537"/>
      <c r="AF743" s="537"/>
      <c r="AG743" s="537"/>
      <c r="AH743" s="537"/>
      <c r="AI743" s="537"/>
      <c r="AJ743" s="537"/>
      <c r="AK743" s="537"/>
      <c r="AL743" s="537"/>
      <c r="AM743" s="551"/>
      <c r="AN743" s="685"/>
    </row>
    <row r="744" spans="1:81" s="571" customFormat="1" ht="12.75" customHeight="1" x14ac:dyDescent="0.3">
      <c r="A744" s="551"/>
      <c r="B744" s="537"/>
      <c r="C744" s="934"/>
      <c r="D744" s="664"/>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7"/>
      <c r="AD744" s="537"/>
      <c r="AE744" s="537"/>
      <c r="AF744" s="537"/>
      <c r="AG744" s="537"/>
      <c r="AH744" s="537"/>
      <c r="AI744" s="537"/>
      <c r="AJ744" s="537"/>
      <c r="AK744" s="537"/>
      <c r="AL744" s="537"/>
      <c r="AM744" s="551"/>
      <c r="AN744" s="535"/>
      <c r="AO744" s="14"/>
    </row>
    <row r="745" spans="1:81" s="571" customFormat="1" x14ac:dyDescent="0.25">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x14ac:dyDescent="0.25">
      <c r="A746" s="551"/>
      <c r="B746" s="537"/>
      <c r="C746" s="932"/>
      <c r="D746" s="664" t="s">
        <v>510</v>
      </c>
      <c r="E746" s="2496" t="s">
        <v>1444</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6"/>
      <c r="AC746" s="537"/>
      <c r="AD746" s="537"/>
      <c r="AE746" s="537"/>
      <c r="AF746" s="2441" t="s">
        <v>1409</v>
      </c>
      <c r="AG746" s="2441"/>
      <c r="AH746" s="2441"/>
      <c r="AI746" s="2441"/>
      <c r="AJ746" s="2441"/>
      <c r="AK746" s="2441"/>
      <c r="AL746" s="2441"/>
      <c r="AM746" s="551"/>
      <c r="AN746" s="685"/>
      <c r="AO746" s="30"/>
      <c r="AP746" s="14"/>
    </row>
    <row r="747" spans="1:81" s="571" customFormat="1" ht="13" x14ac:dyDescent="0.25">
      <c r="A747" s="551"/>
      <c r="B747" s="537"/>
      <c r="C747" s="932"/>
      <c r="D747" s="664"/>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6"/>
      <c r="AC747" s="537"/>
      <c r="AD747" s="537"/>
      <c r="AE747" s="537"/>
      <c r="AF747" s="595"/>
      <c r="AG747" s="595"/>
      <c r="AH747" s="595"/>
      <c r="AI747" s="595"/>
      <c r="AJ747" s="595"/>
      <c r="AK747" s="595"/>
      <c r="AL747" s="595"/>
      <c r="AM747" s="551"/>
      <c r="AN747" s="685"/>
      <c r="AO747" s="30"/>
      <c r="AP747" s="14"/>
    </row>
    <row r="748" spans="1:81" s="571" customFormat="1" ht="13" x14ac:dyDescent="0.25">
      <c r="A748" s="551"/>
      <c r="B748" s="537"/>
      <c r="C748" s="932"/>
      <c r="D748" s="537"/>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6"/>
      <c r="AC748" s="595"/>
      <c r="AD748" s="595"/>
      <c r="AE748" s="595"/>
      <c r="AF748" s="595"/>
      <c r="AG748" s="595"/>
      <c r="AH748" s="595"/>
      <c r="AI748" s="595"/>
      <c r="AJ748" s="537"/>
      <c r="AK748" s="537"/>
      <c r="AL748" s="537"/>
      <c r="AM748" s="551"/>
      <c r="AN748" s="685"/>
      <c r="AO748" s="30"/>
      <c r="AP748" s="14"/>
    </row>
    <row r="749" spans="1:81" s="571" customFormat="1" ht="13" x14ac:dyDescent="0.25">
      <c r="A749" s="551"/>
      <c r="B749" s="537"/>
      <c r="C749" s="932"/>
      <c r="D749" s="537"/>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6"/>
      <c r="AC749" s="595"/>
      <c r="AD749" s="595"/>
      <c r="AE749" s="595"/>
      <c r="AF749" s="595"/>
      <c r="AG749" s="595"/>
      <c r="AH749" s="595"/>
      <c r="AI749" s="595"/>
      <c r="AJ749" s="537"/>
      <c r="AK749" s="537"/>
      <c r="AL749" s="537"/>
      <c r="AM749" s="551"/>
      <c r="AN749" s="685"/>
      <c r="AO749" s="30"/>
      <c r="AP749" s="14"/>
    </row>
    <row r="750" spans="1:81" s="571" customFormat="1" ht="13" x14ac:dyDescent="0.25">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x14ac:dyDescent="0.25">
      <c r="A751" s="551"/>
      <c r="B751" s="537"/>
      <c r="C751" s="932"/>
      <c r="D751" s="537" t="s">
        <v>1401</v>
      </c>
      <c r="E751" s="937"/>
      <c r="F751" s="937"/>
      <c r="G751" s="937"/>
      <c r="H751" s="2525" t="s">
        <v>688</v>
      </c>
      <c r="I751" s="252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x14ac:dyDescent="0.25">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x14ac:dyDescent="0.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6">
        <f>VLOOKUP($H$751,$AO$680:$AP$682,2,FALSE)</f>
        <v>3</v>
      </c>
      <c r="AK753" s="247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x14ac:dyDescent="0.3">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x14ac:dyDescent="0.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x14ac:dyDescent="0.25">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x14ac:dyDescent="0.25">
      <c r="A757" s="551"/>
      <c r="B757" s="537"/>
      <c r="C757" s="932"/>
      <c r="D757" s="664" t="s">
        <v>688</v>
      </c>
      <c r="E757" s="2496" t="s">
        <v>1446</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7"/>
      <c r="AD757" s="537"/>
      <c r="AE757" s="537"/>
      <c r="AF757" s="2441" t="s">
        <v>1409</v>
      </c>
      <c r="AG757" s="2441"/>
      <c r="AH757" s="2441"/>
      <c r="AI757" s="2441"/>
      <c r="AJ757" s="2441"/>
      <c r="AK757" s="2441"/>
      <c r="AL757" s="244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x14ac:dyDescent="0.3">
      <c r="A758" s="551"/>
      <c r="B758" s="537"/>
      <c r="C758" s="934"/>
      <c r="D758" s="664"/>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x14ac:dyDescent="0.25">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x14ac:dyDescent="0.25">
      <c r="A760" s="638"/>
      <c r="B760" s="537"/>
      <c r="C760" s="932"/>
      <c r="D760" s="664" t="s">
        <v>510</v>
      </c>
      <c r="E760" s="2496" t="s">
        <v>1447</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7"/>
      <c r="AD760" s="537"/>
      <c r="AE760" s="537"/>
      <c r="AF760" s="2441" t="s">
        <v>1426</v>
      </c>
      <c r="AG760" s="2441"/>
      <c r="AH760" s="2441"/>
      <c r="AI760" s="2441"/>
      <c r="AJ760" s="2441"/>
      <c r="AK760" s="2441"/>
      <c r="AL760" s="244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x14ac:dyDescent="0.25">
      <c r="A761" s="638"/>
      <c r="B761" s="537"/>
      <c r="C761" s="932"/>
      <c r="D761" s="664"/>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x14ac:dyDescent="0.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x14ac:dyDescent="0.25">
      <c r="A763" s="551"/>
      <c r="B763" s="537"/>
      <c r="C763" s="537"/>
      <c r="D763" s="537" t="s">
        <v>1401</v>
      </c>
      <c r="E763" s="937"/>
      <c r="F763" s="937"/>
      <c r="G763" s="937"/>
      <c r="H763" s="2525" t="s">
        <v>688</v>
      </c>
      <c r="I763" s="252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x14ac:dyDescent="0.25">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 customHeight="1" x14ac:dyDescent="0.3">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6">
        <f>VLOOKUP($H$763,$AO$697:$AP$699,2,FALSE)</f>
        <v>2</v>
      </c>
      <c r="AK765" s="247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x14ac:dyDescent="0.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x14ac:dyDescent="0.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x14ac:dyDescent="0.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x14ac:dyDescent="0.25">
      <c r="A769" s="551"/>
      <c r="B769" s="617"/>
      <c r="C769" s="941"/>
      <c r="D769" s="664" t="s">
        <v>688</v>
      </c>
      <c r="E769" s="2496" t="s">
        <v>1693</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7"/>
      <c r="AF769" s="2441" t="s">
        <v>1409</v>
      </c>
      <c r="AG769" s="2441"/>
      <c r="AH769" s="2441"/>
      <c r="AI769" s="2441"/>
      <c r="AJ769" s="2441"/>
      <c r="AK769" s="2441"/>
      <c r="AL769" s="2441"/>
      <c r="AM769" s="614"/>
      <c r="AN769" s="685"/>
      <c r="AO769" s="551" t="s">
        <v>592</v>
      </c>
      <c r="AP769" s="674">
        <v>0</v>
      </c>
    </row>
    <row r="770" spans="1:81" s="571" customFormat="1" ht="13.65" customHeight="1" x14ac:dyDescent="0.25">
      <c r="A770" s="551"/>
      <c r="B770" s="617"/>
      <c r="C770" s="941"/>
      <c r="D770" s="664"/>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7"/>
      <c r="AF770" s="595"/>
      <c r="AG770" s="595"/>
      <c r="AH770" s="595"/>
      <c r="AI770" s="595"/>
      <c r="AJ770" s="595"/>
      <c r="AK770" s="595"/>
      <c r="AL770" s="595"/>
      <c r="AM770" s="614"/>
      <c r="AN770" s="685"/>
      <c r="AO770" s="612" t="s">
        <v>688</v>
      </c>
      <c r="AP770" s="551">
        <v>2</v>
      </c>
    </row>
    <row r="771" spans="1:81" s="571" customFormat="1" ht="13" x14ac:dyDescent="0.25">
      <c r="A771" s="551"/>
      <c r="B771" s="617"/>
      <c r="C771" s="941"/>
      <c r="D771" s="664"/>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x14ac:dyDescent="0.25">
      <c r="A772" s="551"/>
      <c r="B772" s="617"/>
      <c r="C772" s="941"/>
      <c r="D772" s="664"/>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x14ac:dyDescent="0.25">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x14ac:dyDescent="0.25">
      <c r="B774" s="617"/>
      <c r="C774" s="941"/>
      <c r="D774" s="664"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441" t="s">
        <v>1353</v>
      </c>
      <c r="AG774" s="2441"/>
      <c r="AH774" s="2441"/>
      <c r="AI774" s="2441"/>
      <c r="AJ774" s="2441"/>
      <c r="AK774" s="2441"/>
      <c r="AL774" s="2441"/>
      <c r="AM774" s="614"/>
      <c r="AN774" s="598"/>
    </row>
    <row r="775" spans="1:81" s="551" customFormat="1" ht="12.75" customHeight="1" x14ac:dyDescent="0.2">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x14ac:dyDescent="0.2">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x14ac:dyDescent="0.2">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x14ac:dyDescent="0.25">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x14ac:dyDescent="0.3">
      <c r="B779" s="617"/>
      <c r="C779" s="941"/>
      <c r="D779" s="537" t="s">
        <v>1401</v>
      </c>
      <c r="E779" s="937"/>
      <c r="F779" s="937"/>
      <c r="G779" s="937"/>
      <c r="H779" s="2525" t="s">
        <v>592</v>
      </c>
      <c r="I779" s="252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x14ac:dyDescent="0.3">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x14ac:dyDescent="0.3">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6">
        <f>VLOOKUP($H$779,$AO$769:$AP$771,2,FALSE)</f>
        <v>0</v>
      </c>
      <c r="AK781" s="2478"/>
      <c r="AL781" s="596"/>
      <c r="AN781" s="598"/>
    </row>
    <row r="782" spans="1:81" s="571" customFormat="1" ht="13" x14ac:dyDescent="0.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x14ac:dyDescent="0.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x14ac:dyDescent="0.25">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x14ac:dyDescent="0.25">
      <c r="A785" s="551"/>
      <c r="B785" s="617"/>
      <c r="C785" s="941"/>
      <c r="D785" s="664" t="s">
        <v>688</v>
      </c>
      <c r="E785" s="2496" t="s">
        <v>2035</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7"/>
      <c r="AF785" s="2441" t="s">
        <v>1353</v>
      </c>
      <c r="AG785" s="2441"/>
      <c r="AH785" s="2441"/>
      <c r="AI785" s="2441"/>
      <c r="AJ785" s="2441"/>
      <c r="AK785" s="2441"/>
      <c r="AL785" s="2441"/>
      <c r="AM785" s="614"/>
      <c r="AN785" s="685"/>
      <c r="AO785" s="612" t="s">
        <v>546</v>
      </c>
      <c r="AP785" s="551">
        <v>3</v>
      </c>
      <c r="AT785" s="675"/>
      <c r="AU785" s="675"/>
      <c r="AV785" s="675"/>
      <c r="AW785" s="675"/>
      <c r="AX785" s="675"/>
      <c r="AY785" s="675"/>
      <c r="AZ785" s="675"/>
    </row>
    <row r="786" spans="1:81" s="571" customFormat="1" ht="13.65" customHeight="1" x14ac:dyDescent="0.25">
      <c r="A786" s="551"/>
      <c r="B786" s="617"/>
      <c r="C786" s="941"/>
      <c r="D786" s="664"/>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x14ac:dyDescent="0.25">
      <c r="A787" s="551"/>
      <c r="B787" s="617"/>
      <c r="C787" s="941"/>
      <c r="D787" s="664"/>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x14ac:dyDescent="0.25">
      <c r="A788" s="551"/>
      <c r="B788" s="617"/>
      <c r="C788" s="941"/>
      <c r="D788" s="664"/>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x14ac:dyDescent="0.25">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x14ac:dyDescent="0.3">
      <c r="A790" s="551"/>
      <c r="B790" s="617"/>
      <c r="C790" s="941"/>
      <c r="D790" s="537" t="s">
        <v>1401</v>
      </c>
      <c r="E790" s="937"/>
      <c r="F790" s="937"/>
      <c r="G790" s="937"/>
      <c r="H790" s="2525" t="s">
        <v>592</v>
      </c>
      <c r="I790" s="252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x14ac:dyDescent="0.25">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x14ac:dyDescent="0.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6">
        <f>VLOOKUP($H$790,$AO$784:$AP$785,2,FALSE)</f>
        <v>0</v>
      </c>
      <c r="AK792" s="247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x14ac:dyDescent="0.2">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x14ac:dyDescent="0.3">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6">
        <f>IF(($AJ$621+$AJ$640+$AJ$652+$AJ$687+$AJ$711+$AJ$725+$AJ$737+$AJ$753+$AJ$765+$AJ$781+AJ792)&gt;10,10,($AJ$621+$AJ$640+$AJ$652+$AJ$687+$AJ$711+$AJ$725+$AJ$737+$AJ$753+$AJ$765+$AJ$781+AJ792))</f>
        <v>10</v>
      </c>
      <c r="AL794" s="2477"/>
      <c r="AM794" s="2478"/>
      <c r="AN794" s="598"/>
    </row>
    <row r="795" spans="1:81" s="551" customFormat="1" ht="12.75" customHeight="1" x14ac:dyDescent="0.3">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x14ac:dyDescent="0.25">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x14ac:dyDescent="0.25">
      <c r="A797" s="2569" t="s">
        <v>1569</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x14ac:dyDescent="0.25">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7"/>
      <c r="AP798" s="817"/>
      <c r="AQ798" s="817"/>
    </row>
    <row r="799" spans="1:81" ht="13" x14ac:dyDescent="0.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x14ac:dyDescent="0.3">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7"/>
      <c r="AQ800" s="817"/>
    </row>
    <row r="801" spans="1:81" ht="13" x14ac:dyDescent="0.3">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7"/>
      <c r="AQ801" s="817"/>
    </row>
    <row r="802" spans="1:81" ht="13" x14ac:dyDescent="0.3">
      <c r="A802" s="818"/>
      <c r="B802" s="668"/>
      <c r="C802" s="668"/>
      <c r="D802" s="668"/>
      <c r="E802" s="668"/>
      <c r="F802" s="668"/>
      <c r="G802" s="668"/>
      <c r="H802" s="668"/>
      <c r="I802" s="668"/>
      <c r="J802" s="668"/>
      <c r="K802" s="668"/>
      <c r="L802" s="668"/>
      <c r="M802" s="668"/>
      <c r="N802" s="668"/>
      <c r="O802" s="668"/>
      <c r="P802" s="668"/>
      <c r="Q802" s="668"/>
      <c r="R802" s="668"/>
      <c r="S802" s="670"/>
      <c r="T802" s="2572" t="s">
        <v>1570</v>
      </c>
      <c r="U802" s="2573"/>
      <c r="V802" s="2573"/>
      <c r="W802" s="2573"/>
      <c r="X802" s="2573"/>
      <c r="Y802" s="2574"/>
      <c r="Z802" s="2572" t="s">
        <v>1571</v>
      </c>
      <c r="AA802" s="2573"/>
      <c r="AB802" s="2573"/>
      <c r="AC802" s="2573"/>
      <c r="AD802" s="2573"/>
      <c r="AE802" s="2574"/>
      <c r="AF802" s="2572" t="s">
        <v>1572</v>
      </c>
      <c r="AG802" s="2573"/>
      <c r="AH802" s="2573"/>
      <c r="AI802" s="2573"/>
      <c r="AJ802" s="2573"/>
      <c r="AK802" s="2574"/>
      <c r="AL802" s="819"/>
      <c r="AM802" s="597"/>
      <c r="AO802" s="817"/>
      <c r="AP802" s="817"/>
      <c r="AQ802" s="817"/>
    </row>
    <row r="803" spans="1:81" ht="13" x14ac:dyDescent="0.3">
      <c r="A803" s="820"/>
      <c r="B803" s="695"/>
      <c r="C803" s="695"/>
      <c r="D803" s="695"/>
      <c r="E803" s="695"/>
      <c r="F803" s="695"/>
      <c r="G803" s="695"/>
      <c r="H803" s="695"/>
      <c r="I803" s="695"/>
      <c r="J803" s="695"/>
      <c r="K803" s="695"/>
      <c r="L803" s="695"/>
      <c r="M803" s="695"/>
      <c r="N803" s="695"/>
      <c r="O803" s="695"/>
      <c r="P803" s="695"/>
      <c r="Q803" s="695"/>
      <c r="R803" s="695"/>
      <c r="S803" s="709"/>
      <c r="T803" s="2575"/>
      <c r="U803" s="2576"/>
      <c r="V803" s="2576"/>
      <c r="W803" s="2576"/>
      <c r="X803" s="2576"/>
      <c r="Y803" s="2577"/>
      <c r="Z803" s="2575"/>
      <c r="AA803" s="2576"/>
      <c r="AB803" s="2576"/>
      <c r="AC803" s="2576"/>
      <c r="AD803" s="2576"/>
      <c r="AE803" s="2577"/>
      <c r="AF803" s="2575"/>
      <c r="AG803" s="2576"/>
      <c r="AH803" s="2576"/>
      <c r="AI803" s="2576"/>
      <c r="AJ803" s="2576"/>
      <c r="AK803" s="2577"/>
      <c r="AL803" s="819"/>
      <c r="AM803" s="597"/>
      <c r="AO803" s="817"/>
      <c r="AP803" s="817"/>
      <c r="AQ803" s="817"/>
    </row>
    <row r="804" spans="1:81" ht="13" x14ac:dyDescent="0.3">
      <c r="A804" s="820" t="s">
        <v>758</v>
      </c>
      <c r="B804" s="2552" t="s">
        <v>1305</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9"/>
      <c r="AM804" s="597"/>
      <c r="AO804" s="817"/>
      <c r="AP804" s="817"/>
      <c r="AQ804" s="817"/>
    </row>
    <row r="805" spans="1:81" ht="13" x14ac:dyDescent="0.3">
      <c r="A805" s="820" t="s">
        <v>1542</v>
      </c>
      <c r="B805" s="2552" t="s">
        <v>1314</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9"/>
      <c r="AM805" s="597"/>
      <c r="AO805" s="817"/>
      <c r="AP805" s="817"/>
      <c r="AQ805" s="817"/>
    </row>
    <row r="806" spans="1:81" ht="13" x14ac:dyDescent="0.3">
      <c r="A806" s="820" t="s">
        <v>1551</v>
      </c>
      <c r="B806" s="2552" t="s">
        <v>1324</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9"/>
      <c r="AM806" s="597"/>
      <c r="AO806" s="817"/>
      <c r="AP806" s="817"/>
      <c r="AQ806" s="817"/>
    </row>
    <row r="807" spans="1:81" ht="13" x14ac:dyDescent="0.3">
      <c r="A807" s="820" t="s">
        <v>1573</v>
      </c>
      <c r="B807" s="2552" t="s">
        <v>1334</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9"/>
      <c r="AM807" s="597"/>
      <c r="AO807" s="817"/>
      <c r="AP807" s="817"/>
      <c r="AQ807" s="817"/>
    </row>
    <row r="808" spans="1:81" ht="13" x14ac:dyDescent="0.3">
      <c r="A808" s="821" t="s">
        <v>1574</v>
      </c>
      <c r="B808" s="2552" t="s">
        <v>1575</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9"/>
      <c r="AM808" s="597"/>
    </row>
    <row r="809" spans="1:81" ht="13" x14ac:dyDescent="0.3">
      <c r="A809" s="536"/>
      <c r="B809" s="602"/>
      <c r="C809" s="2579" t="s">
        <v>1576</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9"/>
      <c r="AM809" s="597"/>
    </row>
    <row r="810" spans="1:81" ht="13" x14ac:dyDescent="0.3">
      <c r="A810" s="601"/>
      <c r="B810" s="602"/>
      <c r="C810" s="2579" t="s">
        <v>1577</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9"/>
      <c r="AM810" s="597"/>
      <c r="AO810" s="551"/>
    </row>
    <row r="811" spans="1:81" ht="13" x14ac:dyDescent="0.3">
      <c r="A811" s="821" t="s">
        <v>1362</v>
      </c>
      <c r="B811" s="2552" t="s">
        <v>1578</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9"/>
      <c r="AM811" s="597"/>
    </row>
    <row r="812" spans="1:81" ht="13" x14ac:dyDescent="0.3">
      <c r="A812" s="820" t="s">
        <v>1371</v>
      </c>
      <c r="B812" s="2552" t="s">
        <v>1372</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9"/>
      <c r="AM812" s="597"/>
    </row>
    <row r="813" spans="1:81" s="535" customFormat="1" ht="13" hidden="1" x14ac:dyDescent="0.3">
      <c r="A813" s="821" t="s">
        <v>590</v>
      </c>
      <c r="B813" s="2552" t="s">
        <v>1579</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x14ac:dyDescent="0.3">
      <c r="A814" s="820" t="s">
        <v>1377</v>
      </c>
      <c r="B814" s="2552" t="s">
        <v>1580</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x14ac:dyDescent="0.3">
      <c r="A815" s="821" t="s">
        <v>1381</v>
      </c>
      <c r="B815" s="2552" t="s">
        <v>1382</v>
      </c>
      <c r="C815" s="2552"/>
      <c r="D815" s="2552"/>
      <c r="E815" s="2552"/>
      <c r="F815" s="2552"/>
      <c r="G815" s="2552"/>
      <c r="H815" s="2552"/>
      <c r="I815" s="2552"/>
      <c r="J815" s="2552"/>
      <c r="K815" s="2552"/>
      <c r="L815" s="2552"/>
      <c r="M815" s="2552"/>
      <c r="N815" s="2552"/>
      <c r="O815" s="2552"/>
      <c r="P815" s="2552"/>
      <c r="Q815" s="2552"/>
      <c r="R815" s="2552"/>
      <c r="S815" s="2553"/>
      <c r="T815" s="2578">
        <f>AK338</f>
        <v>10</v>
      </c>
      <c r="U815" s="2578"/>
      <c r="V815" s="2578"/>
      <c r="W815" s="2578"/>
      <c r="X815" s="2578"/>
      <c r="Y815" s="2578"/>
      <c r="Z815" s="2584">
        <v>10</v>
      </c>
      <c r="AA815" s="2585"/>
      <c r="AB815" s="2585"/>
      <c r="AC815" s="2585"/>
      <c r="AD815" s="2585"/>
      <c r="AE815" s="2586"/>
      <c r="AF815" s="2584">
        <f>IF(T815&gt;Z815,Z815,T815)</f>
        <v>10</v>
      </c>
      <c r="AG815" s="2585"/>
      <c r="AH815" s="2585"/>
      <c r="AI815" s="2585"/>
      <c r="AJ815" s="2585"/>
      <c r="AK815" s="258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x14ac:dyDescent="0.3">
      <c r="A816" s="821"/>
      <c r="B816" s="822"/>
      <c r="C816" s="823" t="s">
        <v>1581</v>
      </c>
      <c r="D816" s="824"/>
      <c r="E816" s="824"/>
      <c r="F816" s="824"/>
      <c r="G816" s="824"/>
      <c r="H816" s="824"/>
      <c r="I816" s="824"/>
      <c r="J816" s="824"/>
      <c r="K816" s="824"/>
      <c r="L816" s="824"/>
      <c r="M816" s="824"/>
      <c r="N816" s="824"/>
      <c r="O816" s="824"/>
      <c r="P816" s="824"/>
      <c r="Q816" s="824"/>
      <c r="R816" s="822"/>
      <c r="S816" s="825"/>
      <c r="T816" s="2471">
        <f>AK338</f>
        <v>10</v>
      </c>
      <c r="U816" s="2471"/>
      <c r="V816" s="2471"/>
      <c r="W816" s="2471"/>
      <c r="X816" s="2471"/>
      <c r="Y816" s="2471"/>
      <c r="Z816" s="2476">
        <v>20</v>
      </c>
      <c r="AA816" s="2477"/>
      <c r="AB816" s="2477"/>
      <c r="AC816" s="2477"/>
      <c r="AD816" s="2477"/>
      <c r="AE816" s="2478"/>
      <c r="AF816" s="2581"/>
      <c r="AG816" s="2581"/>
      <c r="AH816" s="2581"/>
      <c r="AI816" s="2581"/>
      <c r="AJ816" s="2581"/>
      <c r="AK816" s="258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x14ac:dyDescent="0.3">
      <c r="A817" s="821" t="s">
        <v>1454</v>
      </c>
      <c r="B817" s="2552" t="s">
        <v>846</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x14ac:dyDescent="0.3">
      <c r="A818" s="821" t="s">
        <v>1559</v>
      </c>
      <c r="B818" s="2552" t="s">
        <v>1560</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x14ac:dyDescent="0.3">
      <c r="A819" s="821" t="s">
        <v>2023</v>
      </c>
      <c r="B819" s="2552" t="s">
        <v>1582</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x14ac:dyDescent="0.3">
      <c r="A820" s="2582" t="s">
        <v>1583</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1584</v>
      </c>
      <c r="AA820" s="2472"/>
      <c r="AB820" s="2472"/>
      <c r="AC820" s="2472"/>
      <c r="AD820" s="2472"/>
      <c r="AE820" s="2472"/>
      <c r="AF820" s="2584">
        <f>IF(T820&gt;0,T820,0)</f>
        <v>0</v>
      </c>
      <c r="AG820" s="2585"/>
      <c r="AH820" s="2585"/>
      <c r="AI820" s="2585"/>
      <c r="AJ820" s="2585"/>
      <c r="AK820" s="258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x14ac:dyDescent="0.25">
      <c r="A821" s="2587" t="s">
        <v>1585</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120</v>
      </c>
      <c r="AG821" s="2594"/>
      <c r="AH821" s="2594"/>
      <c r="AI821" s="2594"/>
      <c r="AJ821" s="2594"/>
      <c r="AK821" s="259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x14ac:dyDescent="0.2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x14ac:dyDescent="0.25">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x14ac:dyDescent="0.25"/>
    <row r="825" spans="1:81" x14ac:dyDescent="0.25"/>
    <row r="826" spans="1:81" x14ac:dyDescent="0.25"/>
    <row r="827" spans="1:81" x14ac:dyDescent="0.25"/>
  </sheetData>
  <sheetProtection algorithmName="SHA-512" hashValue="yfP88XWh34qSakPaXFuABPi1wcy+ECPH3x4qm8mn4lyFvvxEJhcj8sFjtLPWj6T7wbyJ41oTjrMK+bzllDHLDA==" saltValue="uRqcPNSqMY8N1Mw3EjQJH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9C1F1CE6E3264AB9087E3FBA72C1DD" ma:contentTypeVersion="5" ma:contentTypeDescription="Create a new document." ma:contentTypeScope="" ma:versionID="a332c37da06d2b733a279e7eb43e2db3">
  <xsd:schema xmlns:xsd="http://www.w3.org/2001/XMLSchema" xmlns:xs="http://www.w3.org/2001/XMLSchema" xmlns:p="http://schemas.microsoft.com/office/2006/metadata/properties" xmlns:ns3="834f0089-707f-43c6-88c6-460897b3f856" targetNamespace="http://schemas.microsoft.com/office/2006/metadata/properties" ma:root="true" ma:fieldsID="ac6b4395eee252b41370bd65257fde02" ns3:_="">
    <xsd:import namespace="834f0089-707f-43c6-88c6-460897b3f856"/>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4f0089-707f-43c6-88c6-460897b3f856"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6DE2D6-9A8B-4E72-8579-D68EEEB80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4f0089-707f-43c6-88c6-460897b3f8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2EB9D2-1806-486E-B0EF-4CEE044E00BF}">
  <ds:schemaRefs>
    <ds:schemaRef ds:uri="http://schemas.microsoft.com/sharepoint/v3/contenttype/forms"/>
  </ds:schemaRefs>
</ds:datastoreItem>
</file>

<file path=customXml/itemProps3.xml><?xml version="1.0" encoding="utf-8"?>
<ds:datastoreItem xmlns:ds="http://schemas.openxmlformats.org/officeDocument/2006/customXml" ds:itemID="{D28FCA2D-D96A-4D7D-8DE5-335BAA8CDF7E}">
  <ds:schemaRef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http://schemas.microsoft.com/office/infopath/2007/PartnerControls"/>
    <ds:schemaRef ds:uri="834f0089-707f-43c6-88c6-460897b3f85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2025-01-17T20:12:32Z</cp:lastPrinted>
  <dcterms:created xsi:type="dcterms:W3CDTF">2007-12-27T18:26:28Z</dcterms:created>
  <dcterms:modified xsi:type="dcterms:W3CDTF">2025-02-03T19:33:40Z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0x010100AC9C1F1CE6E3264AB9087E3FBA72C1DD</vt:lpwstr>
  </property>
</Properties>
</file>