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29 Sky Castle\"/>
    </mc:Choice>
  </mc:AlternateContent>
  <xr:revisionPtr revIDLastSave="0" documentId="13_ncr:1_{DBCBDF90-E078-44B2-A9EE-ED11AA804075}" xr6:coauthVersionLast="47" xr6:coauthVersionMax="47" xr10:uidLastSave="{00000000-0000-0000-0000-000000000000}"/>
  <bookViews>
    <workbookView xWindow="-110" yWindow="-110" windowWidth="19420" windowHeight="10420" firstSheet="7"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6"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I18" i="21"/>
  <c r="I17" i="21"/>
  <c r="H99" i="4"/>
  <c r="S20" i="4"/>
  <c r="F21" i="4"/>
  <c r="F20" i="4"/>
  <c r="F19" i="4"/>
  <c r="K721" i="3"/>
  <c r="K719" i="3"/>
  <c r="K723" i="3"/>
  <c r="S49" i="4"/>
  <c r="C49" i="4"/>
  <c r="C83" i="4"/>
  <c r="AC886" i="3"/>
  <c r="AA919" i="3" l="1"/>
  <c r="C628" i="3"/>
  <c r="Q391" i="3" l="1"/>
  <c r="F75" i="4"/>
  <c r="F84" i="4"/>
  <c r="F85" i="4"/>
  <c r="F87" i="4"/>
  <c r="F89" i="4"/>
  <c r="F90" i="4"/>
  <c r="F91" i="4"/>
  <c r="F92" i="4"/>
  <c r="F83" i="4"/>
  <c r="F94" i="4"/>
  <c r="F93" i="4"/>
  <c r="F65" i="4"/>
  <c r="F52" i="4"/>
  <c r="F51" i="4"/>
  <c r="F24" i="4"/>
  <c r="F17" i="4"/>
  <c r="H13" i="4"/>
  <c r="Z813" i="3"/>
  <c r="K726" i="3"/>
  <c r="T726" i="3"/>
  <c r="T723" i="3"/>
  <c r="T724" i="3" s="1"/>
  <c r="T721" i="3"/>
  <c r="T719" i="3"/>
  <c r="K724" i="3"/>
  <c r="S80" i="4"/>
  <c r="S50" i="4"/>
  <c r="S46" i="4"/>
  <c r="S45" i="4"/>
  <c r="S94" i="4"/>
  <c r="S93" i="4"/>
  <c r="S65" i="4"/>
  <c r="S52" i="4"/>
  <c r="S13" i="4"/>
  <c r="S10" i="4"/>
  <c r="S24" i="4"/>
  <c r="S17" i="4"/>
  <c r="C69" i="4"/>
  <c r="H69" i="4" s="1"/>
  <c r="C45" i="4"/>
  <c r="F45" i="4" s="1"/>
  <c r="S18" i="4"/>
  <c r="C88" i="4"/>
  <c r="F88" i="4" s="1"/>
  <c r="F49" i="4"/>
  <c r="C86" i="4"/>
  <c r="S86" i="4" s="1"/>
  <c r="C43" i="4"/>
  <c r="S43" i="4" s="1"/>
  <c r="AD199" i="20"/>
  <c r="H48" i="4"/>
  <c r="H40" i="4"/>
  <c r="H80" i="4"/>
  <c r="H79" i="4"/>
  <c r="H66" i="4"/>
  <c r="H57" i="4"/>
  <c r="H56" i="4"/>
  <c r="F50" i="4"/>
  <c r="G6" i="4"/>
  <c r="G4" i="4"/>
  <c r="F46" i="4"/>
  <c r="F27" i="4"/>
  <c r="S90" i="4"/>
  <c r="S85" i="4"/>
  <c r="S79" i="4"/>
  <c r="S66" i="4"/>
  <c r="S48" i="4"/>
  <c r="S40" i="4"/>
  <c r="S21" i="4"/>
  <c r="S19" i="4"/>
  <c r="AF1027" i="3"/>
  <c r="T9" i="4"/>
  <c r="AA918" i="3"/>
  <c r="W474" i="3"/>
  <c r="P418" i="3"/>
  <c r="I421" i="3" s="1"/>
  <c r="F86" i="4" l="1"/>
  <c r="H43" i="4"/>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D86" i="11" s="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D32" i="11" s="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7" i="3"/>
  <c r="X727"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7" i="4"/>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H8" i="4"/>
  <c r="I8" i="4"/>
  <c r="I11" i="4"/>
  <c r="J8" i="4"/>
  <c r="J11" i="4"/>
  <c r="J26" i="4"/>
  <c r="J38" i="4"/>
  <c r="J42" i="4"/>
  <c r="J54" i="4"/>
  <c r="J62" i="4"/>
  <c r="J70" i="4"/>
  <c r="J77" i="4"/>
  <c r="J96" i="4"/>
  <c r="J104" i="4"/>
  <c r="K8" i="4"/>
  <c r="K11" i="4"/>
  <c r="L8" i="4"/>
  <c r="L11" i="4"/>
  <c r="M8" i="4"/>
  <c r="M11" i="4"/>
  <c r="N8" i="4"/>
  <c r="O8" i="4"/>
  <c r="Q8" i="4"/>
  <c r="Q11" i="4"/>
  <c r="B9" i="4"/>
  <c r="B10" i="4"/>
  <c r="E11" i="4"/>
  <c r="F38" i="4"/>
  <c r="F42" i="4"/>
  <c r="F54" i="4"/>
  <c r="F62" i="4"/>
  <c r="N11" i="4"/>
  <c r="O11" i="4"/>
  <c r="B13" i="4"/>
  <c r="B14" i="4"/>
  <c r="B15" i="4"/>
  <c r="AD210" i="20" s="1"/>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G104" i="4"/>
  <c r="K104" i="4"/>
  <c r="L104" i="4"/>
  <c r="Q104" i="4"/>
  <c r="E108" i="4"/>
  <c r="E18" i="4" s="1"/>
  <c r="F18" i="4" s="1"/>
  <c r="F26" i="4" s="1"/>
  <c r="F108" i="4"/>
  <c r="G108" i="4"/>
  <c r="I108" i="4"/>
  <c r="I99" i="4" s="1"/>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93" i="11" l="1"/>
  <c r="B26" i="4"/>
  <c r="D35" i="11"/>
  <c r="D94" i="11"/>
  <c r="D85" i="11"/>
  <c r="D25" i="11"/>
  <c r="F99" i="4"/>
  <c r="F104" i="4" s="1"/>
  <c r="AH726" i="3"/>
  <c r="AH725" i="3"/>
  <c r="AH724" i="3"/>
  <c r="D104" i="11"/>
  <c r="D33" i="11"/>
  <c r="G9" i="4"/>
  <c r="F9" i="4" s="1"/>
  <c r="R9" i="4" s="1"/>
  <c r="R11" i="4" s="1"/>
  <c r="AH722" i="3"/>
  <c r="D34" i="11"/>
  <c r="I104" i="4"/>
  <c r="H104" i="4"/>
  <c r="E26" i="4"/>
  <c r="E63" i="4" s="1"/>
  <c r="E97" i="4" s="1"/>
  <c r="E105" i="4" s="1"/>
  <c r="R18" i="4"/>
  <c r="R26" i="4" s="1"/>
  <c r="B8" i="13"/>
  <c r="H11" i="4"/>
  <c r="H63" i="4" s="1"/>
  <c r="H97" i="4" s="1"/>
  <c r="C82" i="11"/>
  <c r="D70" i="11"/>
  <c r="B8" i="4"/>
  <c r="N189" i="23" s="1"/>
  <c r="AH723" i="3"/>
  <c r="D88" i="11"/>
  <c r="D36" i="11"/>
  <c r="D91" i="11"/>
  <c r="D89" i="11"/>
  <c r="D90" i="11"/>
  <c r="D6" i="11"/>
  <c r="D54" i="11"/>
  <c r="D87" i="11"/>
  <c r="D96" i="11"/>
  <c r="D103" i="11"/>
  <c r="D101" i="11"/>
  <c r="G144" i="21"/>
  <c r="G143" i="21"/>
  <c r="D95" i="11"/>
  <c r="C105" i="11"/>
  <c r="C12" i="4"/>
  <c r="B12" i="13" s="1"/>
  <c r="D75" i="11"/>
  <c r="D62" i="11"/>
  <c r="D58" i="11"/>
  <c r="D47" i="11"/>
  <c r="L12" i="4"/>
  <c r="D38" i="11"/>
  <c r="B42" i="4"/>
  <c r="B104"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D11" i="11"/>
  <c r="C63" i="11"/>
  <c r="B55" i="11"/>
  <c r="F63" i="13"/>
  <c r="F97" i="13" s="1"/>
  <c r="F105" i="13" s="1"/>
  <c r="F107" i="13" s="1"/>
  <c r="D24" i="11"/>
  <c r="B39" i="11"/>
  <c r="B71" i="11"/>
  <c r="B105" i="11"/>
  <c r="O12" i="4"/>
  <c r="D10" i="11"/>
  <c r="B43" i="11"/>
  <c r="BA1058"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38" i="4"/>
  <c r="R70" i="4"/>
  <c r="B8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42" i="4"/>
  <c r="R54" i="4"/>
  <c r="R62" i="4"/>
  <c r="D63" i="13"/>
  <c r="D97" i="13" s="1"/>
  <c r="D105" i="13" s="1"/>
  <c r="B97" i="11"/>
  <c r="C55" i="11"/>
  <c r="D23" i="11"/>
  <c r="D19" i="11"/>
  <c r="D14" i="11"/>
  <c r="D7" i="11"/>
  <c r="R8" i="4"/>
  <c r="R96" i="4"/>
  <c r="G63" i="13"/>
  <c r="G97" i="13" s="1"/>
  <c r="G105" i="13" s="1"/>
  <c r="G107" i="13" s="1"/>
  <c r="R81" i="4"/>
  <c r="M53" i="7"/>
  <c r="K58" i="7"/>
  <c r="N188" i="23"/>
  <c r="C27" i="11"/>
  <c r="D46" i="11"/>
  <c r="B82" i="1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R99" i="4" l="1"/>
  <c r="R104" i="4" s="1"/>
  <c r="D82" i="11"/>
  <c r="G11" i="4"/>
  <c r="F11" i="4"/>
  <c r="N195" i="23"/>
  <c r="H105" i="4"/>
  <c r="I105" i="4"/>
  <c r="D105" i="11"/>
  <c r="AJ621" i="20"/>
  <c r="AK794" i="20" s="1"/>
  <c r="T819" i="20" s="1"/>
  <c r="AF819" i="20" s="1"/>
  <c r="BE82" i="3" s="1"/>
  <c r="G94" i="21"/>
  <c r="H12" i="4"/>
  <c r="B12" i="4"/>
  <c r="D43" i="11"/>
  <c r="D55" i="11"/>
  <c r="D71" i="11"/>
  <c r="D39" i="11"/>
  <c r="D78" i="11"/>
  <c r="R12" i="4"/>
  <c r="D12" i="11"/>
  <c r="D63" i="11"/>
  <c r="B13" i="11"/>
  <c r="C64" i="11"/>
  <c r="C98" i="11" s="1"/>
  <c r="B64" i="11"/>
  <c r="B98" i="11" s="1"/>
  <c r="B106" i="11" s="1"/>
  <c r="B63" i="4"/>
  <c r="R63" i="4"/>
  <c r="D27" i="11"/>
  <c r="D97" i="11"/>
  <c r="T97" i="4"/>
  <c r="AZ1047" i="3" s="1"/>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F12" i="4" l="1"/>
  <c r="F63" i="4"/>
  <c r="G12" i="4"/>
  <c r="G63" i="4"/>
  <c r="G77" i="4"/>
  <c r="F77" i="4"/>
  <c r="D64" i="11"/>
  <c r="B105" i="4"/>
  <c r="BE101" i="3"/>
  <c r="AK84" i="20"/>
  <c r="T805" i="20" s="1"/>
  <c r="AF805" i="20" s="1"/>
  <c r="BE72"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AB47" i="15"/>
  <c r="AO629" i="3"/>
  <c r="F97" i="4"/>
  <c r="F105" i="4" s="1"/>
  <c r="G97" i="4"/>
  <c r="G105" i="4" s="1"/>
  <c r="R75" i="4"/>
  <c r="R77" i="4" s="1"/>
  <c r="R97" i="4" s="1"/>
  <c r="R105" i="4" s="1"/>
  <c r="AB266" i="20"/>
  <c r="AG268" i="20" s="1"/>
  <c r="AG270" i="20" s="1"/>
  <c r="AK273" i="20" s="1"/>
  <c r="T812" i="20" s="1"/>
  <c r="AF812" i="20" s="1"/>
  <c r="BE77" i="3" s="1"/>
  <c r="AC454" i="3"/>
  <c r="N185" i="23"/>
  <c r="BE22" i="3"/>
  <c r="S107" i="4"/>
  <c r="E105" i="13"/>
  <c r="BA1056" i="3"/>
  <c r="AZ1051" i="3"/>
  <c r="H105" i="13"/>
  <c r="T107" i="4"/>
  <c r="AE699" i="3" s="1"/>
  <c r="Q58" i="7"/>
  <c r="S53" i="7"/>
  <c r="G45" i="21"/>
  <c r="G47" i="21" s="1"/>
  <c r="E10" i="21" s="1"/>
  <c r="E11" i="21"/>
  <c r="Y26" i="15"/>
  <c r="Y28" i="15" s="1"/>
  <c r="Y64"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H108" i="4" l="1"/>
  <c r="AO639" i="3"/>
  <c r="AJ1007" i="3"/>
  <c r="AJ1029" i="3"/>
  <c r="AJ1032" i="3"/>
  <c r="AJ1036" i="3" s="1"/>
  <c r="I15" i="21" s="1"/>
  <c r="H107" i="13"/>
  <c r="AD11" i="15" s="1"/>
  <c r="AD23" i="15" s="1"/>
  <c r="AD26" i="15" s="1"/>
  <c r="AD28" i="15" s="1"/>
  <c r="AC456" i="3"/>
  <c r="BE44" i="3"/>
  <c r="F457" i="3"/>
  <c r="BA1055" i="3"/>
  <c r="BA1059" i="3" s="1"/>
  <c r="N196" i="23"/>
  <c r="N186" i="23"/>
  <c r="S58" i="7"/>
  <c r="U53" i="7"/>
  <c r="AA1056" i="3"/>
  <c r="AF551" i="20"/>
  <c r="E107" i="13"/>
  <c r="T11" i="15" s="1"/>
  <c r="T23" i="15" s="1"/>
  <c r="T26" i="15" s="1"/>
  <c r="T28" i="15" s="1"/>
  <c r="AJ1045" i="3"/>
  <c r="AJ1049" i="3"/>
  <c r="AP553" i="20" s="1"/>
  <c r="Y68" i="15"/>
  <c r="AP550" i="20"/>
  <c r="K4" i="7"/>
  <c r="M4" i="7" s="1"/>
  <c r="E45" i="7"/>
  <c r="E48" i="7" s="1"/>
  <c r="G45" i="7"/>
  <c r="G49" i="7"/>
  <c r="K6" i="7"/>
  <c r="I7" i="7"/>
  <c r="I11" i="7" s="1"/>
  <c r="I37" i="7" s="1"/>
  <c r="G26" i="21"/>
  <c r="F29" i="21"/>
  <c r="G29" i="21"/>
  <c r="O22" i="7"/>
  <c r="O35" i="7" s="1"/>
  <c r="Q15" i="7"/>
  <c r="O9" i="7"/>
  <c r="Q8" i="7"/>
  <c r="AB48" i="15" l="1"/>
  <c r="AB49" i="15" s="1"/>
  <c r="AB54" i="15" s="1"/>
  <c r="AB55" i="15" s="1"/>
  <c r="AO641" i="3"/>
  <c r="T29" i="15"/>
  <c r="U58" i="7"/>
  <c r="W53" i="7"/>
  <c r="AJ1053" i="3"/>
  <c r="AA1057" i="3" s="1"/>
  <c r="G1058" i="3" s="1"/>
  <c r="AP552" i="20"/>
  <c r="AP554" i="20" s="1"/>
  <c r="Y69" i="15"/>
  <c r="K5" i="7"/>
  <c r="E47" i="7"/>
  <c r="E60" i="7"/>
  <c r="O4" i="7"/>
  <c r="M5" i="7"/>
  <c r="I45" i="7"/>
  <c r="I49" i="7"/>
  <c r="M6" i="7"/>
  <c r="K7" i="7"/>
  <c r="G60" i="7"/>
  <c r="G47" i="7"/>
  <c r="G48" i="7"/>
  <c r="Q22" i="7"/>
  <c r="Q35" i="7" s="1"/>
  <c r="S15" i="7"/>
  <c r="G79" i="21"/>
  <c r="G80" i="21" s="1"/>
  <c r="E15" i="21" s="1"/>
  <c r="G31" i="21"/>
  <c r="G33" i="21" s="1"/>
  <c r="E9" i="21" s="1"/>
  <c r="G88" i="21"/>
  <c r="G90" i="21" s="1"/>
  <c r="E16" i="21" s="1"/>
  <c r="G111" i="21"/>
  <c r="G96" i="21"/>
  <c r="Q9" i="7"/>
  <c r="S8" i="7"/>
  <c r="E62" i="7" l="1"/>
  <c r="E66" i="7"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G66" i="7" s="1"/>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2" i="7"/>
  <c r="I66" i="7" s="1"/>
  <c r="K47" i="7"/>
  <c r="K60" i="7"/>
  <c r="K48" i="7"/>
  <c r="U22" i="7"/>
  <c r="U35" i="7" s="1"/>
  <c r="W15" i="7"/>
  <c r="U9" i="7"/>
  <c r="W8" i="7"/>
  <c r="AC53" i="7" l="1"/>
  <c r="AA58" i="7"/>
  <c r="M26" i="3"/>
  <c r="BE19" i="3" s="1"/>
  <c r="U4" i="7"/>
  <c r="S5" i="7"/>
  <c r="M48" i="7"/>
  <c r="M47" i="7"/>
  <c r="M60" i="7"/>
  <c r="O45" i="7"/>
  <c r="O49" i="7"/>
  <c r="K62" i="7"/>
  <c r="K66" i="7" s="1"/>
  <c r="Q7" i="7"/>
  <c r="Q11" i="7" s="1"/>
  <c r="Q37" i="7" s="1"/>
  <c r="S6" i="7"/>
  <c r="I70" i="7"/>
  <c r="I72" i="7" s="1"/>
  <c r="W22" i="7"/>
  <c r="W35" i="7" s="1"/>
  <c r="Y15" i="7"/>
  <c r="W9" i="7"/>
  <c r="Y8" i="7"/>
  <c r="AE53" i="7" l="1"/>
  <c r="AC58" i="7"/>
  <c r="AB57" i="15"/>
  <c r="P204" i="3"/>
  <c r="U5" i="7"/>
  <c r="W4" i="7"/>
  <c r="Q49" i="7"/>
  <c r="Q45" i="7"/>
  <c r="M62" i="7"/>
  <c r="M66" i="7" s="1"/>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2" i="7"/>
  <c r="O66" i="7" s="1"/>
  <c r="Q60" i="7"/>
  <c r="Q48" i="7"/>
  <c r="Q47" i="7"/>
  <c r="S49" i="7"/>
  <c r="S45" i="7"/>
  <c r="AC15" i="7"/>
  <c r="AA22" i="7"/>
  <c r="AA35" i="7" s="1"/>
  <c r="AC8" i="7"/>
  <c r="AA9" i="7"/>
  <c r="AB78" i="15" l="1"/>
  <c r="AB79" i="15" s="1"/>
  <c r="AB81" i="15" s="1"/>
  <c r="J82" i="15" s="1"/>
  <c r="AA4" i="7"/>
  <c r="Y5" i="7"/>
  <c r="Y6" i="7"/>
  <c r="W7" i="7"/>
  <c r="W11" i="7" s="1"/>
  <c r="W37" i="7" s="1"/>
  <c r="U45" i="7"/>
  <c r="U49" i="7"/>
  <c r="Q62" i="7"/>
  <c r="Q66" i="7" s="1"/>
  <c r="S48" i="7"/>
  <c r="S47" i="7"/>
  <c r="S60" i="7"/>
  <c r="O70" i="7"/>
  <c r="O72" i="7" s="1"/>
  <c r="AE15" i="7"/>
  <c r="AC22" i="7"/>
  <c r="AC35" i="7" s="1"/>
  <c r="AC9" i="7"/>
  <c r="AE8" i="7"/>
  <c r="M27" i="3" l="1"/>
  <c r="BE20" i="3" s="1"/>
  <c r="I10" i="21"/>
  <c r="I11" i="21" s="1"/>
  <c r="AA5" i="7"/>
  <c r="AC4" i="7"/>
  <c r="S62" i="7"/>
  <c r="S66" i="7" s="1"/>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2" i="7"/>
  <c r="U66" i="7" s="1"/>
  <c r="Y49" i="7"/>
  <c r="Y45" i="7"/>
  <c r="W60" i="7"/>
  <c r="W47" i="7"/>
  <c r="W48" i="7"/>
  <c r="AE5" i="7" l="1"/>
  <c r="AG4" i="7"/>
  <c r="AA45" i="7"/>
  <c r="AA49" i="7"/>
  <c r="U70" i="7"/>
  <c r="U72" i="7" s="1"/>
  <c r="W62" i="7"/>
  <c r="W66" i="7" s="1"/>
  <c r="Y47" i="7"/>
  <c r="Y48" i="7"/>
  <c r="Y60" i="7"/>
  <c r="AE6" i="7"/>
  <c r="AC7" i="7"/>
  <c r="AC11" i="7" s="1"/>
  <c r="AC37" i="7" s="1"/>
  <c r="AG5" i="7" l="1"/>
  <c r="W70" i="7"/>
  <c r="W72" i="7" s="1"/>
  <c r="AA60" i="7"/>
  <c r="AA47" i="7"/>
  <c r="AA48" i="7"/>
  <c r="AC45" i="7"/>
  <c r="AC49" i="7"/>
  <c r="AE7" i="7"/>
  <c r="AE11" i="7" s="1"/>
  <c r="AE37" i="7" s="1"/>
  <c r="AG6" i="7"/>
  <c r="Y62" i="7"/>
  <c r="Y66" i="7" s="1"/>
  <c r="Y70" i="7" l="1"/>
  <c r="Y72" i="7" s="1"/>
  <c r="AG7" i="7"/>
  <c r="AG11" i="7" s="1"/>
  <c r="AG37" i="7" s="1"/>
  <c r="AE49" i="7"/>
  <c r="AE45" i="7"/>
  <c r="AC60" i="7"/>
  <c r="AC48" i="7"/>
  <c r="AC47" i="7"/>
  <c r="AA62" i="7"/>
  <c r="AA66" i="7" s="1"/>
  <c r="AA70" i="7" l="1"/>
  <c r="AA72" i="7" s="1"/>
  <c r="AC62" i="7"/>
  <c r="AC66" i="7" s="1"/>
  <c r="AE47" i="7"/>
  <c r="AE60" i="7"/>
  <c r="AE48" i="7"/>
  <c r="AG49" i="7"/>
  <c r="AG45" i="7"/>
  <c r="AE62" i="7" l="1"/>
  <c r="AE66" i="7" s="1"/>
  <c r="AG48" i="7"/>
  <c r="AG60" i="7"/>
  <c r="AG47" i="7"/>
  <c r="AC70" i="7"/>
  <c r="AC72" i="7" s="1"/>
  <c r="AG62" i="7" l="1"/>
  <c r="AG66" i="7" s="1"/>
  <c r="AE70" i="7"/>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<sst xmlns="http://schemas.openxmlformats.org/spreadsheetml/2006/main" count="5024" uniqueCount="2732">
  <si>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</si>
  <si>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</si>
  <si>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</si>
  <si>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</si>
  <si>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</si>
  <si>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</si>
  <si>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</si>
  <si>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</si>
  <si>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</si>
  <si>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</si>
  <si>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</si>
  <si>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</si>
  <si>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</si>
  <si>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</si>
  <si>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</si>
  <si>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</si>
  <si>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</si>
  <si>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</si>
  <si>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</si>
  <si>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</si>
  <si>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</si>
  <si>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</si>
  <si>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</si>
  <si>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</si>
  <si>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</si>
  <si>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</si>
  <si>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</si>
  <si>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</si>
  <si>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</si>
  <si>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</si>
  <si>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</si>
  <si>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</si>
  <si>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</si>
  <si>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</si>
  <si>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</si>
  <si>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</si>
  <si>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</si>
  <si>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</si>
  <si>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</si>
  <si>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</si>
  <si>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</si>
  <si>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</si>
  <si>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</si>
  <si>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</si>
  <si>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</si>
  <si>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</si>
  <si>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</si>
  <si>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</si>
  <si>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</si>
  <si>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</si>
  <si>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</si>
  <si>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</si>
  <si>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</si>
  <si>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</si>
  <si>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</si>
  <si>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</si>
  <si>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</si>
  <si>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</si>
  <si>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</si>
  <si>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</si>
  <si>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</si>
  <si>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</si>
  <si>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</si>
  <si>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</si>
  <si>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</si>
  <si>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</si>
  <si>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</si>
  <si>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</si>
  <si>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</si>
  <si>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</si>
  <si>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</si>
  <si>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</si>
  <si>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</si>
  <si>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</si>
  <si>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</si>
  <si>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</si>
  <si>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</si>
  <si>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</si>
  <si>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</si>
  <si>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</si>
  <si>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</si>
  <si>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</si>
  <si>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</si>
  <si>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</si>
  <si>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</si>
  <si>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</si>
  <si>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</si>
  <si>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</si>
  <si>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</si>
  <si>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</si>
  <si>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</si>
  <si>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</si>
  <si>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</si>
  <si>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</si>
  <si>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</si>
  <si>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</si>
  <si>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</si>
  <si>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</si>
  <si>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</si>
  <si>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</si>
  <si>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</si>
  <si>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</si>
  <si>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</si>
  <si>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</si>
  <si>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</si>
  <si>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</si>
  <si>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</si>
  <si>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</si>
  <si>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</si>
  <si>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</si>
  <si>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</si>
  <si>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</si>
  <si>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</si>
  <si>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</si>
  <si>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</si>
  <si>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</si>
  <si>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</si>
  <si>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</si>
  <si>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</si>
  <si>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</si>
  <si>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</si>
  <si>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</si>
  <si>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</si>
  <si>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</si>
  <si>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</si>
  <si>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</si>
  <si>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</si>
  <si>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</si>
  <si>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</si>
  <si>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</si>
  <si>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</si>
  <si>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</si>
  <si>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</si>
  <si>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</si>
  <si>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</si>
  <si>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</si>
  <si>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</si>
  <si>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</si>
  <si>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</si>
  <si>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</si>
  <si>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</si>
  <si>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</si>
  <si>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</si>
  <si>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</si>
  <si>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</si>
  <si>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</si>
  <si>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</si>
  <si>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</si>
  <si>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</si>
  <si>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</si>
  <si>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</si>
  <si>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</si>
  <si>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</si>
  <si>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</si>
  <si>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</si>
  <si>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</si>
  <si>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</si>
  <si>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</si>
  <si>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</si>
  <si>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</si>
  <si>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</si>
  <si>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</si>
  <si>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</si>
  <si>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</si>
  <si>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</si>
  <si>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</si>
  <si>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</si>
  <si>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</si>
  <si>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</si>
  <si>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</si>
  <si>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</si>
  <si>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</si>
  <si>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</si>
  <si>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</si>
  <si>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</si>
  <si>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</si>
  <si>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</si>
  <si>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</si>
  <si>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</si>
  <si>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</si>
  <si>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</si>
  <si>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</si>
  <si>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</si>
  <si>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</si>
  <si>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</si>
  <si>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</si>
  <si>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</si>
  <si>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</si>
  <si>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</si>
  <si>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</si>
  <si>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</si>
  <si>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</si>
  <si>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</si>
  <si>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</si>
  <si>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</si>
  <si>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</si>
  <si>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</si>
  <si>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</si>
  <si>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</si>
  <si>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</si>
  <si>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</si>
  <si>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</si>
  <si>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</si>
  <si>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</si>
  <si>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</si>
  <si>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</si>
  <si>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</si>
  <si>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</si>
  <si>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</si>
  <si>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</si>
  <si>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</si>
  <si>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</si>
  <si>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</si>
  <si>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</si>
  <si>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</si>
  <si>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</si>
  <si>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</si>
  <si>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</si>
  <si>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</si>
  <si>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</si>
  <si>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</si>
  <si>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</si>
  <si>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</si>
  <si>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</si>
  <si>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</si>
  <si>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</si>
  <si>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</si>
  <si>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</si>
  <si>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</si>
  <si>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</si>
  <si>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</si>
  <si>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</si>
  <si>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</si>
  <si>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</si>
  <si>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</si>
  <si>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</si>
  <si>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</si>
  <si>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</si>
  <si>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</si>
  <si>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</si>
  <si>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</si>
  <si>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</si>
  <si>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</si>
  <si>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</si>
  <si>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</si>
  <si>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</si>
  <si>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</si>
  <si>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</si>
  <si>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</si>
  <si>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</si>
  <si>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</si>
  <si>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</si>
  <si>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</si>
  <si>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</si>
  <si>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</si>
  <si>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</si>
  <si>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</si>
  <si>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</si>
  <si>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</si>
  <si>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</si>
  <si>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</si>
  <si>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</si>
  <si>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</si>
  <si>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</si>
  <si>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</si>
  <si>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</si>
  <si>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</si>
  <si>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</si>
  <si>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</si>
  <si>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</si>
  <si>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</si>
  <si>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</si>
  <si>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</si>
  <si>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</si>
  <si>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</si>
  <si>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</si>
  <si>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</si>
  <si>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</si>
  <si>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</si>
  <si>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</si>
  <si>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</si>
  <si>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</si>
  <si>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</si>
  <si>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</si>
  <si>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</si>
  <si>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</si>
  <si>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</si>
  <si>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</si>
  <si>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</si>
  <si>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</si>
  <si>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</si>
  <si>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</si>
  <si>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</si>
  <si>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</si>
  <si>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</si>
  <si>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</si>
  <si>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</si>
  <si>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</si>
  <si>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</si>
  <si>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</si>
  <si>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</si>
  <si>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</si>
  <si>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</si>
  <si>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</si>
  <si>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</si>
  <si>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</si>
  <si>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</si>
  <si>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</si>
  <si>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</si>
  <si>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</si>
  <si>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</si>
  <si>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</si>
  <si>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</si>
  <si>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</si>
  <si>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</si>
  <si>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</si>
  <si>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</si>
  <si>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</si>
  <si>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</si>
  <si>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</si>
  <si>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</si>
  <si>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</si>
  <si>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</si>
  <si>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</si>
  <si>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</si>
  <si>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</si>
  <si>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</si>
  <si>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</si>
  <si>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</si>
  <si>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</si>
  <si>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</si>
  <si>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</si>
  <si>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</si>
  <si>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</si>
  <si>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</si>
  <si>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</si>
  <si>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</si>
  <si>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</si>
  <si>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</si>
  <si>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</si>
  <si>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</si>
  <si>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</si>
  <si>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</si>
  <si>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</si>
  <si>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</si>
  <si>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</si>
  <si>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</si>
  <si>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</si>
  <si>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</si>
  <si>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</si>
  <si>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</si>
  <si>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</si>
  <si>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</si>
  <si>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</si>
  <si>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</si>
  <si>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</si>
  <si>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</si>
  <si>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</si>
  <si>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</si>
  <si>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</si>
  <si>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</si>
  <si>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</si>
  <si>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</si>
  <si>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</si>
  <si>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</si>
  <si>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</si>
  <si>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</si>
  <si>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</si>
  <si>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</si>
  <si>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</si>
  <si>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</si>
  <si>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</si>
  <si>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</si>
  <si>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</si>
  <si>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</si>
  <si>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</si>
  <si>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</si>
  <si>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</si>
  <si>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</si>
  <si>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</si>
  <si>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</si>
  <si>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</si>
  <si>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</si>
  <si>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</si>
  <si>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</si>
  <si>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</si>
  <si>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</si>
  <si>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</si>
  <si>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</si>
  <si>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</si>
  <si>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</si>
  <si>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</si>
  <si>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</si>
  <si>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</si>
  <si>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</si>
  <si>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</si>
  <si>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</si>
  <si>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</si>
  <si>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</si>
  <si>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</si>
  <si>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</si>
  <si>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</si>
  <si>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</si>
  <si>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</si>
  <si>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</si>
  <si>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</si>
  <si>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</si>
  <si>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</si>
  <si>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</si>
  <si>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</si>
  <si>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</si>
  <si>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</si>
  <si>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</si>
  <si>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</si>
  <si>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</si>
  <si>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</si>
  <si>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</si>
  <si>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</si>
  <si>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</si>
  <si>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</si>
  <si>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</si>
  <si>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</si>
  <si>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</si>
  <si>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</si>
  <si>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</si>
  <si>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</si>
  <si>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</si>
  <si>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</si>
  <si>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</si>
  <si>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</si>
  <si>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</si>
  <si>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</si>
  <si>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</si>
  <si>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</si>
  <si>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</si>
  <si>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</si>
  <si>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</si>
  <si>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</si>
  <si>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</si>
  <si>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</si>
  <si>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</si>
  <si>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</si>
  <si>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</si>
  <si>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</si>
  <si>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</si>
  <si>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</si>
  <si>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</si>
  <si>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</si>
  <si>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</si>
  <si>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</si>
  <si>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</si>
  <si>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</si>
  <si>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</si>
  <si>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</si>
  <si>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</si>
  <si>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</si>
  <si>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</si>
  <si>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</si>
  <si>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</si>
  <si>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</si>
  <si>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</si>
  <si>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</si>
  <si>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</si>
  <si>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</si>
  <si>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</si>
  <si>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</si>
  <si>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</si>
  <si>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</si>
  <si>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</si>
  <si>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</si>
  <si>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</si>
  <si>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</si>
  <si>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</si>
  <si>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</si>
  <si>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</si>
  <si>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</si>
  <si>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</si>
  <si>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</si>
  <si>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</si>
  <si>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</si>
  <si>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</si>
  <si>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</si>
  <si>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</si>
  <si>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</si>
  <si>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</si>
  <si>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</si>
  <si>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</si>
  <si>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</si>
  <si>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</si>
  <si>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</si>
  <si>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</si>
  <si>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</si>
  <si>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</si>
  <si>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</si>
  <si>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</si>
  <si>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</si>
  <si>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</si>
  <si>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</si>
  <si>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</si>
  <si>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</si>
  <si>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</si>
  <si>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</si>
  <si>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</si>
  <si>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</si>
  <si>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</si>
  <si>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</si>
  <si>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</si>
  <si>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</si>
  <si>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</si>
  <si>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</si>
  <si>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</si>
  <si>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</si>
  <si>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</si>
  <si>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</si>
  <si>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</si>
  <si>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</si>
  <si>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</si>
  <si>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</si>
  <si>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</si>
  <si>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</si>
  <si>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</si>
  <si>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</si>
  <si>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</si>
  <si>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</si>
  <si>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</si>
  <si>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</si>
  <si>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</si>
  <si>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</si>
  <si>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</si>
  <si>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</si>
  <si>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</si>
  <si>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</si>
  <si>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</si>
  <si>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</si>
  <si>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</si>
  <si>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</si>
  <si>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</si>
  <si>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</si>
  <si>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</si>
  <si>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</si>
  <si>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</si>
  <si>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</si>
  <si>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</si>
  <si>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</si>
  <si>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</si>
  <si>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</si>
  <si>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</si>
  <si>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</si>
  <si>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</si>
  <si>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</si>
  <si>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</si>
  <si>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</si>
  <si>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</si>
  <si>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</si>
  <si>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</si>
  <si>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</si>
  <si>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</si>
  <si>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</si>
  <si>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</si>
  <si>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</si>
  <si>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</si>
  <si>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</si>
  <si>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</si>
  <si>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</si>
  <si>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</si>
  <si>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</si>
  <si>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</si>
  <si>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</si>
  <si>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</si>
  <si>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</si>
  <si>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</si>
  <si>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</si>
  <si>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</si>
  <si>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</si>
  <si>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</si>
  <si>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</si>
  <si>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</si>
  <si>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</si>
  <si>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</si>
  <si>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</si>
  <si>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</si>
  <si>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</si>
  <si>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</si>
  <si>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</si>
  <si>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</si>
  <si>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</si>
  <si>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</si>
  <si>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</si>
  <si>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</si>
  <si>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</si>
  <si>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</si>
  <si>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</si>
  <si>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</si>
  <si>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</si>
  <si>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</si>
  <si>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</si>
  <si>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</si>
  <si>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</si>
  <si>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</si>
  <si>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</si>
  <si>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</si>
  <si>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</si>
  <si>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</si>
  <si>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</si>
  <si>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</si>
  <si>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</si>
  <si>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</si>
  <si>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</si>
  <si>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</si>
  <si>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</si>
  <si>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</si>
  <si>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</si>
  <si>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</si>
  <si>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</si>
  <si>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</si>
  <si>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</si>
  <si>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</si>
  <si>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</si>
  <si>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</si>
  <si>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</si>
  <si>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</si>
  <si>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</si>
  <si>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</si>
  <si>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</si>
  <si>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</si>
  <si>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</si>
  <si>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</si>
  <si>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</si>
  <si>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</si>
  <si>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</si>
  <si>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</si>
  <si>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</si>
  <si>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</si>
  <si>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</si>
  <si>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</si>
  <si>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</si>
  <si>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</si>
  <si>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</si>
  <si>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</si>
  <si>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</si>
  <si>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</si>
  <si>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</si>
  <si>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</si>
  <si>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</si>
  <si>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</si>
  <si>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</si>
  <si>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</si>
  <si>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</si>
  <si>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</si>
  <si>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</si>
  <si>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</si>
  <si>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</si>
  <si>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</si>
  <si>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</si>
  <si>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</si>
  <si>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</si>
  <si>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</si>
  <si>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</si>
  <si>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</si>
  <si>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</si>
  <si>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</si>
  <si>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</si>
  <si>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</si>
  <si>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</si>
  <si>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</si>
  <si>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</si>
  <si>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</si>
  <si>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</si>
  <si>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</si>
  <si>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</si>
  <si>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</si>
  <si>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</si>
  <si>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</si>
  <si>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</si>
  <si>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</si>
  <si>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</si>
  <si>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</si>
  <si>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</si>
  <si>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</si>
  <si>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</si>
  <si>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</si>
  <si>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</si>
  <si>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</si>
  <si>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</si>
  <si>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</si>
  <si>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</si>
  <si>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</si>
  <si>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</si>
  <si>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</si>
  <si>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</si>
  <si>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</si>
  <si>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</si>
  <si>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</si>
  <si>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</si>
  <si>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</si>
  <si>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</si>
  <si>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</si>
  <si>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</si>
  <si>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</si>
  <si>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</si>
  <si>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</si>
  <si>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</si>
  <si>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</si>
  <si>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</si>
  <si>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</si>
  <si>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</si>
  <si>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</si>
  <si>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</si>
  <si>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</si>
  <si>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</si>
  <si>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</si>
  <si>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</si>
  <si>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</si>
  <si>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</si>
  <si>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</si>
  <si>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</si>
  <si>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</si>
  <si>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</si>
  <si>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</si>
  <si>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</si>
  <si>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</si>
  <si>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</si>
  <si>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</si>
  <si>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</si>
  <si>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</si>
  <si>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</si>
  <si>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</si>
  <si>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</si>
  <si>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</si>
  <si>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</si>
  <si>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</si>
  <si>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</si>
  <si>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</si>
  <si>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</si>
  <si>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</si>
  <si>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</si>
  <si>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</si>
  <si>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</si>
  <si>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</si>
  <si>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</si>
  <si>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</si>
  <si>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</si>
  <si>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</si>
  <si>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</si>
  <si>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</si>
  <si>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</si>
  <si>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</si>
  <si>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</si>
  <si>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</si>
  <si>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</si>
  <si>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</si>
  <si>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</si>
  <si>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</si>
  <si>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</si>
  <si>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</si>
  <si>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</si>
  <si>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</si>
  <si>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</si>
  <si>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</si>
  <si>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</si>
  <si>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</si>
  <si>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</si>
  <si>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</si>
  <si>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</si>
  <si>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</si>
  <si>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</si>
  <si>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</si>
  <si>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</si>
  <si>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</si>
  <si>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</si>
  <si>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</si>
  <si>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</si>
  <si>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</si>
  <si>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</si>
  <si>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</si>
  <si>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</si>
  <si>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</si>
  <si>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</si>
  <si>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</si>
  <si>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</si>
  <si>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</si>
  <si>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</si>
  <si>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</si>
  <si>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</si>
  <si>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</si>
  <si>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</si>
  <si>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</si>
  <si>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</si>
  <si>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</si>
  <si>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</si>
  <si>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</si>
  <si>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</si>
  <si>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</si>
  <si>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</si>
  <si>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</si>
  <si>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</si>
  <si>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</si>
  <si>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</si>
  <si>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</si>
  <si>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</si>
  <si>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</si>
  <si>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</si>
  <si>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</si>
  <si>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</si>
  <si>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</si>
  <si>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</si>
  <si>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</si>
  <si>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</si>
  <si>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</si>
  <si>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</si>
  <si>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</si>
  <si>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</si>
  <si>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</si>
  <si>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</si>
  <si>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</si>
  <si>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</si>
  <si>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</si>
  <si>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</si>
  <si>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</si>
  <si>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</si>
  <si>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</si>
  <si>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</si>
  <si>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</si>
  <si>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</si>
  <si>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</si>
  <si>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</si>
  <si>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</si>
  <si>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</si>
  <si>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</si>
  <si>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</si>
  <si>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</si>
  <si>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</si>
  <si>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</si>
  <si>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</si>
  <si>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</si>
  <si>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</si>
  <si>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</si>
  <si>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</si>
  <si>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</si>
  <si>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</si>
  <si>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</si>
  <si>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</si>
  <si>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</si>
  <si>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</si>
  <si>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</si>
  <si>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</si>
  <si>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</si>
  <si>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</si>
  <si>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</si>
  <si>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</si>
  <si>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</si>
  <si>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</si>
  <si>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</si>
  <si>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</si>
  <si>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</si>
  <si>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</si>
  <si>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</si>
  <si>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</si>
  <si>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</si>
  <si>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</si>
  <si>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</si>
  <si>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</si>
  <si>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</si>
  <si>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</si>
  <si>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</si>
  <si>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</si>
  <si>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</si>
  <si>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</si>
  <si>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</si>
  <si>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</si>
  <si>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</si>
  <si>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</si>
  <si>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</si>
  <si>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</si>
  <si>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</si>
  <si>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</si>
  <si>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</si>
  <si>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</si>
  <si>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</si>
  <si>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</si>
  <si>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</si>
  <si>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</si>
  <si>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</si>
  <si>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</si>
  <si>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</si>
  <si>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</si>
  <si>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</si>
  <si>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</si>
  <si>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</si>
  <si>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</si>
  <si>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</si>
  <si>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</si>
  <si>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</si>
  <si>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</si>
  <si>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</si>
  <si>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</si>
  <si>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</si>
  <si>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</si>
  <si>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</si>
  <si>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</si>
  <si>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</si>
  <si>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</si>
  <si>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</si>
  <si>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</si>
  <si>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</si>
  <si>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</si>
  <si>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</si>
  <si>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</si>
  <si>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</si>
  <si>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</si>
  <si>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</si>
  <si>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</si>
  <si>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</si>
  <si>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</si>
  <si>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</si>
  <si>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</si>
  <si>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</si>
  <si>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</si>
  <si>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</si>
  <si>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</si>
  <si>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</si>
  <si>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</si>
  <si>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</si>
  <si>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</si>
  <si>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</si>
  <si>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</si>
  <si>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</si>
  <si>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</si>
  <si>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</si>
  <si>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</si>
  <si>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</si>
  <si>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</si>
  <si>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</si>
  <si>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</si>
  <si>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</si>
  <si>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</si>
  <si>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</si>
  <si>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</si>
  <si>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</si>
  <si>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</si>
  <si>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</si>
  <si>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</si>
  <si>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</si>
  <si>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</si>
  <si>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</si>
  <si>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</si>
  <si>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</si>
  <si>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</si>
  <si>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</si>
  <si>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</si>
  <si>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</si>
  <si>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</si>
  <si>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</si>
  <si>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</si>
  <si>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</si>
  <si>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</si>
  <si>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</si>
  <si>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</si>
  <si>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</si>
  <si>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</si>
  <si>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</si>
  <si>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</si>
  <si>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</si>
  <si>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</si>
  <si>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</si>
  <si>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</si>
  <si>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</si>
  <si>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</si>
  <si>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</si>
  <si>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</si>
  <si>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</si>
  <si>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</si>
  <si>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</si>
  <si>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</si>
  <si>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</si>
  <si>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</si>
  <si>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</si>
  <si>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</si>
  <si>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</si>
  <si>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</si>
  <si>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</si>
  <si>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</si>
  <si>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</si>
  <si>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</si>
  <si>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</si>
  <si>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</si>
  <si>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</si>
  <si>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</si>
  <si>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</si>
  <si>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</si>
  <si>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</si>
  <si>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</si>
  <si>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</si>
  <si>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</si>
  <si>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</si>
  <si>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</si>
  <si>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</si>
  <si>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</si>
  <si>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</si>
  <si>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</si>
  <si>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</si>
  <si>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</si>
  <si>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</si>
  <si>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</si>
  <si>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</si>
  <si>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</si>
  <si>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</si>
  <si>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</si>
  <si>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</si>
  <si>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</si>
  <si>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</si>
  <si>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</si>
  <si>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</si>
  <si>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</si>
  <si>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</si>
  <si>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</si>
  <si>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</si>
  <si>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</si>
  <si>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</si>
  <si>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</si>
  <si>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</si>
  <si>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</si>
  <si>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</si>
  <si>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</si>
  <si>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</si>
  <si>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</si>
  <si>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</si>
  <si>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</si>
  <si>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</si>
  <si>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</si>
  <si>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</si>
  <si>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</si>
  <si>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</si>
  <si>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</si>
  <si>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</si>
  <si>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</si>
  <si>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</si>
  <si>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</si>
  <si>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</si>
  <si>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</si>
  <si>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</si>
  <si>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</si>
  <si>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</si>
  <si>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</si>
  <si>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</si>
  <si>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</si>
  <si>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</si>
  <si>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</si>
  <si>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</si>
  <si>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</si>
  <si>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</si>
  <si>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</si>
  <si>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</si>
  <si>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</si>
  <si>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</si>
  <si>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</si>
  <si>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</si>
  <si>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</si>
  <si>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</si>
  <si>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</si>
  <si>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</si>
  <si>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</si>
  <si>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</si>
  <si>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</si>
  <si>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</si>
  <si>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</si>
  <si>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</si>
  <si>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</si>
  <si>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</si>
  <si>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</si>
  <si>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</si>
  <si>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</si>
  <si>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</si>
  <si>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</si>
  <si>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</si>
  <si>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</si>
  <si>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</si>
  <si>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</si>
  <si>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</si>
  <si>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</si>
  <si>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</si>
  <si>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</si>
  <si>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</si>
  <si>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</si>
  <si>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</si>
  <si>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</si>
  <si>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</si>
  <si>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</si>
  <si>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</si>
  <si>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</si>
  <si>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</si>
  <si>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</si>
  <si>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</si>
  <si>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</si>
  <si>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</si>
  <si>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</si>
  <si>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</si>
  <si>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</si>
  <si>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</si>
  <si>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</si>
  <si>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</si>
  <si>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</si>
  <si>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</si>
  <si>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</si>
  <si>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</si>
  <si>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</si>
  <si>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</si>
  <si>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</si>
  <si>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</si>
  <si>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</si>
  <si>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</si>
  <si>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</si>
  <si>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</si>
  <si>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</si>
  <si>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</si>
  <si>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</si>
  <si>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</si>
  <si>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</si>
  <si>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</si>
  <si>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</si>
  <si>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</si>
  <si>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</si>
  <si>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</si>
  <si>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</si>
  <si>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</si>
  <si>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</si>
  <si>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</si>
  <si>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</si>
  <si>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</si>
  <si>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</si>
  <si>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</si>
  <si>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</si>
  <si>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</si>
  <si>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</si>
  <si>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</si>
  <si>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</si>
  <si>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</si>
  <si>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</si>
  <si>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</si>
  <si>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</si>
  <si>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</si>
  <si>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</si>
  <si>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</si>
  <si>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</si>
  <si>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</si>
  <si>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</si>
  <si>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</si>
  <si>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</si>
  <si>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</si>
  <si>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</si>
  <si>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</si>
  <si>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</si>
  <si>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</si>
  <si>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</si>
  <si>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</si>
  <si>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</si>
  <si>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</si>
  <si>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</si>
  <si>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</si>
  <si>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</si>
  <si>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</si>
  <si>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</si>
  <si>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</si>
  <si>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</si>
  <si>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</si>
  <si>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</si>
  <si>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</si>
  <si>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</si>
  <si>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</si>
  <si>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</si>
  <si>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</si>
  <si>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</si>
  <si>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</si>
  <si>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</si>
  <si>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</si>
  <si>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</si>
  <si>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</si>
  <si>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</si>
  <si>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</si>
  <si>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</si>
  <si>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</si>
  <si>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</si>
  <si>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</si>
  <si>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</si>
  <si>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</si>
  <si>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</si>
  <si>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</si>
  <si>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</si>
  <si>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</si>
  <si>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</si>
  <si>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</si>
  <si>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</si>
  <si>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</si>
  <si>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</si>
  <si>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</si>
  <si>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</si>
  <si>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</si>
  <si>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</si>
  <si>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</si>
  <si>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</si>
  <si>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</si>
  <si>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</si>
  <si>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</si>
  <si>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</si>
  <si>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</si>
  <si>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</si>
  <si>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</si>
  <si>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</si>
  <si>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</si>
  <si>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</si>
  <si>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</si>
  <si>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</si>
  <si>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</si>
  <si>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</si>
  <si>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</si>
  <si>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</si>
  <si>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</si>
  <si>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</si>
  <si>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</si>
  <si>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</si>
  <si>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</si>
  <si>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</si>
  <si>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</si>
  <si>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</si>
  <si>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</si>
  <si>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</si>
  <si>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</si>
  <si>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</si>
  <si>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</si>
  <si>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</si>
  <si>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</si>
  <si>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</si>
  <si>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</si>
  <si>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</si>
  <si>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</si>
  <si>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</si>
  <si>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</si>
  <si>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</si>
  <si>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</si>
  <si>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</si>
  <si>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</si>
  <si>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</si>
  <si>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</si>
  <si>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</si>
  <si>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</si>
  <si>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</si>
  <si>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</si>
  <si>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</si>
  <si>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</si>
  <si>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</si>
  <si>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</si>
  <si>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</si>
  <si>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</si>
  <si>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</si>
  <si>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</si>
  <si>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</si>
  <si>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</si>
  <si>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</si>
  <si>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</si>
  <si>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</si>
  <si>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</si>
  <si>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</si>
  <si>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</si>
  <si>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</si>
  <si>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</si>
  <si>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</si>
  <si>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</si>
  <si>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</si>
  <si>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</si>
  <si>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</si>
  <si>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</si>
  <si>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</si>
  <si>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</si>
  <si>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</si>
  <si>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</si>
  <si>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</si>
  <si>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</si>
  <si>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</si>
  <si>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</si>
  <si>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</si>
  <si>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</si>
  <si>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</si>
  <si>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</si>
  <si>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</si>
  <si>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</si>
  <si>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</si>
  <si>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</si>
  <si>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</si>
  <si>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</si>
  <si>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</si>
  <si>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</si>
  <si>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</si>
  <si>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</si>
  <si>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</si>
  <si>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</si>
  <si>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</si>
  <si>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</si>
  <si>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</si>
  <si>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</si>
  <si>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</si>
  <si>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</si>
  <si>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</si>
  <si>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</si>
  <si>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</si>
  <si>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</si>
  <si>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</si>
  <si>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</si>
  <si>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</si>
  <si>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</si>
  <si>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</si>
  <si>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</si>
  <si>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</si>
  <si>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</si>
  <si>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</si>
  <si>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</si>
  <si>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</si>
  <si>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</si>
  <si>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</si>
  <si>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</si>
  <si>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</si>
  <si>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</si>
  <si>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</si>
  <si>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</si>
  <si>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</si>
  <si>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</si>
  <si>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</si>
  <si>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</si>
  <si>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</si>
  <si>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</si>
  <si>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</si>
  <si>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</si>
  <si>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</si>
  <si>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</si>
  <si>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</si>
  <si>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</si>
  <si>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</si>
  <si>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</si>
  <si>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</si>
  <si>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</si>
  <si>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</si>
  <si>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</si>
  <si>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</si>
  <si>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</si>
  <si>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</si>
  <si>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</si>
  <si>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</si>
  <si>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</si>
  <si>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</si>
  <si>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</si>
  <si>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</si>
  <si>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</si>
  <si>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</si>
  <si>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</si>
  <si>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</si>
  <si>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</si>
  <si>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</si>
  <si>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</si>
  <si>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</si>
  <si>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</si>
  <si>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</si>
  <si>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</si>
  <si>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</si>
  <si>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</si>
  <si>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</si>
  <si>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</si>
  <si>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</si>
  <si>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</si>
  <si>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</si>
  <si>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</si>
  <si>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</si>
  <si>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</si>
  <si>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</si>
  <si>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</si>
  <si>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</si>
  <si>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</si>
  <si>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</si>
  <si>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</si>
  <si>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</si>
  <si>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</si>
  <si>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</si>
  <si>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</si>
  <si>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</si>
  <si>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</si>
  <si>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</si>
  <si>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</si>
  <si>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</si>
  <si>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</si>
  <si>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</si>
  <si>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</si>
  <si>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</si>
  <si>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</si>
  <si>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</si>
  <si>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</si>
  <si>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</si>
  <si>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</si>
  <si>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</si>
  <si>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</si>
  <si>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</si>
  <si>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</si>
  <si>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</si>
  <si>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</si>
  <si>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</si>
  <si>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</si>
  <si>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</si>
  <si>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</si>
  <si>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</si>
  <si>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</si>
  <si>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</si>
  <si>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</si>
  <si>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</si>
  <si>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</si>
  <si>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</si>
  <si>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</si>
  <si>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</si>
  <si>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</si>
  <si>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</si>
  <si>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</si>
  <si>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</si>
  <si>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</si>
  <si>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</si>
  <si>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</si>
  <si>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</si>
  <si>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</si>
  <si>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</si>
  <si>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</si>
  <si>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</si>
  <si>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</si>
  <si>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</si>
  <si>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</si>
  <si>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</si>
  <si>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</si>
  <si>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</si>
  <si>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</si>
  <si>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</si>
  <si>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</si>
  <si>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</si>
  <si>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</si>
  <si>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</si>
  <si>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</si>
  <si>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</si>
  <si>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</si>
  <si>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</si>
  <si>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</si>
  <si>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</si>
  <si>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</si>
  <si>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</si>
  <si>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</si>
  <si>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</si>
  <si>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</si>
  <si>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</si>
  <si>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</si>
  <si>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</si>
  <si>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</si>
  <si>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</si>
  <si>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</si>
  <si>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</si>
  <si>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</si>
  <si>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</si>
  <si>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</si>
  <si>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</si>
  <si>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</si>
  <si>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</si>
  <si>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</si>
  <si>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</si>
  <si>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</si>
  <si>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</si>
  <si>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</si>
  <si>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</si>
  <si>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</si>
  <si>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</si>
  <si>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</si>
  <si>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</si>
  <si>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</si>
  <si>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</si>
  <si>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</si>
  <si>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</si>
  <si>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</si>
  <si>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</si>
  <si>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</si>
  <si>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</si>
  <si>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</si>
  <si>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</si>
  <si>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</si>
  <si>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</si>
  <si>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</si>
  <si>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</si>
  <si>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</si>
  <si>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</si>
  <si>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</si>
  <si>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</si>
  <si>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</si>
  <si>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</si>
  <si>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</si>
  <si>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</si>
  <si>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</si>
  <si>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</si>
  <si>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</si>
  <si>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</si>
  <si>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</si>
  <si>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</si>
  <si>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</si>
  <si>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</si>
  <si>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</si>
  <si>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</si>
  <si>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</si>
  <si>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</si>
  <si>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</si>
  <si>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</si>
  <si>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</si>
  <si>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</si>
  <si>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</si>
  <si>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</si>
  <si>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</si>
  <si>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</si>
  <si>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</si>
  <si>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</si>
  <si>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</si>
  <si>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</si>
  <si>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</si>
  <si>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</si>
  <si>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</si>
  <si>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</si>
  <si>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</si>
  <si>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</si>
  <si>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</si>
  <si>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</si>
  <si>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</si>
  <si>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</si>
  <si>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</si>
  <si>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</si>
  <si>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</si>
  <si>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</si>
  <si>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</si>
  <si>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</si>
  <si>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</si>
  <si>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</si>
  <si>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</si>
  <si>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</si>
  <si>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</si>
  <si>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</si>
  <si>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</si>
  <si>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</si>
  <si>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</si>
  <si>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</si>
  <si>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</si>
  <si>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</si>
  <si>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</si>
  <si>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</si>
  <si>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</si>
  <si>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</si>
  <si>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</si>
  <si>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</si>
  <si>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</si>
  <si>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</si>
  <si>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</si>
  <si>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</si>
  <si>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</si>
  <si>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</si>
  <si>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</si>
  <si>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</si>
  <si>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</si>
  <si>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</si>
  <si>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</si>
  <si>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</si>
  <si>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</si>
  <si>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</si>
  <si>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</si>
  <si>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</si>
  <si>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</si>
  <si>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</si>
  <si>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</si>
  <si>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</si>
  <si>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</si>
  <si>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</si>
  <si>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</si>
  <si>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</si>
  <si>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</si>
  <si>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</si>
  <si>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</si>
  <si>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</si>
  <si>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</si>
  <si>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</si>
  <si>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</si>
  <si>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</si>
  <si>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</si>
  <si>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</si>
  <si>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</si>
  <si>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</si>
  <si>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</si>
  <si>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</si>
  <si>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</si>
  <si>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</si>
  <si>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</si>
  <si>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</si>
  <si>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</si>
  <si>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</si>
  <si>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</si>
  <si>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</si>
  <si>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</si>
  <si>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</si>
  <si>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</si>
  <si>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</si>
  <si>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</si>
  <si>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</si>
  <si>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</si>
  <si>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</si>
  <si>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</si>
  <si>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</si>
  <si>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</si>
  <si>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</si>
  <si>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</si>
  <si>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</si>
  <si>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</si>
  <si>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</si>
  <si>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</si>
  <si>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</si>
  <si>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</si>
  <si>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</si>
  <si>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</si>
  <si>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</si>
  <si>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</si>
  <si>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</si>
  <si>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</si>
  <si>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</si>
  <si>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</si>
  <si>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</si>
  <si>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</si>
  <si>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</si>
  <si>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</si>
  <si>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</si>
  <si>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</si>
  <si>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</si>
  <si>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</si>
  <si>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</si>
  <si>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</si>
  <si>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</si>
  <si>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</si>
  <si>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</si>
  <si>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</si>
  <si>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</si>
  <si>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</si>
  <si>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</si>
  <si>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</si>
  <si>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</si>
  <si>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</si>
  <si>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</si>
  <si>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</si>
  <si>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</si>
  <si>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</si>
  <si>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</si>
  <si>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</si>
  <si>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</si>
  <si>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</si>
  <si>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</si>
  <si>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</si>
  <si>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</si>
  <si>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</si>
  <si>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</si>
  <si>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</si>
  <si>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</si>
  <si>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</si>
  <si>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</si>
  <si>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</si>
  <si>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</si>
  <si>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</si>
  <si>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</si>
  <si>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</si>
  <si>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</si>
  <si>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</si>
  <si>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</si>
  <si>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</si>
  <si>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</si>
  <si>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</si>
  <si>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</si>
  <si>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</si>
  <si>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</si>
  <si>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</si>
  <si>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</si>
  <si>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</si>
  <si>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</si>
  <si>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</si>
  <si>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</si>
  <si>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</si>
  <si>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</si>
  <si>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</si>
  <si>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</si>
  <si>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</si>
  <si>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</si>
  <si>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</si>
  <si>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</si>
  <si>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</si>
  <si>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</si>
  <si>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</si>
  <si>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</si>
  <si>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</si>
  <si>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</si>
  <si>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</si>
  <si>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</si>
  <si>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</si>
  <si>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</si>
  <si>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</si>
  <si>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</si>
  <si>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</si>
  <si>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</si>
  <si>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</si>
  <si>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</si>
  <si>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</si>
  <si>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</si>
  <si>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</si>
  <si>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</si>
  <si>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</si>
  <si>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</si>
  <si>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</si>
  <si>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</si>
  <si>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</si>
  <si>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</si>
  <si>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</si>
  <si>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</si>
  <si>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</si>
  <si>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</si>
  <si>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</si>
  <si>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</si>
  <si>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</si>
  <si>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</si>
  <si>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</si>
  <si>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</si>
  <si>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</si>
  <si>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</si>
  <si>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</si>
  <si>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</si>
  <si>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</si>
  <si>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</si>
  <si>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</si>
  <si>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</si>
  <si>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</si>
  <si>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</si>
  <si>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</si>
  <si>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</si>
  <si>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</si>
  <si>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</si>
  <si>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</si>
  <si>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</si>
  <si>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</si>
  <si>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</si>
  <si>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</si>
  <si>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</si>
  <si>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</si>
  <si>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</si>
  <si>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</si>
  <si>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</si>
  <si>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</si>
  <si>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</si>
  <si>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</si>
  <si>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</si>
  <si>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</si>
  <si>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</si>
  <si>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</si>
  <si>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</si>
  <si>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</si>
  <si>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</si>
  <si>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</si>
  <si>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</si>
  <si>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</si>
  <si>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</si>
  <si>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</si>
  <si>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</si>
  <si>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</si>
  <si>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</si>
  <si>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</si>
  <si>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</si>
  <si>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</si>
  <si>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</si>
  <si>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</si>
  <si>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</si>
  <si>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</si>
  <si>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</si>
  <si>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</si>
  <si>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</si>
  <si>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</si>
  <si>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</si>
  <si>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</si>
  <si>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</si>
  <si>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</si>
  <si>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</si>
  <si>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</si>
  <si>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</si>
  <si>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</si>
  <si>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</si>
  <si>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</si>
  <si>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</si>
  <si>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</si>
  <si>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</si>
  <si>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</si>
  <si>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</si>
  <si>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</si>
  <si>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</si>
  <si>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</si>
  <si>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</si>
  <si>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</si>
  <si>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</si>
  <si>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</si>
  <si>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</si>
  <si>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</si>
  <si>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</si>
  <si>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</si>
  <si>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</si>
  <si>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</si>
  <si>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</si>
  <si>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</si>
  <si>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</si>
  <si>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</si>
  <si>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</si>
  <si>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</si>
  <si>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</si>
  <si>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</si>
  <si>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</si>
  <si>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</si>
  <si>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</si>
  <si>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</si>
  <si>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</si>
  <si>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</si>
  <si>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</si>
  <si>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</si>
  <si>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</si>
  <si>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</si>
  <si>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</si>
  <si>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</si>
  <si>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</si>
  <si>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</si>
  <si>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</si>
  <si>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</si>
  <si>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</si>
  <si>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</si>
  <si>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</si>
  <si>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</si>
  <si>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</si>
  <si>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</si>
  <si>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</si>
  <si>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</si>
  <si>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</si>
  <si>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</si>
  <si>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</si>
  <si>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</si>
  <si>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</si>
  <si>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</si>
  <si>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</si>
  <si>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</si>
  <si>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</si>
  <si>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</si>
  <si>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</si>
  <si>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</si>
  <si>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</si>
  <si>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</si>
  <si>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</si>
  <si>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</si>
  <si>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</si>
  <si>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</si>
  <si>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</si>
  <si>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</si>
  <si>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</si>
  <si>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</si>
  <si>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</si>
  <si>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</si>
  <si>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</si>
  <si>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</si>
  <si>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</si>
  <si>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</si>
  <si>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</si>
  <si>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</si>
  <si>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</si>
  <si>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</si>
  <si>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</si>
  <si>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</si>
  <si>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</si>
  <si>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</si>
  <si>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</si>
  <si>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</si>
  <si>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</si>
  <si>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</si>
  <si>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</si>
  <si>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</si>
  <si>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</si>
  <si>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</si>
  <si>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</si>
  <si>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</si>
  <si>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</si>
  <si>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</si>
  <si>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</si>
  <si>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</si>
  <si>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</si>
  <si>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</si>
  <si>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</si>
  <si>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</si>
  <si>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</si>
  <si>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</si>
  <si>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</si>
  <si>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</si>
  <si>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</si>
  <si>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</si>
  <si>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</si>
  <si>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</si>
  <si>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</si>
  <si>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</si>
  <si>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</si>
  <si>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</si>
  <si>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</si>
  <si>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</si>
  <si>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</si>
  <si>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</si>
  <si>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</si>
  <si>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</si>
  <si>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</si>
  <si>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</si>
  <si>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</si>
  <si>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</si>
  <si>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</si>
  <si>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</si>
  <si>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</si>
  <si>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</si>
  <si>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</si>
  <si>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</si>
  <si>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</si>
  <si>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</si>
  <si>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</si>
  <si>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</si>
  <si>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</si>
  <si>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</si>
  <si>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</si>
  <si>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</si>
  <si>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</si>
  <si>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</si>
  <si>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</si>
  <si>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</si>
  <si>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</si>
  <si>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</si>
  <si>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</si>
  <si>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</si>
  <si>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</si>
  <si>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</si>
  <si>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</si>
  <si>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</si>
  <si>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</si>
  <si>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</si>
  <si>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</si>
  <si>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</si>
  <si>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</si>
  <si>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</si>
  <si>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</si>
  <si>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</si>
  <si>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</si>
  <si>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</si>
  <si>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</si>
  <si>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</si>
  <si>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</si>
  <si>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</si>
  <si>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</si>
  <si>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</si>
  <si>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</si>
  <si>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</si>
  <si>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</si>
  <si>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</si>
  <si>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</si>
  <si>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</si>
  <si>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</si>
  <si>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</si>
  <si>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</si>
  <si>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</si>
  <si>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</si>
  <si>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</si>
  <si>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</si>
  <si>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</si>
  <si>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</si>
  <si>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</si>
  <si>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</si>
  <si>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</si>
  <si>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</si>
  <si>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</si>
  <si>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</si>
  <si>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</si>
  <si>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</si>
  <si>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</si>
  <si>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</si>
  <si>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</si>
  <si>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</si>
  <si>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</si>
  <si>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</si>
  <si>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</si>
  <si>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</si>
  <si>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</si>
  <si>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</si>
  <si>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</si>
  <si>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</si>
  <si>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</si>
  <si>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</si>
  <si>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</si>
  <si>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</si>
  <si>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</si>
  <si>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</si>
  <si>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</si>
  <si>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</si>
  <si>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</si>
  <si>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</si>
  <si>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</si>
  <si>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</si>
  <si>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</si>
  <si>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</si>
  <si>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</si>
  <si>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</si>
  <si>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</si>
  <si>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</si>
  <si>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</si>
  <si>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</si>
  <si>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</si>
  <si>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</si>
  <si>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</si>
  <si>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</si>
  <si>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</si>
  <si>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</si>
  <si>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</si>
  <si>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</si>
  <si>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</si>
  <si>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</si>
  <si>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</si>
  <si>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</si>
  <si>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</si>
  <si>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</si>
  <si>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</si>
  <si>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</si>
  <si>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</si>
  <si>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</si>
  <si>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</si>
  <si>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</si>
  <si>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</si>
  <si>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</si>
  <si>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</si>
  <si>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</si>
  <si>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</si>
  <si>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</si>
  <si>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</si>
  <si>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</si>
  <si>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</si>
  <si>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</si>
  <si>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</si>
  <si>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</si>
  <si>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</si>
  <si>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</si>
  <si>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</si>
  <si>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</si>
  <si>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</si>
  <si>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</si>
  <si>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</si>
  <si>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</si>
  <si>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</si>
  <si>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</si>
  <si>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</si>
  <si>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</si>
  <si>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</si>
  <si>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</si>
  <si>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</si>
  <si>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</si>
  <si>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</si>
  <si>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</si>
  <si>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</si>
  <si>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</si>
  <si>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</si>
  <si>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</si>
  <si>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</si>
  <si>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</si>
  <si>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</si>
  <si>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</si>
  <si>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</si>
  <si>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</si>
  <si>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</si>
  <si>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</si>
  <si>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</si>
  <si>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</si>
  <si>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</si>
  <si>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</si>
  <si>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</si>
  <si>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</si>
  <si>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</si>
  <si>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</si>
  <si>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</si>
  <si>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</si>
  <si>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</si>
  <si>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</si>
  <si>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</si>
  <si>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</si>
  <si>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</si>
  <si>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</si>
  <si>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</si>
  <si>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</si>
  <si>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</si>
  <si>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</si>
  <si>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</si>
  <si>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</si>
  <si>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</si>
  <si>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</si>
  <si>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</si>
  <si>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</si>
  <si>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</si>
  <si>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</si>
  <si>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</si>
  <si>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</si>
  <si>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</si>
  <si>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</si>
  <si>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</si>
  <si>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</si>
  <si>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</si>
  <si>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</si>
  <si>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</si>
  <si>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</si>
  <si>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</si>
  <si>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</si>
  <si>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</si>
  <si>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</si>
  <si>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</si>
  <si>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</si>
  <si>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</si>
  <si>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</si>
  <si>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</si>
  <si>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</si>
  <si>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</si>
  <si>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</si>
  <si>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</si>
  <si>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</si>
  <si>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</si>
  <si>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</si>
  <si>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</si>
  <si>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</si>
  <si>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</si>
  <si>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</si>
  <si>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</si>
  <si>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</si>
  <si>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</si>
  <si>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</si>
  <si>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</si>
  <si>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</si>
  <si>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</si>
  <si>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</si>
  <si>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</si>
  <si>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</si>
  <si>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</si>
  <si>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</si>
  <si>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</si>
  <si>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</si>
  <si>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</si>
  <si>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</si>
  <si>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</si>
  <si>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</si>
  <si>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</si>
  <si>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</si>
  <si>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</si>
  <si>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</si>
  <si>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</si>
  <si>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</si>
  <si>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</si>
  <si>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</si>
  <si>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</si>
  <si>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</si>
  <si>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</si>
  <si>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</si>
  <si>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</si>
  <si>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</si>
  <si>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</si>
  <si>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</si>
  <si>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</si>
  <si>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</si>
  <si>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</si>
  <si>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</si>
  <si>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</si>
  <si>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</si>
  <si>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</si>
  <si>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</si>
  <si>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</si>
  <si>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</si>
  <si>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</si>
  <si>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</si>
  <si>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</si>
  <si>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</si>
  <si>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</si>
  <si>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</si>
  <si>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</si>
  <si>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</si>
  <si>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</si>
  <si>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</si>
  <si>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</si>
  <si>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</si>
  <si>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</si>
  <si>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</si>
  <si>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</si>
  <si>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</si>
  <si>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</si>
  <si>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</si>
  <si>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</si>
  <si>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</si>
  <si>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</si>
  <si>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</si>
  <si>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</si>
  <si>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</si>
  <si>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</si>
  <si>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</si>
  <si>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</si>
  <si>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</si>
  <si>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</si>
  <si>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</si>
  <si>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</si>
  <si>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</si>
  <si>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</si>
  <si>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</si>
  <si>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</si>
  <si>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</si>
  <si>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</si>
  <si>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</si>
  <si>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</si>
  <si>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</si>
  <si>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</si>
  <si>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</si>
  <si>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</si>
  <si>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</si>
  <si>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</si>
  <si>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</si>
  <si>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</si>
  <si>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</si>
  <si>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</si>
  <si>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</si>
  <si>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</si>
  <si>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</si>
  <si>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</si>
  <si>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</si>
  <si>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</si>
  <si>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</si>
  <si>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</si>
  <si>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</si>
  <si>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</si>
  <si>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</si>
  <si>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</si>
  <si>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</si>
  <si>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</si>
  <si>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</si>
  <si>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</si>
  <si>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</si>
  <si>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</si>
  <si>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</si>
  <si>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</si>
  <si>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</si>
  <si>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</si>
  <si>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</si>
  <si>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</si>
  <si>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</si>
  <si>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</si>
  <si>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</si>
  <si>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</si>
  <si>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</si>
  <si>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</si>
  <si>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</si>
  <si>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</si>
  <si>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</si>
  <si>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</si>
  <si>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</si>
  <si>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</si>
  <si>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</si>
  <si>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</si>
  <si>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</si>
  <si>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</si>
  <si>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</si>
  <si>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</si>
  <si>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</si>
  <si>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</si>
  <si>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</si>
  <si>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</si>
  <si>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</si>
  <si>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</si>
  <si>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</si>
  <si>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</si>
  <si>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</si>
  <si>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</si>
  <si>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</si>
  <si>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</si>
  <si>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</si>
  <si>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</si>
  <si>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</si>
  <si>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</si>
  <si>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</si>
  <si>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</si>
  <si>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</si>
  <si>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</si>
  <si>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</si>
  <si>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</si>
  <si>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</si>
  <si>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</si>
  <si>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</si>
  <si>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</si>
  <si>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</si>
  <si>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</si>
  <si>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</si>
  <si>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</si>
  <si>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</si>
  <si>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</si>
  <si>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</si>
  <si>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</si>
  <si>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</si>
  <si>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</si>
  <si>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</si>
  <si>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</si>
  <si>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</si>
  <si>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</si>
  <si>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</si>
  <si>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</si>
  <si>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</si>
  <si>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</si>
  <si>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</si>
  <si>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</si>
  <si>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</si>
  <si>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</si>
  <si>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</si>
  <si>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</si>
  <si>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</si>
  <si>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</si>
  <si>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</si>
  <si>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</si>
  <si>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</si>
  <si>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</si>
  <si>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</si>
  <si>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</si>
  <si>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</si>
  <si>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</si>
  <si>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</si>
  <si>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</si>
  <si>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</si>
  <si>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</si>
  <si>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</si>
  <si>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</si>
  <si>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</si>
  <si>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</si>
  <si>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</si>
  <si>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</si>
  <si>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</si>
  <si>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</si>
  <si>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</si>
  <si>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</si>
  <si>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</si>
  <si>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</si>
  <si>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</si>
  <si>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</si>
  <si>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</si>
  <si>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</si>
  <si>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</si>
  <si>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</si>
  <si>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</si>
  <si>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</si>
  <si>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</si>
  <si>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</si>
  <si>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</si>
  <si>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</si>
  <si>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</si>
  <si>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</si>
  <si>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</si>
  <si>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</si>
  <si>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</si>
  <si>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</si>
  <si>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</si>
  <si>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</si>
  <si>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</si>
  <si>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</si>
  <si>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</si>
  <si>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</si>
  <si>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</si>
  <si>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</si>
  <si>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</si>
  <si>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</si>
  <si>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</si>
  <si>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</si>
  <si>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</si>
  <si>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</si>
  <si>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</si>
  <si>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</si>
  <si>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</si>
  <si>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</si>
  <si>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</si>
  <si>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</si>
  <si>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</si>
  <si>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</si>
  <si>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</si>
  <si>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</si>
  <si>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</si>
  <si>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</si>
  <si>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</si>
  <si>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</si>
  <si>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</si>
  <si>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</si>
  <si>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</si>
  <si>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</si>
  <si>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</si>
  <si>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</si>
  <si>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</si>
  <si>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</si>
  <si>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</si>
  <si>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</si>
  <si>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</si>
  <si>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</si>
  <si>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</si>
  <si>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</si>
  <si>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</si>
  <si>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</si>
  <si>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</si>
  <si>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</si>
  <si>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</si>
  <si>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</si>
  <si>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</si>
  <si>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</si>
  <si>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</si>
  <si>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</si>
  <si>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</si>
  <si>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</si>
  <si>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</si>
  <si>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</si>
  <si>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</si>
  <si>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</si>
  <si>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</si>
  <si>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</si>
  <si>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</si>
  <si>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</si>
  <si>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</si>
  <si>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</si>
  <si>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</si>
  <si>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</si>
  <si>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</si>
  <si>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</si>
  <si>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</si>
  <si>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</si>
  <si>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</si>
  <si>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</si>
  <si>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</si>
  <si>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</si>
  <si>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</si>
  <si>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</si>
  <si>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</si>
  <si>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</si>
  <si>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</si>
  <si>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</si>
  <si>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</si>
  <si>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</si>
  <si>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</si>
  <si>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</si>
  <si>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</si>
  <si>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</si>
  <si>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</si>
  <si>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</si>
  <si>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</si>
  <si>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</si>
  <si>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</si>
  <si>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</si>
  <si>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</si>
  <si>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</si>
  <si>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</si>
  <si>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</si>
  <si>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</si>
  <si>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</si>
  <si>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</si>
  <si>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</si>
  <si>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</si>
  <si>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</si>
  <si>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</si>
  <si>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</si>
  <si>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</si>
  <si>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</si>
  <si>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</si>
  <si>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</si>
  <si>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</si>
  <si>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</si>
  <si>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</si>
  <si>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</si>
  <si>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</si>
  <si>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</si>
  <si>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</si>
  <si>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</si>
  <si>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</si>
  <si>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</si>
  <si>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</si>
  <si>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</si>
  <si>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</si>
  <si>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</si>
  <si>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</si>
  <si>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</si>
  <si>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</si>
  <si>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</si>
  <si>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</si>
  <si>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</si>
  <si>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</si>
  <si>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</si>
  <si>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</si>
  <si>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</si>
  <si>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</si>
  <si>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</si>
  <si>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</si>
  <si>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</si>
  <si>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</si>
  <si>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</si>
  <si>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</si>
  <si>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</si>
  <si>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</si>
  <si>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</si>
  <si>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</si>
  <si>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</si>
  <si>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</si>
  <si>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</si>
  <si>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</si>
  <si>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</si>
  <si>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</si>
  <si>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</si>
  <si>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</si>
  <si>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</si>
  <si>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</si>
  <si>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</si>
  <si>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</si>
  <si>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</si>
  <si>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</si>
  <si>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</si>
  <si>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</si>
  <si>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</si>
  <si>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</si>
  <si>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</si>
  <si>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</si>
  <si>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</si>
  <si>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</si>
  <si>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</si>
  <si>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</si>
  <si>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</si>
  <si>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</si>
  <si>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</si>
  <si>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</si>
  <si>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</si>
  <si>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</si>
  <si>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</si>
  <si>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</si>
  <si>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</si>
  <si>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</si>
  <si>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</si>
  <si>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</si>
  <si>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</si>
  <si>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</si>
  <si>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</si>
  <si>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</si>
  <si>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</si>
  <si>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</si>
  <si>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</si>
  <si>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</si>
  <si>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</si>
  <si>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</si>
  <si>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</si>
  <si>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</si>
  <si>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</si>
  <si>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</si>
  <si>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</si>
  <si>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</si>
  <si>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</si>
  <si>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</si>
  <si>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</si>
  <si>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</si>
  <si>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</si>
  <si>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</si>
  <si>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</si>
  <si>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</si>
  <si>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</si>
  <si>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</si>
  <si>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</si>
  <si>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</si>
  <si>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</si>
  <si>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</si>
  <si>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</si>
  <si>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</si>
  <si>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</si>
  <si>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</si>
  <si>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</si>
  <si>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</si>
  <si>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</si>
  <si>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</si>
  <si>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</si>
  <si>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</si>
  <si>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</si>
  <si>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</si>
  <si>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</si>
  <si>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</si>
  <si>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</si>
  <si>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</si>
  <si>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</si>
  <si>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</si>
  <si>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</si>
  <si>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</si>
  <si>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</si>
  <si>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</si>
  <si>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</si>
  <si>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</si>
  <si>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</si>
  <si>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</si>
  <si>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</si>
  <si>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</si>
  <si>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</si>
  <si>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</si>
  <si>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</si>
  <si>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</si>
  <si>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</si>
  <si>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</si>
  <si>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</si>
  <si>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</si>
  <si>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</si>
  <si>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</si>
  <si>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</si>
  <si>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9, 2025 Version</t>
  </si>
  <si>
    <t>Timothy Elliott</t>
  </si>
  <si>
    <t>1200 W 7th Street, 8th Floor</t>
  </si>
  <si>
    <t>213-808-8596</t>
  </si>
  <si>
    <t>213-808-8910</t>
  </si>
  <si>
    <t>timothy.elliott@lacity.org</t>
  </si>
  <si>
    <t>1055 W. 7th Street</t>
  </si>
  <si>
    <t>40%/60% Average Income</t>
  </si>
  <si>
    <t>Managing GP</t>
  </si>
  <si>
    <t>Kingdom Development, Inc.</t>
  </si>
  <si>
    <t>CA</t>
  </si>
  <si>
    <t>General Partner</t>
  </si>
  <si>
    <t>Los Angeles, CA 90010</t>
  </si>
  <si>
    <t>Bocarsly Emden Cowan Esmail &amp; Arndt LLP</t>
  </si>
  <si>
    <t>Los Angeles, CA 90071</t>
  </si>
  <si>
    <t>633 W 5th Street, Suite 5880</t>
  </si>
  <si>
    <t>213-239-8048</t>
  </si>
  <si>
    <t>213-559-0747</t>
  </si>
  <si>
    <t>karndt@bocarsly.com</t>
  </si>
  <si>
    <t>Novogradac &amp; Company LLP</t>
  </si>
  <si>
    <t>PO Box 7833</t>
  </si>
  <si>
    <t>San Francisco, CA 94120-7833</t>
  </si>
  <si>
    <t>Melissa Chung</t>
  </si>
  <si>
    <t>415-356-8000</t>
  </si>
  <si>
    <t>415-356-8001</t>
  </si>
  <si>
    <t>melissa.chung@novoco.com</t>
  </si>
  <si>
    <t>CMFA</t>
  </si>
  <si>
    <t>2111 Palomar Airport Rd., Suite 320</t>
  </si>
  <si>
    <t>Carlsbad, CA 92011</t>
  </si>
  <si>
    <t>Anthony Stubbs</t>
  </si>
  <si>
    <t>760-930-1333</t>
  </si>
  <si>
    <t>astubbs@cmfa-ca.com</t>
  </si>
  <si>
    <t>6700 Antioch Rd., Suite 450</t>
  </si>
  <si>
    <t>Merriam, KS 66204</t>
  </si>
  <si>
    <t>Rebecca Arthur</t>
  </si>
  <si>
    <t>913-312-4615</t>
  </si>
  <si>
    <t>rebecca.arthur@novoco.com</t>
  </si>
  <si>
    <t>Appraisal</t>
  </si>
  <si>
    <t>Other (Specify below)</t>
  </si>
  <si>
    <t>non-targeted</t>
  </si>
  <si>
    <t>Citibank</t>
  </si>
  <si>
    <t>Deferred Costs</t>
  </si>
  <si>
    <t>Tax-Exempt Bonds</t>
  </si>
  <si>
    <t>Recycled Bonds</t>
  </si>
  <si>
    <t>LIHTC Equity</t>
  </si>
  <si>
    <t>Seller Carryback Financing</t>
  </si>
  <si>
    <t>Equity Bridge Loan</t>
  </si>
  <si>
    <t>General Partner Loan</t>
  </si>
  <si>
    <t>Other: (Developer Legal)</t>
  </si>
  <si>
    <t>Office building</t>
  </si>
  <si>
    <t>Seller Carryback Note</t>
  </si>
  <si>
    <t>GP Loan</t>
  </si>
  <si>
    <t>Other: (Inspections)</t>
  </si>
  <si>
    <t>Other: (Plan Check Fees)</t>
  </si>
  <si>
    <t>AC</t>
  </si>
  <si>
    <t>Incentive Management Fee</t>
  </si>
  <si>
    <t>Garrett Lee</t>
  </si>
  <si>
    <t>213-365-5000</t>
  </si>
  <si>
    <t>garrettlee@jamisonservices.com</t>
  </si>
  <si>
    <t>Arden Residential, LLC</t>
  </si>
  <si>
    <t>Administrative GP</t>
  </si>
  <si>
    <t>MVE Architects</t>
  </si>
  <si>
    <t>888 Figueroa St. Suite 2170</t>
  </si>
  <si>
    <t>Los Angeles, CA 90017</t>
  </si>
  <si>
    <t>213-805-7600</t>
  </si>
  <si>
    <t>Kidder Matthews</t>
  </si>
  <si>
    <t>601 S. Figueroa St. Suite 2700</t>
  </si>
  <si>
    <t>213-225-7245</t>
  </si>
  <si>
    <t>Bill Drewes</t>
  </si>
  <si>
    <t>bill.drewes@kidder.com</t>
  </si>
  <si>
    <t>Regional Center Commercial</t>
  </si>
  <si>
    <t>C4/148 units</t>
  </si>
  <si>
    <t>C4 zoning with 700 units</t>
  </si>
  <si>
    <t>N/A (Adaptive Reuse)</t>
  </si>
  <si>
    <t>Sky Castle</t>
  </si>
  <si>
    <t>Citibank - TEB</t>
  </si>
  <si>
    <t>Citibank - Recycled Bonds</t>
  </si>
  <si>
    <t>RBC - Tax Credit Equity</t>
  </si>
  <si>
    <t>Citibank - Taxable Bonds</t>
  </si>
  <si>
    <t>2061 Ashridge Way</t>
  </si>
  <si>
    <t>Granite Bay, CA 95746</t>
  </si>
  <si>
    <t>Stacie Altmann</t>
  </si>
  <si>
    <t>916-790-0246</t>
  </si>
  <si>
    <t>RBC Capital Markets</t>
  </si>
  <si>
    <t>stacie.altmann@rbccm.com</t>
  </si>
  <si>
    <t>Sky Castle I, LP</t>
  </si>
  <si>
    <t>Sky Castle Partners I, LLC</t>
  </si>
  <si>
    <t>6451 Box Springs Road</t>
  </si>
  <si>
    <t>Rusty Leach</t>
  </si>
  <si>
    <t>714-357-1637</t>
  </si>
  <si>
    <t>rusty@kingdomdevelopment.net</t>
  </si>
  <si>
    <t>1055 Seventh, LLC</t>
  </si>
  <si>
    <t>Kyle Arndt</t>
  </si>
  <si>
    <t>Arden Development, Inc.</t>
  </si>
  <si>
    <t>3470 Wilshire Blvd. #700</t>
  </si>
  <si>
    <t>11 stories of a 32 Story High Rise Office Building Conversion</t>
  </si>
  <si>
    <t>N/A due to AB2097</t>
  </si>
  <si>
    <t>1055 Seventh, LLC - Seller Carryback</t>
  </si>
  <si>
    <t>HACLA</t>
  </si>
  <si>
    <t>300 S Grand Avenue, Suite 3110</t>
  </si>
  <si>
    <t>Hao Li</t>
  </si>
  <si>
    <t>213-239-1914</t>
  </si>
  <si>
    <t>Fixed</t>
  </si>
  <si>
    <t>Permanent Loan</t>
  </si>
  <si>
    <t>5143-025-019</t>
  </si>
  <si>
    <t>Jaime Lee</t>
  </si>
  <si>
    <t>CEO</t>
  </si>
  <si>
    <t>Variable</t>
  </si>
  <si>
    <t>SOFR</t>
  </si>
  <si>
    <t>Gramercy Park Holdings, LP</t>
  </si>
  <si>
    <t>Luis Arambula</t>
  </si>
  <si>
    <t>larambula@mve-architects.com</t>
  </si>
  <si>
    <t>Wilshire Construction</t>
  </si>
  <si>
    <t>3470 Wilshire Blvd. #500</t>
  </si>
  <si>
    <t>Jonathan Stewart Co.</t>
  </si>
  <si>
    <t xml:space="preserve">1388 Sutter St. </t>
  </si>
  <si>
    <t>San Francisco, CA 94109</t>
  </si>
  <si>
    <t>415-345-4400</t>
  </si>
  <si>
    <t>Noah Schwartz</t>
  </si>
  <si>
    <t>nschwartz@jsco.net</t>
  </si>
  <si>
    <t>Tenant and applicant charges</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</si>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</sst>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21388">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9"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1"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8"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0" fontId="27" fillId="0" borderId="11"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36" fillId="0" borderId="0" xfId="4495" applyFont="1" applyAlignment="1">
      <alignment horizontal="left" vertical="center"/>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4" fillId="0" borderId="53" xfId="4496" applyFont="1" applyBorder="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5" fillId="0" borderId="0" xfId="4496" applyFont="1" applyAlignment="1">
      <alignment vertical="center"/>
    </xf>
    <xf numFmtId="0" fontId="123" fillId="0" borderId="0" xfId="4496" applyFont="1"/>
    <xf numFmtId="0" fontId="123" fillId="0" borderId="0" xfId="4496" applyFont="1" applyAlignment="1">
      <alignment vertical="center"/>
    </xf>
    <xf numFmtId="0" fontId="126"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0" fontId="18" fillId="0" borderId="51" xfId="4495" applyFont="1" applyBorder="1" applyAlignment="1">
      <alignment vertical="top"/>
    </xf>
    <xf numFmtId="0" fontId="18" fillId="0" borderId="52"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7"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4" fillId="0" borderId="9" xfId="4495" applyFont="1" applyBorder="1"/>
    <xf numFmtId="0" fontId="26" fillId="0" borderId="10" xfId="4495" applyFont="1" applyBorder="1"/>
    <xf numFmtId="0" fontId="131"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30"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7"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7"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0" fontId="18" fillId="0" borderId="58" xfId="0" applyFont="1" applyBorder="1" applyAlignment="1">
      <alignment horizontal="left"/>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50"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1"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8"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9"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9" fontId="99" fillId="0" borderId="0" xfId="4494" applyFont="1" applyFill="1" applyBorder="1" applyProtection="1"/>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5" fontId="99" fillId="0" borderId="6" xfId="4496" applyNumberFormat="1" applyFont="1" applyBorder="1" applyAlignment="1">
      <alignmen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8"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4" fillId="0" borderId="0" xfId="0" applyFont="1"/>
    <xf numFmtId="0" fontId="23"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9"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99" fillId="0" borderId="6" xfId="4496" applyFont="1" applyBorder="1" applyAlignment="1">
      <alignment horizontal="left" vertical="top"/>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4"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6"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3" fillId="0" borderId="0" xfId="8733"/>
    <xf numFmtId="0" fontId="104" fillId="0" borderId="0" xfId="8733" applyFont="1"/>
    <xf numFmtId="0" fontId="3" fillId="47" borderId="66" xfId="8733" applyFill="1" applyBorder="1"/>
    <xf numFmtId="0" fontId="3" fillId="47" borderId="0" xfId="8733" applyFill="1"/>
    <xf numFmtId="0" fontId="103" fillId="47" borderId="41" xfId="8733" applyFont="1" applyFill="1" applyBorder="1" applyAlignment="1">
      <alignment horizontal="center"/>
    </xf>
    <xf numFmtId="0" fontId="103" fillId="47" borderId="0" xfId="8733" applyFont="1" applyFill="1"/>
    <xf numFmtId="182" fontId="175" fillId="47" borderId="0" xfId="8734" applyNumberFormat="1" applyFont="1" applyFill="1" applyBorder="1" applyAlignment="1"/>
    <xf numFmtId="0" fontId="3" fillId="47" borderId="41" xfId="8733" applyFill="1" applyBorder="1"/>
    <xf numFmtId="0" fontId="104" fillId="47" borderId="0" xfId="8733" applyFont="1" applyFill="1"/>
    <xf numFmtId="0" fontId="179" fillId="47" borderId="0" xfId="8733" applyFont="1" applyFill="1"/>
    <xf numFmtId="0" fontId="103" fillId="47" borderId="41" xfId="8733" applyFont="1" applyFill="1" applyBorder="1"/>
    <xf numFmtId="0" fontId="103" fillId="0" borderId="0" xfId="8733" applyFont="1"/>
    <xf numFmtId="0" fontId="103" fillId="54" borderId="100" xfId="8733" applyFont="1" applyFill="1" applyBorder="1"/>
    <xf numFmtId="0" fontId="3" fillId="53" borderId="99" xfId="8733" applyFill="1" applyBorder="1"/>
    <xf numFmtId="0" fontId="3" fillId="52" borderId="99" xfId="8733" applyFill="1" applyBorder="1"/>
    <xf numFmtId="0" fontId="103" fillId="45" borderId="65" xfId="8733" applyFont="1" applyFill="1" applyBorder="1"/>
    <xf numFmtId="0" fontId="3" fillId="45" borderId="80" xfId="8733" applyFill="1" applyBorder="1"/>
    <xf numFmtId="0" fontId="3" fillId="45" borderId="79" xfId="8733" applyFill="1" applyBorder="1"/>
    <xf numFmtId="0" fontId="3" fillId="45" borderId="78" xfId="8733" applyFill="1" applyBorder="1"/>
    <xf numFmtId="0" fontId="103" fillId="45" borderId="0" xfId="8733" applyFont="1" applyFill="1"/>
    <xf numFmtId="0" fontId="103" fillId="45" borderId="12" xfId="8733" applyFont="1" applyFill="1" applyBorder="1"/>
    <xf numFmtId="0" fontId="103" fillId="45" borderId="29" xfId="8733" applyFont="1" applyFill="1" applyBorder="1"/>
    <xf numFmtId="0" fontId="103" fillId="45" borderId="80" xfId="8733" applyFont="1" applyFill="1" applyBorder="1"/>
    <xf numFmtId="0" fontId="103" fillId="45" borderId="79" xfId="8733" applyFont="1" applyFill="1" applyBorder="1"/>
    <xf numFmtId="0" fontId="103" fillId="45" borderId="78" xfId="8733" applyFont="1" applyFill="1" applyBorder="1"/>
    <xf numFmtId="185" fontId="3" fillId="0" borderId="0" xfId="698" applyNumberFormat="1" applyFont="1"/>
    <xf numFmtId="0" fontId="103" fillId="45" borderId="93" xfId="8733" applyFont="1" applyFill="1" applyBorder="1"/>
    <xf numFmtId="0" fontId="103" fillId="45" borderId="6" xfId="8733" applyFont="1" applyFill="1" applyBorder="1"/>
    <xf numFmtId="0" fontId="103" fillId="45" borderId="10" xfId="8733" applyFont="1" applyFill="1" applyBorder="1"/>
    <xf numFmtId="10" fontId="3" fillId="0" borderId="0" xfId="1022" applyNumberFormat="1" applyFont="1"/>
    <xf numFmtId="0" fontId="3" fillId="45" borderId="29" xfId="8733" applyFill="1" applyBorder="1"/>
    <xf numFmtId="0" fontId="3" fillId="45" borderId="31" xfId="8733" applyFill="1" applyBorder="1"/>
    <xf numFmtId="0" fontId="103" fillId="45" borderId="92" xfId="8733" applyFont="1" applyFill="1" applyBorder="1"/>
    <xf numFmtId="0" fontId="103" fillId="45" borderId="74" xfId="8733" applyFont="1" applyFill="1" applyBorder="1"/>
    <xf numFmtId="0" fontId="174" fillId="45" borderId="87" xfId="8733" applyFont="1" applyFill="1" applyBorder="1"/>
    <xf numFmtId="0" fontId="3" fillId="45" borderId="87" xfId="8733" applyFill="1" applyBorder="1"/>
    <xf numFmtId="0" fontId="3" fillId="45" borderId="86" xfId="8733" applyFill="1" applyBorder="1"/>
    <xf numFmtId="0" fontId="3" fillId="45" borderId="95" xfId="8733" applyFill="1" applyBorder="1"/>
    <xf numFmtId="0" fontId="181" fillId="47" borderId="0" xfId="8733" applyFont="1" applyFill="1"/>
    <xf numFmtId="0" fontId="103" fillId="45" borderId="31" xfId="8733" applyFont="1" applyFill="1" applyBorder="1"/>
    <xf numFmtId="0" fontId="3" fillId="47" borderId="0" xfId="8733" applyFill="1" applyAlignment="1">
      <alignment horizontal="left"/>
    </xf>
    <xf numFmtId="0" fontId="173" fillId="51" borderId="11" xfId="8733" applyFont="1" applyFill="1" applyBorder="1"/>
    <xf numFmtId="0" fontId="173" fillId="51" borderId="76" xfId="8733" applyFont="1" applyFill="1" applyBorder="1"/>
    <xf numFmtId="0" fontId="174" fillId="51" borderId="11" xfId="8733" applyFont="1" applyFill="1" applyBorder="1" applyAlignment="1">
      <alignment horizontal="center"/>
    </xf>
    <xf numFmtId="0" fontId="174" fillId="51" borderId="76" xfId="8733" applyFont="1" applyFill="1" applyBorder="1" applyAlignment="1">
      <alignment horizontal="center"/>
    </xf>
    <xf numFmtId="0" fontId="3" fillId="48" borderId="66" xfId="8733" applyFill="1" applyBorder="1"/>
    <xf numFmtId="0" fontId="3" fillId="48" borderId="0" xfId="8733" applyFill="1"/>
    <xf numFmtId="0" fontId="3" fillId="48" borderId="78" xfId="8733" applyFill="1" applyBorder="1"/>
    <xf numFmtId="0" fontId="103" fillId="47" borderId="66" xfId="8733" applyFont="1" applyFill="1" applyBorder="1"/>
    <xf numFmtId="49" fontId="103" fillId="47" borderId="66" xfId="8733" applyNumberFormat="1" applyFont="1" applyFill="1" applyBorder="1" applyAlignment="1">
      <alignment horizontal="right" vertical="top"/>
    </xf>
    <xf numFmtId="0" fontId="3" fillId="47" borderId="73" xfId="8733" applyFill="1" applyBorder="1"/>
    <xf numFmtId="0" fontId="3" fillId="47" borderId="42" xfId="8733" applyFill="1" applyBorder="1"/>
    <xf numFmtId="0" fontId="3" fillId="47" borderId="44" xfId="8733" applyFill="1" applyBorder="1"/>
    <xf numFmtId="0" fontId="3" fillId="44" borderId="66" xfId="8733" applyFill="1" applyBorder="1"/>
    <xf numFmtId="0" fontId="3" fillId="44" borderId="0" xfId="8733" applyFill="1"/>
    <xf numFmtId="0" fontId="3" fillId="44" borderId="41" xfId="8733" applyFill="1" applyBorder="1"/>
    <xf numFmtId="0" fontId="3" fillId="44" borderId="0" xfId="8733" applyFill="1" applyAlignment="1">
      <alignment horizontal="left"/>
    </xf>
    <xf numFmtId="0" fontId="3" fillId="44" borderId="73" xfId="8733" applyFill="1" applyBorder="1"/>
    <xf numFmtId="0" fontId="3" fillId="44" borderId="42" xfId="8733" applyFill="1" applyBorder="1"/>
    <xf numFmtId="0" fontId="3" fillId="44" borderId="44" xfId="8733" applyFill="1" applyBorder="1"/>
    <xf numFmtId="0" fontId="165" fillId="0" borderId="0" xfId="8733" applyFont="1"/>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0" fontId="18" fillId="0" borderId="0" xfId="1192" applyAlignment="1" applyProtection="1">
      <alignment horizontal="left" vertical="top" wrapText="1"/>
      <protection locked="0"/>
    </xf>
    <xf numFmtId="0" fontId="18" fillId="0" borderId="27" xfId="569" applyBorder="1" applyAlignment="1">
      <alignment horizontal="left"/>
    </xf>
    <xf numFmtId="0" fontId="18" fillId="0" borderId="0" xfId="1192" applyAlignment="1">
      <alignment horizontal="left"/>
    </xf>
    <xf numFmtId="0" fontId="25" fillId="0" borderId="16" xfId="569" applyFont="1" applyBorder="1" applyAlignment="1">
      <alignment horizontal="left"/>
    </xf>
    <xf numFmtId="0" fontId="19" fillId="0" borderId="0" xfId="244" applyAlignment="1" applyProtection="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4" fontId="18" fillId="0" borderId="0" xfId="569" applyNumberFormat="1" applyAlignment="1">
      <alignment horizontal="left" vertical="top" wrapText="1"/>
    </xf>
    <xf numFmtId="0" fontId="25" fillId="0" borderId="4" xfId="0" applyFont="1" applyBorder="1" applyAlignment="1">
      <alignment horizontal="left"/>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25" fillId="0" borderId="0" xfId="1192" applyFont="1" applyAlignment="1">
      <alignment horizontal="left" vertical="top" wrapText="1"/>
    </xf>
    <xf numFmtId="4" fontId="36" fillId="0" borderId="0" xfId="569" applyNumberFormat="1" applyFont="1" applyAlignment="1">
      <alignment horizontal="left" vertical="top" wrapText="1"/>
    </xf>
    <xf numFmtId="0" fontId="19" fillId="0" borderId="0" xfId="244" quotePrefix="1" applyAlignment="1" applyProtection="1">
      <alignment horizontal="left"/>
    </xf>
    <xf numFmtId="0" fontId="36" fillId="0" borderId="0" xfId="0" applyFont="1" applyAlignment="1">
      <alignment horizontal="left"/>
    </xf>
    <xf numFmtId="4" fontId="18" fillId="0" borderId="0" xfId="0" applyNumberFormat="1" applyFont="1" applyAlignment="1">
      <alignment horizontal="left"/>
    </xf>
    <xf numFmtId="0" fontId="25" fillId="0" borderId="0" xfId="0" applyFont="1" applyAlignment="1">
      <alignment vertical="top" wrapText="1"/>
    </xf>
    <xf numFmtId="4" fontId="36" fillId="0" borderId="0" xfId="0" applyNumberFormat="1" applyFont="1" applyAlignment="1">
      <alignment horizontal="left"/>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18" fillId="0" borderId="3"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11" xfId="0" applyNumberFormat="1" applyFont="1" applyBorder="1" applyAlignment="1">
      <alignment horizontal="center"/>
    </xf>
    <xf numFmtId="10" fontId="27" fillId="0" borderId="11" xfId="0" applyNumberFormat="1" applyFont="1" applyBorder="1" applyAlignment="1">
      <alignment horizontal="center"/>
    </xf>
    <xf numFmtId="0" fontId="27" fillId="5" borderId="4" xfId="0" applyFont="1" applyFill="1" applyBorder="1" applyAlignment="1" applyProtection="1">
      <alignment horizontal="left"/>
      <protection locked="0"/>
    </xf>
    <xf numFmtId="0" fontId="18" fillId="5" borderId="11" xfId="0" applyFont="1" applyFill="1" applyBorder="1" applyAlignment="1" applyProtection="1">
      <alignment vertical="center" wrapText="1"/>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0" fontId="18" fillId="0" borderId="4" xfId="0" applyFont="1" applyBorder="1" applyAlignment="1">
      <alignment horizontal="left"/>
    </xf>
    <xf numFmtId="0" fontId="18" fillId="0" borderId="5" xfId="0" applyFont="1" applyBorder="1" applyAlignment="1">
      <alignment horizontal="left"/>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0" borderId="6" xfId="0" applyBorder="1" applyAlignment="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5" borderId="4" xfId="0" applyFont="1" applyFill="1" applyBorder="1" applyAlignment="1" applyProtection="1">
      <alignment wrapText="1"/>
      <protection locked="0"/>
    </xf>
    <xf numFmtId="0" fontId="27"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xf>
    <xf numFmtId="0" fontId="18" fillId="5" borderId="11" xfId="0" applyFont="1" applyFill="1" applyBorder="1" applyAlignment="1" applyProtection="1">
      <alignment horizontal="left" wrapText="1"/>
      <protection locked="0"/>
    </xf>
    <xf numFmtId="172" fontId="25" fillId="0" borderId="11" xfId="0" applyNumberFormat="1"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37" fillId="5"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 fontId="0" fillId="5" borderId="6" xfId="0" applyNumberFormat="1" applyFill="1" applyBorder="1" applyAlignment="1" applyProtection="1">
      <alignment horizontal="center"/>
      <protection locked="0"/>
    </xf>
    <xf numFmtId="0" fontId="25" fillId="0" borderId="6" xfId="0" applyFont="1" applyBorder="1" applyAlignment="1">
      <alignment horizontal="center"/>
    </xf>
    <xf numFmtId="0" fontId="25" fillId="0" borderId="10" xfId="0" applyFont="1" applyBorder="1" applyAlignment="1">
      <alignment horizontal="center"/>
    </xf>
    <xf numFmtId="14" fontId="0" fillId="5" borderId="6" xfId="0" applyNumberFormat="1" applyFill="1" applyBorder="1" applyAlignment="1" applyProtection="1">
      <alignment horizontal="center"/>
      <protection locked="0"/>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43" borderId="10" xfId="0" applyFill="1" applyBorder="1" applyAlignment="1" applyProtection="1">
      <alignment horizontal="left"/>
      <protection locked="0"/>
    </xf>
    <xf numFmtId="168" fontId="157" fillId="0" borderId="0" xfId="0" applyNumberFormat="1" applyFont="1" applyAlignment="1">
      <alignment horizontal="center" vertical="center" wrapText="1"/>
    </xf>
    <xf numFmtId="0" fontId="25" fillId="0" borderId="9" xfId="0" applyFont="1" applyBorder="1" applyAlignment="1">
      <alignment horizontal="center"/>
    </xf>
    <xf numFmtId="0" fontId="27" fillId="5" borderId="6"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0" fillId="0" borderId="3" xfId="0" applyBorder="1" applyAlignment="1">
      <alignment horizontal="left"/>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6" xfId="0" applyFon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0" borderId="0" xfId="0" applyAlignment="1">
      <alignment wrapText="1"/>
    </xf>
    <xf numFmtId="0" fontId="27" fillId="0" borderId="0" xfId="0" applyFont="1" applyAlignment="1">
      <alignment horizontal="left" vertical="top" wrapText="1"/>
    </xf>
    <xf numFmtId="0" fontId="154" fillId="0" borderId="0" xfId="0" applyFont="1" applyAlignment="1" applyProtection="1">
      <alignment horizontal="left" vertical="top" wrapText="1"/>
      <protection locked="0"/>
    </xf>
    <xf numFmtId="166" fontId="18" fillId="5" borderId="4" xfId="0" applyNumberFormat="1" applyFont="1" applyFill="1" applyBorder="1" applyAlignment="1" applyProtection="1">
      <alignment horizontal="left"/>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8" fillId="5" borderId="6" xfId="244" applyFont="1" applyFill="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27" fillId="5" borderId="6" xfId="0" applyFont="1" applyFill="1" applyBorder="1" applyAlignment="1" applyProtection="1">
      <alignment horizontal="left" wrapText="1"/>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271" applyNumberFormat="1"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18" fillId="5" borderId="0" xfId="244"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4" fontId="27"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80" fontId="0" fillId="0" borderId="6" xfId="0" applyNumberFormat="1" applyBorder="1" applyAlignment="1">
      <alignment horizontal="center"/>
    </xf>
    <xf numFmtId="10" fontId="27" fillId="5" borderId="4" xfId="0" applyNumberFormat="1" applyFont="1" applyFill="1" applyBorder="1" applyAlignment="1" applyProtection="1">
      <alignment horizontal="right"/>
      <protection locked="0"/>
    </xf>
    <xf numFmtId="1" fontId="27"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0" fillId="0" borderId="6" xfId="0" applyBorder="1" applyAlignment="1">
      <alignment horizontal="center"/>
    </xf>
    <xf numFmtId="0" fontId="0" fillId="0" borderId="10" xfId="0" applyBorder="1" applyAlignment="1">
      <alignment horizontal="center"/>
    </xf>
    <xf numFmtId="0" fontId="0" fillId="43" borderId="4" xfId="0" applyFill="1" applyBorder="1" applyAlignment="1" applyProtection="1">
      <alignment horizontal="center"/>
      <protection locked="0"/>
    </xf>
    <xf numFmtId="0" fontId="25" fillId="0" borderId="11" xfId="0" applyFont="1" applyBorder="1" applyAlignment="1">
      <alignment horizontal="center" vertical="center" wrapText="1"/>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9" xfId="0" applyBorder="1" applyAlignment="1">
      <alignment horizontal="left"/>
    </xf>
    <xf numFmtId="0" fontId="25"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7" fillId="5" borderId="6" xfId="271" applyFill="1" applyBorder="1" applyProtection="1">
      <protection locked="0"/>
    </xf>
    <xf numFmtId="0" fontId="18" fillId="43" borderId="11" xfId="0" applyFont="1" applyFill="1" applyBorder="1" applyAlignment="1" applyProtection="1">
      <alignment horizontal="center"/>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vertical="top" wrapText="1"/>
    </xf>
    <xf numFmtId="0" fontId="0" fillId="5" borderId="3" xfId="0" quotePrefix="1" applyFill="1" applyBorder="1" applyAlignment="1" applyProtection="1">
      <alignment horizontal="right"/>
      <protection locked="0"/>
    </xf>
    <xf numFmtId="0" fontId="27" fillId="0" borderId="1" xfId="0" applyFont="1" applyBorder="1" applyAlignment="1">
      <alignment horizontal="center" vertical="top"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5" fillId="5" borderId="11" xfId="0" applyFont="1" applyFill="1" applyBorder="1" applyAlignment="1" applyProtection="1">
      <alignment horizontal="center"/>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27" fillId="0" borderId="3" xfId="0" applyFont="1" applyBorder="1" applyAlignment="1">
      <alignment horizontal="left"/>
    </xf>
    <xf numFmtId="168" fontId="0" fillId="5" borderId="11" xfId="0" applyNumberFormat="1" applyFill="1" applyBorder="1" applyAlignment="1" applyProtection="1">
      <alignment horizontal="righ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9" fontId="18" fillId="0" borderId="0" xfId="543" applyNumberFormat="1" applyAlignment="1">
      <alignment horizontal="center" vertic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7" fillId="0" borderId="11" xfId="0"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18" fillId="0" borderId="11" xfId="543" applyBorder="1" applyAlignment="1">
      <alignment horizontal="center"/>
    </xf>
    <xf numFmtId="14" fontId="0" fillId="5" borderId="4" xfId="0" applyNumberFormat="1" applyFill="1" applyBorder="1" applyAlignment="1" applyProtection="1">
      <alignment horizontal="center"/>
      <protection locked="0"/>
    </xf>
    <xf numFmtId="0" fontId="25" fillId="0" borderId="9" xfId="0" applyFont="1" applyBorder="1" applyAlignment="1">
      <alignment horizontal="right"/>
    </xf>
    <xf numFmtId="0" fontId="25" fillId="0" borderId="10" xfId="0" applyFon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18" fillId="5" borderId="5" xfId="0" applyFont="1" applyFill="1" applyBorder="1" applyAlignment="1" applyProtection="1">
      <alignment horizontal="left"/>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0" fontId="25" fillId="0" borderId="2" xfId="0" applyFont="1" applyBorder="1" applyAlignment="1">
      <alignment horizontal="right"/>
    </xf>
    <xf numFmtId="0" fontId="25" fillId="0" borderId="7" xfId="0" applyFont="1" applyBorder="1" applyAlignment="1">
      <alignment horizontal="right"/>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5" fillId="0" borderId="0" xfId="0" applyFont="1" applyAlignment="1">
      <alignment horizontal="center" vertical="center"/>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2" fontId="26" fillId="43" borderId="11" xfId="8721" applyNumberFormat="1" applyFont="1" applyFill="1" applyBorder="1" applyAlignment="1" applyProtection="1">
      <alignment horizontal="center" vertical="center" wrapText="1"/>
      <protection locked="0"/>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0" fontId="25" fillId="0" borderId="1" xfId="0" applyFont="1" applyBorder="1" applyAlignment="1">
      <alignment horizontal="center" wrapText="1"/>
    </xf>
    <xf numFmtId="9" fontId="0" fillId="5" borderId="3" xfId="0" applyNumberFormat="1" applyFill="1" applyBorder="1" applyAlignment="1" applyProtection="1">
      <alignment horizontal="right"/>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26"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18" fillId="0" borderId="0" xfId="543" applyAlignment="1">
      <alignment wrapText="1"/>
    </xf>
    <xf numFmtId="0" fontId="27" fillId="0" borderId="0" xfId="543" applyFont="1" applyAlignment="1">
      <alignment horizontal="center"/>
    </xf>
    <xf numFmtId="0" fontId="18" fillId="0" borderId="0" xfId="0" applyFont="1" applyAlignment="1">
      <alignment vertical="center"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70" fillId="44" borderId="80" xfId="8733" applyFont="1" applyFill="1" applyBorder="1" applyAlignment="1">
      <alignment horizontal="left"/>
    </xf>
    <xf numFmtId="0" fontId="170" fillId="44" borderId="79" xfId="8733" applyFont="1" applyFill="1" applyBorder="1" applyAlignment="1">
      <alignment horizontal="left"/>
    </xf>
    <xf numFmtId="0" fontId="170" fillId="44" borderId="78" xfId="8733" applyFont="1" applyFill="1" applyBorder="1" applyAlignment="1">
      <alignment horizontal="left"/>
    </xf>
    <xf numFmtId="0" fontId="171" fillId="45" borderId="11" xfId="8733" applyFont="1" applyFill="1" applyBorder="1" applyAlignment="1">
      <alignment horizontal="right"/>
    </xf>
    <xf numFmtId="1" fontId="170" fillId="48" borderId="11" xfId="8733" applyNumberFormat="1" applyFont="1" applyFill="1" applyBorder="1" applyAlignment="1" applyProtection="1">
      <alignment horizontal="center"/>
      <protection locked="0"/>
    </xf>
    <xf numFmtId="0" fontId="3" fillId="44" borderId="80" xfId="8733" applyFill="1" applyBorder="1" applyAlignment="1">
      <alignment horizontal="center"/>
    </xf>
    <xf numFmtId="0" fontId="3" fillId="44" borderId="79" xfId="8733" applyFill="1" applyBorder="1" applyAlignment="1">
      <alignment horizontal="center"/>
    </xf>
    <xf numFmtId="0" fontId="3" fillId="44" borderId="78" xfId="8733" applyFill="1" applyBorder="1" applyAlignment="1">
      <alignment horizontal="center"/>
    </xf>
    <xf numFmtId="0" fontId="182" fillId="51" borderId="65" xfId="8733" applyFont="1" applyFill="1" applyBorder="1" applyAlignment="1">
      <alignment horizontal="center"/>
    </xf>
    <xf numFmtId="0" fontId="182" fillId="51" borderId="29" xfId="8733" applyFont="1" applyFill="1" applyBorder="1" applyAlignment="1">
      <alignment horizontal="center"/>
    </xf>
    <xf numFmtId="0" fontId="182" fillId="51" borderId="31" xfId="8733" applyFont="1" applyFill="1" applyBorder="1" applyAlignment="1">
      <alignment horizontal="center"/>
    </xf>
    <xf numFmtId="0" fontId="167" fillId="48" borderId="66" xfId="8733" applyFont="1" applyFill="1" applyBorder="1" applyAlignment="1">
      <alignment horizontal="center"/>
    </xf>
    <xf numFmtId="0" fontId="167" fillId="48" borderId="0" xfId="8733" applyFont="1" applyFill="1" applyAlignment="1">
      <alignment horizontal="center"/>
    </xf>
    <xf numFmtId="0" fontId="167" fillId="48" borderId="41" xfId="8733" applyFont="1" applyFill="1" applyBorder="1" applyAlignment="1">
      <alignment horizontal="center"/>
    </xf>
    <xf numFmtId="0" fontId="177" fillId="45" borderId="11" xfId="8733" applyFont="1" applyFill="1" applyBorder="1" applyAlignment="1">
      <alignment horizontal="right"/>
    </xf>
    <xf numFmtId="14" fontId="170" fillId="48" borderId="11" xfId="8733" applyNumberFormat="1" applyFont="1" applyFill="1" applyBorder="1" applyAlignment="1" applyProtection="1">
      <alignment horizontal="center"/>
      <protection locked="0"/>
    </xf>
    <xf numFmtId="0" fontId="170" fillId="48" borderId="11" xfId="8733" applyFont="1" applyFill="1" applyBorder="1" applyAlignment="1" applyProtection="1">
      <alignment horizontal="center"/>
      <protection locked="0"/>
    </xf>
    <xf numFmtId="0" fontId="103" fillId="45" borderId="80" xfId="8733" applyFont="1" applyFill="1" applyBorder="1" applyAlignment="1">
      <alignment horizontal="center"/>
    </xf>
    <xf numFmtId="0" fontId="103" fillId="45" borderId="79" xfId="8733" applyFont="1" applyFill="1" applyBorder="1" applyAlignment="1">
      <alignment horizontal="center"/>
    </xf>
    <xf numFmtId="0" fontId="103" fillId="45" borderId="78" xfId="8733" applyFont="1" applyFill="1" applyBorder="1" applyAlignment="1">
      <alignment horizontal="center"/>
    </xf>
    <xf numFmtId="0" fontId="170" fillId="48" borderId="80" xfId="8733" applyFont="1" applyFill="1" applyBorder="1" applyAlignment="1" applyProtection="1">
      <alignment horizontal="center"/>
      <protection locked="0"/>
    </xf>
    <xf numFmtId="0" fontId="170" fillId="48" borderId="79" xfId="8733" applyFont="1" applyFill="1" applyBorder="1" applyAlignment="1" applyProtection="1">
      <alignment horizontal="center"/>
      <protection locked="0"/>
    </xf>
    <xf numFmtId="0" fontId="170" fillId="48" borderId="78" xfId="8733" applyFont="1" applyFill="1" applyBorder="1" applyAlignment="1" applyProtection="1">
      <alignment horizontal="center"/>
      <protection locked="0"/>
    </xf>
    <xf numFmtId="0" fontId="174" fillId="45" borderId="11" xfId="8733" applyFont="1" applyFill="1" applyBorder="1" applyAlignment="1">
      <alignment horizontal="right"/>
    </xf>
    <xf numFmtId="1" fontId="3" fillId="44" borderId="11" xfId="8733" applyNumberFormat="1" applyFill="1" applyBorder="1" applyAlignment="1">
      <alignment horizontal="center"/>
    </xf>
    <xf numFmtId="0" fontId="3" fillId="44" borderId="11" xfId="8733" applyFill="1" applyBorder="1" applyAlignment="1">
      <alignment horizontal="center"/>
    </xf>
    <xf numFmtId="0" fontId="171" fillId="45" borderId="11" xfId="8733" applyFont="1" applyFill="1" applyBorder="1" applyAlignment="1">
      <alignment horizontal="right" wrapText="1"/>
    </xf>
    <xf numFmtId="14" fontId="170" fillId="48" borderId="11" xfId="8733" applyNumberFormat="1" applyFont="1" applyFill="1" applyBorder="1" applyAlignment="1" applyProtection="1">
      <alignment horizontal="center" vertical="center"/>
      <protection locked="0"/>
    </xf>
    <xf numFmtId="0" fontId="170" fillId="48" borderId="11" xfId="8733" applyFont="1" applyFill="1" applyBorder="1" applyAlignment="1" applyProtection="1">
      <alignment horizontal="center" vertical="center"/>
      <protection locked="0"/>
    </xf>
    <xf numFmtId="168" fontId="175" fillId="44" borderId="11" xfId="8734" applyNumberFormat="1" applyFont="1" applyFill="1" applyBorder="1" applyAlignment="1" applyProtection="1">
      <alignment horizontal="left"/>
    </xf>
    <xf numFmtId="0" fontId="103" fillId="45" borderId="80" xfId="8733" applyFont="1" applyFill="1" applyBorder="1" applyAlignment="1">
      <alignment horizontal="right"/>
    </xf>
    <xf numFmtId="0" fontId="103" fillId="45" borderId="79" xfId="8733" applyFont="1" applyFill="1" applyBorder="1" applyAlignment="1">
      <alignment horizontal="right"/>
    </xf>
    <xf numFmtId="0" fontId="103" fillId="45" borderId="103" xfId="8733" applyFont="1" applyFill="1" applyBorder="1" applyAlignment="1">
      <alignment horizontal="right"/>
    </xf>
    <xf numFmtId="0" fontId="3" fillId="44" borderId="84" xfId="8733" applyFill="1" applyBorder="1" applyAlignment="1">
      <alignment horizontal="center"/>
    </xf>
    <xf numFmtId="0" fontId="3" fillId="44" borderId="102" xfId="8733" applyFill="1" applyBorder="1" applyAlignment="1">
      <alignment horizontal="center"/>
    </xf>
    <xf numFmtId="0" fontId="167" fillId="45" borderId="93" xfId="8733" applyFont="1" applyFill="1" applyBorder="1" applyAlignment="1">
      <alignment horizontal="center"/>
    </xf>
    <xf numFmtId="0" fontId="167" fillId="45" borderId="92" xfId="8733" applyFont="1" applyFill="1" applyBorder="1" applyAlignment="1">
      <alignment horizontal="center"/>
    </xf>
    <xf numFmtId="0" fontId="167" fillId="45" borderId="91" xfId="8733" applyFont="1" applyFill="1" applyBorder="1" applyAlignment="1">
      <alignment horizontal="center"/>
    </xf>
    <xf numFmtId="0" fontId="174" fillId="45" borderId="97" xfId="8733" applyFont="1" applyFill="1" applyBorder="1" applyAlignment="1">
      <alignment horizontal="center"/>
    </xf>
    <xf numFmtId="0" fontId="174" fillId="45" borderId="2" xfId="8733" applyFont="1" applyFill="1" applyBorder="1" applyAlignment="1">
      <alignment horizontal="center"/>
    </xf>
    <xf numFmtId="0" fontId="174" fillId="45" borderId="7" xfId="8733" applyFont="1" applyFill="1" applyBorder="1" applyAlignment="1">
      <alignment horizontal="center"/>
    </xf>
    <xf numFmtId="0" fontId="174" fillId="45" borderId="3" xfId="8733" applyFont="1" applyFill="1" applyBorder="1" applyAlignment="1">
      <alignment horizontal="center"/>
    </xf>
    <xf numFmtId="0" fontId="174" fillId="45" borderId="4" xfId="8733" applyFont="1" applyFill="1" applyBorder="1" applyAlignment="1">
      <alignment horizontal="center"/>
    </xf>
    <xf numFmtId="0" fontId="174" fillId="45" borderId="5" xfId="8733" applyFont="1" applyFill="1" applyBorder="1" applyAlignment="1">
      <alignment horizontal="center"/>
    </xf>
    <xf numFmtId="0" fontId="174" fillId="45" borderId="81" xfId="8733" applyFont="1" applyFill="1" applyBorder="1" applyAlignment="1">
      <alignment horizontal="center"/>
    </xf>
    <xf numFmtId="9" fontId="173" fillId="48" borderId="90" xfId="8733" applyNumberFormat="1" applyFont="1" applyFill="1" applyBorder="1" applyAlignment="1" applyProtection="1">
      <alignment horizontal="center"/>
      <protection locked="0"/>
    </xf>
    <xf numFmtId="9" fontId="173" fillId="48" borderId="4" xfId="8733" applyNumberFormat="1" applyFont="1" applyFill="1" applyBorder="1" applyAlignment="1" applyProtection="1">
      <alignment horizontal="center"/>
      <protection locked="0"/>
    </xf>
    <xf numFmtId="9" fontId="173" fillId="48" borderId="5" xfId="8733" applyNumberFormat="1" applyFont="1" applyFill="1" applyBorder="1" applyAlignment="1" applyProtection="1">
      <alignment horizontal="center"/>
      <protection locked="0"/>
    </xf>
    <xf numFmtId="0" fontId="173" fillId="44" borderId="3" xfId="8733" applyFont="1" applyFill="1" applyBorder="1" applyAlignment="1">
      <alignment horizontal="center"/>
    </xf>
    <xf numFmtId="0" fontId="173" fillId="44" borderId="4" xfId="8733" applyFont="1" applyFill="1" applyBorder="1" applyAlignment="1">
      <alignment horizontal="center"/>
    </xf>
    <xf numFmtId="0" fontId="173" fillId="44" borderId="5" xfId="8733" applyFont="1" applyFill="1" applyBorder="1" applyAlignment="1">
      <alignment horizontal="center"/>
    </xf>
    <xf numFmtId="9" fontId="174" fillId="44" borderId="3" xfId="8733" applyNumberFormat="1" applyFont="1" applyFill="1" applyBorder="1" applyAlignment="1">
      <alignment horizontal="center"/>
    </xf>
    <xf numFmtId="9" fontId="174" fillId="44" borderId="4" xfId="8733" applyNumberFormat="1" applyFont="1" applyFill="1" applyBorder="1" applyAlignment="1">
      <alignment horizontal="center"/>
    </xf>
    <xf numFmtId="9" fontId="174" fillId="44" borderId="81" xfId="8733" applyNumberFormat="1" applyFont="1" applyFill="1" applyBorder="1" applyAlignment="1">
      <alignment horizontal="center"/>
    </xf>
    <xf numFmtId="0" fontId="173" fillId="48" borderId="3" xfId="8733" applyFont="1" applyFill="1" applyBorder="1" applyAlignment="1" applyProtection="1">
      <alignment horizontal="center"/>
      <protection locked="0"/>
    </xf>
    <xf numFmtId="0" fontId="173" fillId="48" borderId="4" xfId="8733" applyFont="1" applyFill="1" applyBorder="1" applyAlignment="1" applyProtection="1">
      <alignment horizontal="center"/>
      <protection locked="0"/>
    </xf>
    <xf numFmtId="0" fontId="173" fillId="48" borderId="5" xfId="8733" applyFont="1" applyFill="1" applyBorder="1" applyAlignment="1" applyProtection="1">
      <alignment horizontal="center"/>
      <protection locked="0"/>
    </xf>
    <xf numFmtId="0" fontId="174" fillId="44" borderId="87" xfId="8733" applyFont="1" applyFill="1" applyBorder="1" applyAlignment="1">
      <alignment horizontal="center"/>
    </xf>
    <xf numFmtId="0" fontId="174" fillId="44" borderId="86" xfId="8733" applyFont="1" applyFill="1" applyBorder="1" applyAlignment="1">
      <alignment horizontal="center"/>
    </xf>
    <xf numFmtId="0" fontId="174" fillId="44" borderId="95" xfId="8733" applyFont="1" applyFill="1" applyBorder="1" applyAlignment="1">
      <alignment horizontal="center"/>
    </xf>
    <xf numFmtId="0" fontId="173" fillId="44" borderId="94"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9" fontId="174" fillId="44" borderId="94" xfId="8733" applyNumberFormat="1" applyFont="1" applyFill="1" applyBorder="1" applyAlignment="1">
      <alignment horizontal="center"/>
    </xf>
    <xf numFmtId="9" fontId="174" fillId="44" borderId="86" xfId="8733" applyNumberFormat="1" applyFont="1" applyFill="1" applyBorder="1" applyAlignment="1">
      <alignment horizontal="center"/>
    </xf>
    <xf numFmtId="9" fontId="174" fillId="44" borderId="85" xfId="8733" applyNumberFormat="1" applyFont="1" applyFill="1" applyBorder="1" applyAlignment="1">
      <alignment horizontal="center"/>
    </xf>
    <xf numFmtId="0" fontId="174" fillId="44" borderId="101" xfId="8733" applyFont="1" applyFill="1" applyBorder="1" applyAlignment="1">
      <alignment horizontal="center"/>
    </xf>
    <xf numFmtId="0" fontId="174" fillId="44" borderId="42" xfId="8733" applyFont="1" applyFill="1" applyBorder="1" applyAlignment="1">
      <alignment horizontal="center"/>
    </xf>
    <xf numFmtId="0" fontId="174" fillId="44" borderId="96" xfId="8733"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3" applyFont="1" applyFill="1" applyBorder="1" applyAlignment="1">
      <alignment horizontal="center"/>
    </xf>
    <xf numFmtId="0" fontId="167" fillId="45" borderId="79" xfId="8733" applyFont="1" applyFill="1" applyBorder="1" applyAlignment="1">
      <alignment horizontal="center"/>
    </xf>
    <xf numFmtId="0" fontId="167" fillId="45" borderId="78" xfId="8733" applyFont="1" applyFill="1" applyBorder="1" applyAlignment="1">
      <alignment horizontal="center"/>
    </xf>
    <xf numFmtId="0" fontId="166" fillId="45" borderId="98" xfId="8733" applyFont="1" applyFill="1" applyBorder="1" applyAlignment="1">
      <alignment horizontal="center" vertical="center" wrapText="1"/>
    </xf>
    <xf numFmtId="0" fontId="166" fillId="45" borderId="13" xfId="8733" applyFont="1" applyFill="1" applyBorder="1" applyAlignment="1">
      <alignment horizontal="center" vertical="center"/>
    </xf>
    <xf numFmtId="0" fontId="166" fillId="45" borderId="72" xfId="8733" applyFont="1" applyFill="1" applyBorder="1" applyAlignment="1">
      <alignment horizontal="center" vertical="center"/>
    </xf>
    <xf numFmtId="0" fontId="166" fillId="45" borderId="11" xfId="8733" applyFont="1" applyFill="1" applyBorder="1" applyAlignment="1">
      <alignment horizontal="center" vertical="center"/>
    </xf>
    <xf numFmtId="0" fontId="174" fillId="45" borderId="13" xfId="8733" applyFont="1" applyFill="1" applyBorder="1" applyAlignment="1">
      <alignment horizontal="center" vertical="center" wrapText="1"/>
    </xf>
    <xf numFmtId="0" fontId="174" fillId="45" borderId="13" xfId="8733" applyFont="1" applyFill="1" applyBorder="1" applyAlignment="1">
      <alignment horizontal="center" vertical="center"/>
    </xf>
    <xf numFmtId="0" fontId="174" fillId="45" borderId="11" xfId="8733" applyFont="1" applyFill="1" applyBorder="1" applyAlignment="1">
      <alignment horizontal="center" vertical="center"/>
    </xf>
    <xf numFmtId="0" fontId="174" fillId="45" borderId="9" xfId="8733" applyFont="1" applyFill="1" applyBorder="1" applyAlignment="1">
      <alignment horizontal="center" vertical="center"/>
    </xf>
    <xf numFmtId="0" fontId="174" fillId="45" borderId="3" xfId="8733" applyFont="1" applyFill="1" applyBorder="1" applyAlignment="1">
      <alignment horizontal="center" vertic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6" fillId="45" borderId="65" xfId="8733" applyFont="1" applyFill="1" applyBorder="1" applyAlignment="1">
      <alignment horizontal="center" vertical="center" wrapText="1"/>
    </xf>
    <xf numFmtId="0" fontId="166" fillId="45" borderId="29" xfId="8733" applyFont="1" applyFill="1" applyBorder="1" applyAlignment="1">
      <alignment horizontal="center" vertical="center" wrapText="1"/>
    </xf>
    <xf numFmtId="0" fontId="166" fillId="45" borderId="31" xfId="8733" applyFont="1" applyFill="1" applyBorder="1" applyAlignment="1">
      <alignment horizontal="center" vertical="center" wrapText="1"/>
    </xf>
    <xf numFmtId="0" fontId="166" fillId="45" borderId="73" xfId="8733" applyFont="1" applyFill="1" applyBorder="1" applyAlignment="1">
      <alignment horizontal="center" vertical="center" wrapText="1"/>
    </xf>
    <xf numFmtId="0" fontId="166" fillId="45" borderId="42" xfId="8733" applyFont="1" applyFill="1" applyBorder="1" applyAlignment="1">
      <alignment horizontal="center" vertical="center" wrapText="1"/>
    </xf>
    <xf numFmtId="0" fontId="166" fillId="45" borderId="44" xfId="8733" applyFont="1" applyFill="1" applyBorder="1" applyAlignment="1">
      <alignment horizontal="center" vertical="center" wrapText="1"/>
    </xf>
    <xf numFmtId="9" fontId="174" fillId="48" borderId="13" xfId="8733" applyNumberFormat="1" applyFont="1" applyFill="1" applyBorder="1" applyAlignment="1" applyProtection="1">
      <alignment horizontal="center"/>
      <protection locked="0"/>
    </xf>
    <xf numFmtId="0" fontId="174" fillId="44" borderId="73" xfId="8733" applyFont="1" applyFill="1" applyBorder="1" applyAlignment="1">
      <alignment horizontal="center"/>
    </xf>
    <xf numFmtId="0" fontId="166" fillId="44" borderId="9" xfId="8733" applyFont="1" applyFill="1" applyBorder="1" applyAlignment="1">
      <alignment horizontal="center"/>
    </xf>
    <xf numFmtId="0" fontId="166" fillId="44" borderId="6" xfId="8733" applyFont="1" applyFill="1" applyBorder="1" applyAlignment="1">
      <alignment horizontal="center"/>
    </xf>
    <xf numFmtId="0" fontId="166" fillId="44" borderId="82" xfId="8733" applyFont="1" applyFill="1" applyBorder="1" applyAlignment="1">
      <alignment horizontal="center"/>
    </xf>
    <xf numFmtId="9" fontId="174" fillId="48" borderId="9" xfId="8733" applyNumberFormat="1" applyFont="1" applyFill="1" applyBorder="1" applyAlignment="1" applyProtection="1">
      <alignment horizontal="center"/>
      <protection locked="0"/>
    </xf>
    <xf numFmtId="9" fontId="174" fillId="48" borderId="6" xfId="8733" applyNumberFormat="1" applyFont="1" applyFill="1" applyBorder="1" applyAlignment="1" applyProtection="1">
      <alignment horizontal="center"/>
      <protection locked="0"/>
    </xf>
    <xf numFmtId="9" fontId="174" fillId="48" borderId="10" xfId="8733" applyNumberFormat="1" applyFont="1" applyFill="1" applyBorder="1" applyAlignment="1" applyProtection="1">
      <alignment horizontal="center"/>
      <protection locked="0"/>
    </xf>
    <xf numFmtId="9" fontId="166" fillId="48" borderId="9" xfId="8733" applyNumberFormat="1" applyFont="1" applyFill="1" applyBorder="1" applyAlignment="1" applyProtection="1">
      <alignment horizontal="center"/>
      <protection locked="0"/>
    </xf>
    <xf numFmtId="9" fontId="166" fillId="48" borderId="6" xfId="8733" applyNumberFormat="1" applyFont="1" applyFill="1" applyBorder="1" applyAlignment="1" applyProtection="1">
      <alignment horizontal="center"/>
      <protection locked="0"/>
    </xf>
    <xf numFmtId="9" fontId="166" fillId="48" borderId="10" xfId="8733" applyNumberFormat="1" applyFont="1" applyFill="1" applyBorder="1" applyAlignment="1" applyProtection="1">
      <alignment horizontal="center"/>
      <protection locked="0"/>
    </xf>
    <xf numFmtId="0" fontId="166" fillId="44" borderId="10" xfId="8733" applyFont="1" applyFill="1" applyBorder="1" applyAlignment="1">
      <alignment horizontal="center"/>
    </xf>
    <xf numFmtId="1" fontId="178" fillId="48" borderId="3" xfId="8733" applyNumberFormat="1" applyFont="1" applyFill="1" applyBorder="1" applyAlignment="1" applyProtection="1">
      <alignment horizontal="center"/>
      <protection locked="0"/>
    </xf>
    <xf numFmtId="1" fontId="178" fillId="48" borderId="4" xfId="8733" applyNumberFormat="1" applyFont="1" applyFill="1" applyBorder="1" applyAlignment="1" applyProtection="1">
      <alignment horizontal="center"/>
      <protection locked="0"/>
    </xf>
    <xf numFmtId="1" fontId="178" fillId="48" borderId="5" xfId="8733" applyNumberFormat="1" applyFont="1" applyFill="1" applyBorder="1" applyAlignment="1" applyProtection="1">
      <alignment horizontal="center"/>
      <protection locked="0"/>
    </xf>
    <xf numFmtId="1" fontId="166" fillId="44" borderId="3" xfId="8733" applyNumberFormat="1" applyFont="1" applyFill="1" applyBorder="1" applyAlignment="1">
      <alignment horizontal="center"/>
    </xf>
    <xf numFmtId="1" fontId="166" fillId="44" borderId="4" xfId="8733" applyNumberFormat="1" applyFont="1" applyFill="1" applyBorder="1" applyAlignment="1">
      <alignment horizontal="center"/>
    </xf>
    <xf numFmtId="1" fontId="166" fillId="44" borderId="5" xfId="8733" applyNumberFormat="1" applyFont="1" applyFill="1" applyBorder="1" applyAlignment="1">
      <alignment horizontal="center"/>
    </xf>
    <xf numFmtId="9" fontId="166" fillId="44" borderId="3" xfId="8735" applyFont="1" applyFill="1" applyBorder="1" applyAlignment="1">
      <alignment horizontal="center"/>
    </xf>
    <xf numFmtId="9" fontId="166" fillId="44" borderId="4" xfId="8735" applyFont="1" applyFill="1" applyBorder="1" applyAlignment="1">
      <alignment horizontal="center"/>
    </xf>
    <xf numFmtId="9" fontId="166" fillId="44" borderId="81" xfId="8735" applyFont="1" applyFill="1" applyBorder="1" applyAlignment="1">
      <alignment horizontal="center"/>
    </xf>
    <xf numFmtId="0" fontId="175" fillId="48" borderId="72" xfId="8733" applyFont="1" applyFill="1" applyBorder="1" applyAlignment="1" applyProtection="1">
      <alignment horizontal="right"/>
      <protection locked="0"/>
    </xf>
    <xf numFmtId="0" fontId="175" fillId="48" borderId="11" xfId="8733" applyFont="1" applyFill="1" applyBorder="1" applyAlignment="1" applyProtection="1">
      <alignment horizontal="right"/>
      <protection locked="0"/>
    </xf>
    <xf numFmtId="0" fontId="178" fillId="48" borderId="11" xfId="8733" applyFont="1" applyFill="1" applyBorder="1" applyAlignment="1" applyProtection="1">
      <alignment horizontal="center"/>
      <protection locked="0"/>
    </xf>
    <xf numFmtId="1" fontId="178" fillId="48" borderId="11" xfId="8733" applyNumberFormat="1" applyFont="1" applyFill="1" applyBorder="1" applyAlignment="1" applyProtection="1">
      <alignment horizontal="center"/>
      <protection locked="0"/>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3" fillId="48" borderId="69" xfId="8733" applyFont="1" applyFill="1" applyBorder="1" applyAlignment="1" applyProtection="1">
      <alignment horizontal="right"/>
      <protection locked="0"/>
    </xf>
    <xf numFmtId="0" fontId="173" fillId="48" borderId="70" xfId="8733" applyFont="1" applyFill="1" applyBorder="1" applyAlignment="1" applyProtection="1">
      <alignment horizontal="right"/>
      <protection locked="0"/>
    </xf>
    <xf numFmtId="0" fontId="178" fillId="48" borderId="70" xfId="8733" applyFont="1" applyFill="1" applyBorder="1" applyAlignment="1" applyProtection="1">
      <alignment horizontal="center"/>
      <protection locked="0"/>
    </xf>
    <xf numFmtId="1" fontId="178" fillId="48" borderId="70" xfId="8733" applyNumberFormat="1" applyFont="1" applyFill="1" applyBorder="1" applyAlignment="1" applyProtection="1">
      <alignment horizontal="center"/>
      <protection locked="0"/>
    </xf>
    <xf numFmtId="9" fontId="166" fillId="44" borderId="94" xfId="8735" applyFont="1" applyFill="1" applyBorder="1" applyAlignment="1">
      <alignment horizontal="center"/>
    </xf>
    <xf numFmtId="9" fontId="166" fillId="44" borderId="86" xfId="8735" applyFont="1" applyFill="1" applyBorder="1" applyAlignment="1">
      <alignment horizontal="center"/>
    </xf>
    <xf numFmtId="9" fontId="166" fillId="44" borderId="85" xfId="8735" applyFont="1" applyFill="1" applyBorder="1" applyAlignment="1">
      <alignment horizontal="center"/>
    </xf>
    <xf numFmtId="1" fontId="178" fillId="48" borderId="94" xfId="8733" applyNumberFormat="1" applyFont="1" applyFill="1" applyBorder="1" applyAlignment="1" applyProtection="1">
      <alignment horizontal="center"/>
      <protection locked="0"/>
    </xf>
    <xf numFmtId="1" fontId="178" fillId="48" borderId="86" xfId="8733" applyNumberFormat="1" applyFont="1" applyFill="1" applyBorder="1" applyAlignment="1" applyProtection="1">
      <alignment horizontal="center"/>
      <protection locked="0"/>
    </xf>
    <xf numFmtId="1" fontId="178" fillId="48" borderId="95" xfId="8733" applyNumberFormat="1" applyFont="1" applyFill="1" applyBorder="1" applyAlignment="1" applyProtection="1">
      <alignment horizontal="center"/>
      <protection locked="0"/>
    </xf>
    <xf numFmtId="0" fontId="167" fillId="45" borderId="67" xfId="8733" applyFont="1" applyFill="1" applyBorder="1" applyAlignment="1">
      <alignment horizontal="center"/>
    </xf>
    <xf numFmtId="0" fontId="167" fillId="45" borderId="68" xfId="8733" applyFont="1" applyFill="1" applyBorder="1" applyAlignment="1">
      <alignment horizontal="center"/>
    </xf>
    <xf numFmtId="0" fontId="167" fillId="45" borderId="71" xfId="8733" applyFont="1" applyFill="1" applyBorder="1" applyAlignment="1">
      <alignment horizontal="center"/>
    </xf>
    <xf numFmtId="0" fontId="174" fillId="45" borderId="72" xfId="8733" applyFont="1" applyFill="1" applyBorder="1" applyAlignment="1">
      <alignment horizontal="center"/>
    </xf>
    <xf numFmtId="0" fontId="174" fillId="45" borderId="11" xfId="8733" applyFont="1" applyFill="1" applyBorder="1" applyAlignment="1">
      <alignment horizontal="center"/>
    </xf>
    <xf numFmtId="0" fontId="166" fillId="45" borderId="11" xfId="8733" applyFont="1" applyFill="1" applyBorder="1" applyAlignment="1">
      <alignment horizontal="center" vertical="center" wrapText="1"/>
    </xf>
    <xf numFmtId="0" fontId="166" fillId="45" borderId="76" xfId="8733" applyFont="1" applyFill="1" applyBorder="1" applyAlignment="1">
      <alignment horizontal="center" vertical="center" wrapText="1"/>
    </xf>
    <xf numFmtId="0" fontId="173" fillId="48" borderId="11" xfId="8733"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 fontId="173" fillId="48" borderId="11" xfId="8733"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0" fontId="167" fillId="45" borderId="65" xfId="8733" applyFont="1" applyFill="1" applyBorder="1" applyAlignment="1">
      <alignment horizontal="center"/>
    </xf>
    <xf numFmtId="0" fontId="167" fillId="45" borderId="29" xfId="8733" applyFont="1" applyFill="1" applyBorder="1" applyAlignment="1">
      <alignment horizontal="center"/>
    </xf>
    <xf numFmtId="0" fontId="167" fillId="45" borderId="31" xfId="8733" applyFont="1" applyFill="1" applyBorder="1" applyAlignment="1">
      <alignment horizontal="center"/>
    </xf>
    <xf numFmtId="0" fontId="173" fillId="44" borderId="72" xfId="8733" applyFont="1" applyFill="1" applyBorder="1" applyAlignment="1" applyProtection="1">
      <alignment horizontal="right"/>
      <protection locked="0"/>
    </xf>
    <xf numFmtId="0" fontId="173" fillId="44" borderId="11" xfId="8733" applyFont="1" applyFill="1" applyBorder="1" applyAlignment="1" applyProtection="1">
      <alignment horizontal="right"/>
      <protection locked="0"/>
    </xf>
    <xf numFmtId="0" fontId="173" fillId="44" borderId="76" xfId="8733" applyFont="1" applyFill="1" applyBorder="1" applyAlignment="1" applyProtection="1">
      <alignment horizontal="right"/>
      <protection locked="0"/>
    </xf>
    <xf numFmtId="0" fontId="173" fillId="48" borderId="5" xfId="8733" applyFont="1" applyFill="1" applyBorder="1" applyAlignment="1" applyProtection="1">
      <alignment horizontal="left"/>
      <protection locked="0"/>
    </xf>
    <xf numFmtId="0" fontId="173" fillId="48" borderId="11" xfId="8733" applyFont="1" applyFill="1" applyBorder="1" applyAlignment="1" applyProtection="1">
      <alignment horizontal="left"/>
      <protection locked="0"/>
    </xf>
    <xf numFmtId="0" fontId="173" fillId="48" borderId="76" xfId="8733" applyFont="1" applyFill="1" applyBorder="1" applyAlignment="1" applyProtection="1">
      <alignment horizontal="left"/>
      <protection locked="0"/>
    </xf>
    <xf numFmtId="0" fontId="174" fillId="45" borderId="69" xfId="8733" applyFont="1" applyFill="1" applyBorder="1" applyAlignment="1">
      <alignment horizontal="center"/>
    </xf>
    <xf numFmtId="0" fontId="174" fillId="45" borderId="70" xfId="8733" applyFont="1" applyFill="1" applyBorder="1" applyAlignment="1">
      <alignment horizontal="center"/>
    </xf>
    <xf numFmtId="168" fontId="174" fillId="45" borderId="70" xfId="8734" applyNumberFormat="1" applyFont="1" applyFill="1" applyBorder="1" applyAlignment="1">
      <alignment horizontal="center"/>
    </xf>
    <xf numFmtId="1" fontId="174" fillId="45" borderId="70" xfId="8734" applyNumberFormat="1" applyFont="1" applyFill="1" applyBorder="1" applyAlignment="1">
      <alignment horizontal="center"/>
    </xf>
    <xf numFmtId="0" fontId="174" fillId="45" borderId="70" xfId="8734" applyNumberFormat="1" applyFont="1" applyFill="1" applyBorder="1" applyAlignment="1">
      <alignment horizontal="center"/>
    </xf>
    <xf numFmtId="0" fontId="174" fillId="45" borderId="77" xfId="8734" applyNumberFormat="1" applyFont="1" applyFill="1" applyBorder="1" applyAlignment="1">
      <alignment horizontal="center"/>
    </xf>
    <xf numFmtId="0" fontId="170" fillId="48" borderId="74" xfId="8733" applyFont="1" applyFill="1" applyBorder="1" applyAlignment="1" applyProtection="1">
      <alignment horizontal="left"/>
      <protection locked="0"/>
    </xf>
    <xf numFmtId="0" fontId="170" fillId="48" borderId="68" xfId="8733" applyFont="1" applyFill="1" applyBorder="1" applyAlignment="1" applyProtection="1">
      <alignment horizontal="left"/>
      <protection locked="0"/>
    </xf>
    <xf numFmtId="0" fontId="170" fillId="48" borderId="71" xfId="8733" applyFont="1" applyFill="1" applyBorder="1" applyAlignment="1" applyProtection="1">
      <alignment horizontal="left"/>
      <protection locked="0"/>
    </xf>
    <xf numFmtId="0" fontId="167" fillId="45" borderId="72" xfId="8733" applyFont="1" applyFill="1" applyBorder="1" applyAlignment="1">
      <alignment horizontal="center"/>
    </xf>
    <xf numFmtId="0" fontId="167" fillId="45" borderId="11" xfId="8733" applyFont="1" applyFill="1" applyBorder="1" applyAlignment="1">
      <alignment horizontal="center"/>
    </xf>
    <xf numFmtId="0" fontId="167" fillId="45" borderId="3" xfId="8733" applyFont="1" applyFill="1" applyBorder="1" applyAlignment="1">
      <alignment horizontal="center"/>
    </xf>
    <xf numFmtId="0" fontId="167" fillId="45" borderId="4" xfId="8733" applyFont="1" applyFill="1" applyBorder="1" applyAlignment="1">
      <alignment horizontal="center"/>
    </xf>
    <xf numFmtId="0" fontId="167" fillId="45" borderId="81" xfId="8733" applyFont="1" applyFill="1" applyBorder="1" applyAlignment="1">
      <alignment horizontal="center"/>
    </xf>
    <xf numFmtId="0" fontId="103" fillId="45" borderId="69" xfId="8733" applyFont="1" applyFill="1" applyBorder="1" applyAlignment="1">
      <alignment horizontal="center"/>
    </xf>
    <xf numFmtId="0" fontId="103" fillId="45" borderId="70" xfId="8733" applyFont="1" applyFill="1" applyBorder="1" applyAlignment="1">
      <alignment horizontal="center"/>
    </xf>
    <xf numFmtId="0" fontId="173" fillId="44" borderId="69" xfId="8733" applyFont="1" applyFill="1" applyBorder="1" applyAlignment="1" applyProtection="1">
      <alignment horizontal="right"/>
      <protection locked="0"/>
    </xf>
    <xf numFmtId="0" fontId="173" fillId="44" borderId="70" xfId="8733" applyFont="1" applyFill="1" applyBorder="1" applyAlignment="1" applyProtection="1">
      <alignment horizontal="right"/>
      <protection locked="0"/>
    </xf>
    <xf numFmtId="0" fontId="173" fillId="44" borderId="77" xfId="8733" applyFont="1" applyFill="1" applyBorder="1" applyAlignment="1" applyProtection="1">
      <alignment horizontal="right"/>
      <protection locked="0"/>
    </xf>
    <xf numFmtId="0" fontId="173" fillId="48" borderId="95" xfId="8733" applyFont="1" applyFill="1" applyBorder="1" applyAlignment="1" applyProtection="1">
      <alignment horizontal="left"/>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5" fillId="48" borderId="11" xfId="700" applyNumberFormat="1" applyFont="1" applyFill="1" applyBorder="1" applyAlignment="1" applyProtection="1">
      <alignment horizontal="left"/>
      <protection locked="0"/>
    </xf>
    <xf numFmtId="168" fontId="175" fillId="48" borderId="76" xfId="700" applyNumberFormat="1" applyFont="1" applyFill="1" applyBorder="1" applyAlignment="1" applyProtection="1">
      <alignment horizontal="left"/>
      <protection locked="0"/>
    </xf>
    <xf numFmtId="0" fontId="173" fillId="48" borderId="68" xfId="8733" applyFont="1" applyFill="1" applyBorder="1" applyAlignment="1" applyProtection="1">
      <alignment horizontal="left"/>
      <protection locked="0"/>
    </xf>
    <xf numFmtId="0" fontId="173" fillId="48" borderId="71" xfId="8733" applyFont="1" applyFill="1" applyBorder="1" applyAlignment="1" applyProtection="1">
      <alignment horizontal="left"/>
      <protection locked="0"/>
    </xf>
    <xf numFmtId="0" fontId="167" fillId="45" borderId="69" xfId="8733" applyFont="1" applyFill="1" applyBorder="1" applyAlignment="1">
      <alignment horizontal="center"/>
    </xf>
    <xf numFmtId="0" fontId="167" fillId="45" borderId="70" xfId="8733" applyFont="1" applyFill="1" applyBorder="1" applyAlignment="1">
      <alignment horizontal="center"/>
    </xf>
    <xf numFmtId="0" fontId="103" fillId="45" borderId="67" xfId="8733" applyFont="1" applyFill="1" applyBorder="1" applyAlignment="1">
      <alignment horizontal="center"/>
    </xf>
    <xf numFmtId="0" fontId="103" fillId="45" borderId="68" xfId="8733" applyFont="1" applyFill="1" applyBorder="1" applyAlignment="1">
      <alignment horizontal="center"/>
    </xf>
    <xf numFmtId="0" fontId="3" fillId="48" borderId="9" xfId="8733" applyFill="1" applyBorder="1" applyAlignment="1" applyProtection="1">
      <alignment horizontal="center"/>
      <protection locked="0"/>
    </xf>
    <xf numFmtId="0" fontId="3" fillId="48" borderId="6" xfId="8733" applyFill="1" applyBorder="1" applyAlignment="1" applyProtection="1">
      <alignment horizontal="center"/>
      <protection locked="0"/>
    </xf>
    <xf numFmtId="0" fontId="3" fillId="48" borderId="82" xfId="8733" applyFill="1" applyBorder="1" applyAlignment="1" applyProtection="1">
      <alignment horizontal="center"/>
      <protection locked="0"/>
    </xf>
    <xf numFmtId="0" fontId="174" fillId="45" borderId="97" xfId="8733" applyFont="1" applyFill="1" applyBorder="1" applyAlignment="1">
      <alignment horizontal="left"/>
    </xf>
    <xf numFmtId="0" fontId="174" fillId="45" borderId="2" xfId="8733" applyFont="1" applyFill="1" applyBorder="1" applyAlignment="1">
      <alignment horizontal="left"/>
    </xf>
    <xf numFmtId="10" fontId="3" fillId="0" borderId="94" xfId="8733" applyNumberFormat="1" applyBorder="1" applyAlignment="1">
      <alignment horizontal="center"/>
    </xf>
    <xf numFmtId="10" fontId="3" fillId="0" borderId="86" xfId="8733" applyNumberFormat="1" applyBorder="1" applyAlignment="1">
      <alignment horizontal="center"/>
    </xf>
    <xf numFmtId="10" fontId="3" fillId="0" borderId="85" xfId="8733" applyNumberFormat="1" applyBorder="1" applyAlignment="1">
      <alignment horizontal="center"/>
    </xf>
    <xf numFmtId="0" fontId="174" fillId="45" borderId="73" xfId="8733" applyFont="1" applyFill="1" applyBorder="1" applyAlignment="1">
      <alignment horizontal="left"/>
    </xf>
    <xf numFmtId="0" fontId="174" fillId="45" borderId="42" xfId="8733" applyFont="1" applyFill="1" applyBorder="1" applyAlignment="1">
      <alignment horizontal="left"/>
    </xf>
    <xf numFmtId="10" fontId="3" fillId="48" borderId="94" xfId="8733" applyNumberFormat="1" applyFill="1" applyBorder="1" applyAlignment="1" applyProtection="1">
      <alignment horizontal="center"/>
      <protection locked="0"/>
    </xf>
    <xf numFmtId="10" fontId="3" fillId="48" borderId="86" xfId="8733" applyNumberFormat="1" applyFill="1" applyBorder="1" applyAlignment="1" applyProtection="1">
      <alignment horizontal="center"/>
      <protection locked="0"/>
    </xf>
    <xf numFmtId="10" fontId="3" fillId="48" borderId="85" xfId="8733" applyNumberFormat="1" applyFill="1" applyBorder="1" applyAlignment="1" applyProtection="1">
      <alignment horizontal="center"/>
      <protection locked="0"/>
    </xf>
    <xf numFmtId="0" fontId="103" fillId="45" borderId="67" xfId="8733" applyFont="1" applyFill="1" applyBorder="1" applyAlignment="1">
      <alignment horizontal="center" wrapText="1"/>
    </xf>
    <xf numFmtId="0" fontId="103" fillId="45" borderId="68" xfId="8733" applyFont="1" applyFill="1" applyBorder="1" applyAlignment="1">
      <alignment horizontal="center" wrapText="1"/>
    </xf>
    <xf numFmtId="0" fontId="103" fillId="45" borderId="71" xfId="8733" applyFont="1" applyFill="1" applyBorder="1" applyAlignment="1">
      <alignment horizontal="center" wrapText="1"/>
    </xf>
    <xf numFmtId="0" fontId="167" fillId="45" borderId="98" xfId="8733" applyFont="1" applyFill="1" applyBorder="1" applyAlignment="1">
      <alignment horizontal="center"/>
    </xf>
    <xf numFmtId="0" fontId="167" fillId="45" borderId="13" xfId="8733" applyFont="1" applyFill="1" applyBorder="1" applyAlignment="1">
      <alignment horizontal="center"/>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73" fillId="48" borderId="72" xfId="8733" applyFont="1" applyFill="1" applyBorder="1" applyAlignment="1" applyProtection="1">
      <alignment horizontal="center"/>
      <protection locked="0"/>
    </xf>
    <xf numFmtId="0" fontId="167" fillId="45" borderId="89" xfId="8733" applyFont="1" applyFill="1" applyBorder="1" applyAlignment="1">
      <alignment horizontal="right"/>
    </xf>
    <xf numFmtId="0" fontId="167" fillId="45" borderId="43" xfId="8733" applyFont="1" applyFill="1" applyBorder="1" applyAlignment="1">
      <alignment horizontal="right"/>
    </xf>
    <xf numFmtId="168" fontId="167" fillId="45" borderId="43" xfId="8733" applyNumberFormat="1" applyFont="1" applyFill="1" applyBorder="1" applyAlignment="1">
      <alignment horizontal="left"/>
    </xf>
    <xf numFmtId="168" fontId="167" fillId="45" borderId="88" xfId="8733" applyNumberFormat="1" applyFont="1" applyFill="1" applyBorder="1" applyAlignment="1">
      <alignment horizontal="left"/>
    </xf>
    <xf numFmtId="0" fontId="3" fillId="48" borderId="11" xfId="8733" applyFill="1" applyBorder="1" applyAlignment="1" applyProtection="1">
      <alignment horizontal="center"/>
      <protection locked="0"/>
    </xf>
    <xf numFmtId="0" fontId="3" fillId="48" borderId="76" xfId="8733" applyFill="1" applyBorder="1" applyAlignment="1" applyProtection="1">
      <alignment horizontal="center"/>
      <protection locked="0"/>
    </xf>
    <xf numFmtId="0" fontId="103" fillId="45" borderId="67" xfId="8733" applyFont="1" applyFill="1" applyBorder="1" applyAlignment="1">
      <alignment horizontal="left" wrapText="1"/>
    </xf>
    <xf numFmtId="0" fontId="103" fillId="45" borderId="68" xfId="8733" applyFont="1" applyFill="1" applyBorder="1" applyAlignment="1">
      <alignment horizontal="left" wrapText="1"/>
    </xf>
    <xf numFmtId="0" fontId="103" fillId="45" borderId="72" xfId="8733" applyFont="1" applyFill="1" applyBorder="1" applyAlignment="1">
      <alignment horizontal="left" wrapText="1"/>
    </xf>
    <xf numFmtId="0" fontId="103" fillId="45" borderId="11" xfId="8733" applyFont="1" applyFill="1" applyBorder="1" applyAlignment="1">
      <alignment horizontal="left" wrapText="1"/>
    </xf>
    <xf numFmtId="0" fontId="170" fillId="48" borderId="68" xfId="8733" applyFont="1" applyFill="1" applyBorder="1" applyAlignment="1" applyProtection="1">
      <alignment horizontal="left" wrapText="1"/>
      <protection locked="0"/>
    </xf>
    <xf numFmtId="0" fontId="170" fillId="48" borderId="71" xfId="8733" applyFont="1" applyFill="1" applyBorder="1" applyAlignment="1" applyProtection="1">
      <alignment horizontal="left" wrapText="1"/>
      <protection locked="0"/>
    </xf>
    <xf numFmtId="0" fontId="170" fillId="48" borderId="11" xfId="8733" applyFont="1" applyFill="1" applyBorder="1" applyAlignment="1" applyProtection="1">
      <alignment horizontal="left" wrapText="1"/>
      <protection locked="0"/>
    </xf>
    <xf numFmtId="0" fontId="170" fillId="48" borderId="76" xfId="8733" applyFont="1" applyFill="1" applyBorder="1" applyAlignment="1" applyProtection="1">
      <alignment horizontal="left" wrapText="1"/>
      <protection locked="0"/>
    </xf>
    <xf numFmtId="0" fontId="174" fillId="45" borderId="11" xfId="8733" applyFont="1" applyFill="1" applyBorder="1" applyAlignment="1">
      <alignment horizontal="center" wrapText="1"/>
    </xf>
    <xf numFmtId="0" fontId="166" fillId="45" borderId="11" xfId="8733" applyFont="1" applyFill="1" applyBorder="1" applyAlignment="1">
      <alignment horizontal="center"/>
    </xf>
    <xf numFmtId="0" fontId="166" fillId="45" borderId="76" xfId="8733" applyFont="1" applyFill="1" applyBorder="1" applyAlignment="1">
      <alignment horizontal="center"/>
    </xf>
    <xf numFmtId="0" fontId="174" fillId="45" borderId="7" xfId="8733" applyFont="1" applyFill="1" applyBorder="1" applyAlignment="1">
      <alignment horizontal="left"/>
    </xf>
    <xf numFmtId="0" fontId="174" fillId="45" borderId="96" xfId="8733" applyFont="1" applyFill="1" applyBorder="1" applyAlignment="1">
      <alignment horizontal="left"/>
    </xf>
    <xf numFmtId="0" fontId="3" fillId="48" borderId="70" xfId="8733" applyFill="1" applyBorder="1" applyAlignment="1" applyProtection="1">
      <alignment horizontal="center"/>
      <protection locked="0"/>
    </xf>
    <xf numFmtId="0" fontId="3" fillId="48" borderId="77" xfId="8733" applyFill="1" applyBorder="1" applyAlignment="1" applyProtection="1">
      <alignment horizontal="center"/>
      <protection locked="0"/>
    </xf>
    <xf numFmtId="0" fontId="170" fillId="48" borderId="3" xfId="8733" applyFont="1" applyFill="1" applyBorder="1" applyAlignment="1" applyProtection="1">
      <alignment horizontal="center"/>
      <protection locked="0"/>
    </xf>
    <xf numFmtId="0" fontId="170" fillId="48" borderId="4" xfId="8733" applyFont="1" applyFill="1" applyBorder="1" applyAlignment="1" applyProtection="1">
      <alignment horizontal="center"/>
      <protection locked="0"/>
    </xf>
    <xf numFmtId="0" fontId="170" fillId="48" borderId="81" xfId="8733" applyFont="1" applyFill="1" applyBorder="1" applyAlignment="1" applyProtection="1">
      <alignment horizontal="center"/>
      <protection locked="0"/>
    </xf>
    <xf numFmtId="0" fontId="103" fillId="45" borderId="71" xfId="8733" applyFont="1" applyFill="1" applyBorder="1" applyAlignment="1">
      <alignment horizontal="center"/>
    </xf>
    <xf numFmtId="0" fontId="170" fillId="48" borderId="3" xfId="8733" applyFont="1" applyFill="1" applyBorder="1" applyAlignment="1">
      <alignment horizontal="center"/>
    </xf>
    <xf numFmtId="0" fontId="170" fillId="48" borderId="4" xfId="8733" applyFont="1" applyFill="1" applyBorder="1" applyAlignment="1">
      <alignment horizontal="center"/>
    </xf>
    <xf numFmtId="0" fontId="170" fillId="48" borderId="81" xfId="8733" applyFont="1" applyFill="1" applyBorder="1" applyAlignment="1">
      <alignment horizontal="center"/>
    </xf>
    <xf numFmtId="0" fontId="180" fillId="45" borderId="11" xfId="8733" applyFont="1" applyFill="1" applyBorder="1" applyAlignment="1">
      <alignment horizontal="left"/>
    </xf>
    <xf numFmtId="0" fontId="180" fillId="45" borderId="76" xfId="8733" applyFont="1" applyFill="1" applyBorder="1" applyAlignment="1">
      <alignment horizontal="left"/>
    </xf>
    <xf numFmtId="0" fontId="177" fillId="45" borderId="72" xfId="8733" applyFont="1" applyFill="1" applyBorder="1" applyAlignment="1">
      <alignment horizontal="left"/>
    </xf>
    <xf numFmtId="0" fontId="177" fillId="45" borderId="11" xfId="8733" applyFont="1" applyFill="1" applyBorder="1" applyAlignment="1">
      <alignment horizontal="left"/>
    </xf>
    <xf numFmtId="0" fontId="177" fillId="45" borderId="69" xfId="8733" applyFont="1" applyFill="1" applyBorder="1" applyAlignment="1">
      <alignment horizontal="left"/>
    </xf>
    <xf numFmtId="0" fontId="177" fillId="45" borderId="70" xfId="8733" applyFont="1" applyFill="1" applyBorder="1" applyAlignment="1">
      <alignment horizontal="left"/>
    </xf>
    <xf numFmtId="0" fontId="3" fillId="51" borderId="70" xfId="8733" applyFill="1" applyBorder="1" applyAlignment="1" applyProtection="1">
      <alignment horizontal="center"/>
      <protection locked="0"/>
    </xf>
    <xf numFmtId="0" fontId="3" fillId="51" borderId="77" xfId="8733" applyFill="1" applyBorder="1" applyAlignment="1" applyProtection="1">
      <alignment horizontal="center"/>
      <protection locked="0"/>
    </xf>
    <xf numFmtId="0" fontId="103" fillId="45" borderId="67" xfId="8733" applyFont="1" applyFill="1" applyBorder="1" applyAlignment="1" applyProtection="1">
      <alignment horizontal="left" vertical="center" wrapText="1"/>
      <protection locked="0"/>
    </xf>
    <xf numFmtId="0" fontId="103" fillId="45" borderId="68" xfId="8733" applyFont="1" applyFill="1" applyBorder="1" applyAlignment="1" applyProtection="1">
      <alignment horizontal="left" vertical="center" wrapText="1"/>
      <protection locked="0"/>
    </xf>
    <xf numFmtId="0" fontId="103" fillId="45" borderId="72" xfId="8733" applyFont="1" applyFill="1" applyBorder="1" applyAlignment="1" applyProtection="1">
      <alignment horizontal="left" vertical="center" wrapText="1"/>
      <protection locked="0"/>
    </xf>
    <xf numFmtId="0" fontId="103" fillId="45" borderId="11" xfId="8733" applyFont="1" applyFill="1" applyBorder="1" applyAlignment="1" applyProtection="1">
      <alignment horizontal="left" vertical="center" wrapText="1"/>
      <protection locked="0"/>
    </xf>
    <xf numFmtId="0" fontId="170" fillId="48" borderId="68" xfId="8733" applyFont="1" applyFill="1" applyBorder="1" applyAlignment="1" applyProtection="1">
      <alignment horizontal="left" vertical="center" wrapText="1"/>
      <protection locked="0"/>
    </xf>
    <xf numFmtId="0" fontId="170" fillId="48" borderId="71" xfId="8733" applyFont="1" applyFill="1" applyBorder="1" applyAlignment="1" applyProtection="1">
      <alignment horizontal="left" vertical="center" wrapText="1"/>
      <protection locked="0"/>
    </xf>
    <xf numFmtId="0" fontId="170" fillId="48" borderId="11" xfId="8733" applyFont="1" applyFill="1" applyBorder="1" applyAlignment="1" applyProtection="1">
      <alignment horizontal="left" vertical="center" wrapText="1"/>
      <protection locked="0"/>
    </xf>
    <xf numFmtId="0" fontId="170" fillId="48" borderId="76" xfId="8733" applyFont="1" applyFill="1" applyBorder="1" applyAlignment="1" applyProtection="1">
      <alignment horizontal="left" vertical="center" wrapText="1"/>
      <protection locked="0"/>
    </xf>
    <xf numFmtId="0" fontId="173" fillId="48" borderId="72" xfId="8733" applyFont="1" applyFill="1" applyBorder="1" applyAlignment="1" applyProtection="1">
      <alignment horizontal="left" vertical="top" wrapText="1"/>
      <protection locked="0"/>
    </xf>
    <xf numFmtId="0" fontId="173" fillId="48" borderId="11" xfId="8733" applyFont="1" applyFill="1" applyBorder="1" applyAlignment="1" applyProtection="1">
      <alignment horizontal="left" vertical="top" wrapText="1"/>
      <protection locked="0"/>
    </xf>
    <xf numFmtId="0" fontId="173" fillId="48" borderId="69" xfId="8733" applyFont="1" applyFill="1" applyBorder="1" applyAlignment="1" applyProtection="1">
      <alignment horizontal="left" vertical="top" wrapText="1"/>
      <protection locked="0"/>
    </xf>
    <xf numFmtId="0" fontId="173" fillId="48" borderId="70" xfId="8733" applyFont="1" applyFill="1" applyBorder="1" applyAlignment="1" applyProtection="1">
      <alignment horizontal="left" vertical="top" wrapText="1"/>
      <protection locked="0"/>
    </xf>
    <xf numFmtId="0" fontId="170" fillId="48" borderId="11" xfId="8733" applyFont="1" applyFill="1" applyBorder="1" applyAlignment="1" applyProtection="1">
      <alignment horizontal="center" vertical="center" wrapText="1"/>
      <protection locked="0"/>
    </xf>
    <xf numFmtId="0" fontId="170" fillId="48" borderId="76" xfId="8733" applyFont="1" applyFill="1" applyBorder="1" applyAlignment="1" applyProtection="1">
      <alignment horizontal="center" vertical="center" wrapText="1"/>
      <protection locked="0"/>
    </xf>
    <xf numFmtId="0" fontId="170" fillId="48" borderId="70" xfId="8733" applyFont="1" applyFill="1" applyBorder="1" applyAlignment="1" applyProtection="1">
      <alignment horizontal="center" vertical="center" wrapText="1"/>
      <protection locked="0"/>
    </xf>
    <xf numFmtId="0" fontId="170" fillId="48" borderId="77" xfId="8733" applyFont="1" applyFill="1" applyBorder="1" applyAlignment="1" applyProtection="1">
      <alignment horizontal="center" vertical="center" wrapText="1"/>
      <protection locked="0"/>
    </xf>
    <xf numFmtId="0" fontId="103" fillId="45" borderId="71" xfId="8733" applyFont="1" applyFill="1" applyBorder="1" applyAlignment="1">
      <alignment horizontal="left" wrapText="1"/>
    </xf>
    <xf numFmtId="0" fontId="103" fillId="45" borderId="76" xfId="8733" applyFont="1" applyFill="1" applyBorder="1" applyAlignment="1">
      <alignment horizontal="left" wrapText="1"/>
    </xf>
    <xf numFmtId="0" fontId="103" fillId="45" borderId="65" xfId="8733" applyFont="1" applyFill="1" applyBorder="1" applyAlignment="1">
      <alignment horizontal="center"/>
    </xf>
    <xf numFmtId="0" fontId="103" fillId="45" borderId="29" xfId="8733" applyFont="1" applyFill="1" applyBorder="1" applyAlignment="1">
      <alignment horizontal="center"/>
    </xf>
    <xf numFmtId="0" fontId="103" fillId="45" borderId="31" xfId="8733" applyFont="1" applyFill="1" applyBorder="1" applyAlignment="1">
      <alignment horizontal="center"/>
    </xf>
    <xf numFmtId="0" fontId="166" fillId="48" borderId="90" xfId="8733" applyFont="1" applyFill="1" applyBorder="1" applyAlignment="1">
      <alignment horizontal="left"/>
    </xf>
    <xf numFmtId="0" fontId="166" fillId="48" borderId="4" xfId="8733" applyFont="1" applyFill="1" applyBorder="1" applyAlignment="1">
      <alignment horizontal="left"/>
    </xf>
    <xf numFmtId="0" fontId="166" fillId="48" borderId="5" xfId="8733" applyFont="1" applyFill="1" applyBorder="1" applyAlignment="1">
      <alignment horizontal="left"/>
    </xf>
    <xf numFmtId="0" fontId="166" fillId="45" borderId="72" xfId="8733" applyFont="1" applyFill="1" applyBorder="1" applyAlignment="1">
      <alignment horizontal="left"/>
    </xf>
    <xf numFmtId="0" fontId="166" fillId="45" borderId="11" xfId="8733" applyFont="1" applyFill="1" applyBorder="1" applyAlignment="1">
      <alignment horizontal="left"/>
    </xf>
    <xf numFmtId="0" fontId="178" fillId="48" borderId="11" xfId="8733" applyFont="1" applyFill="1" applyBorder="1" applyAlignment="1" applyProtection="1">
      <alignment horizontal="left"/>
      <protection locked="0"/>
    </xf>
    <xf numFmtId="0" fontId="178" fillId="48" borderId="76" xfId="8733" applyFont="1" applyFill="1" applyBorder="1" applyAlignment="1" applyProtection="1">
      <alignment horizontal="left"/>
      <protection locked="0"/>
    </xf>
    <xf numFmtId="0" fontId="175" fillId="48" borderId="72" xfId="8733" applyFont="1" applyFill="1" applyBorder="1" applyAlignment="1" applyProtection="1">
      <alignment horizontal="left" vertical="top"/>
      <protection locked="0"/>
    </xf>
    <xf numFmtId="0" fontId="175" fillId="48" borderId="11" xfId="8733" applyFont="1" applyFill="1" applyBorder="1" applyAlignment="1" applyProtection="1">
      <alignment horizontal="left" vertical="top"/>
      <protection locked="0"/>
    </xf>
    <xf numFmtId="0" fontId="175" fillId="48" borderId="76" xfId="8733" applyFont="1" applyFill="1" applyBorder="1" applyAlignment="1" applyProtection="1">
      <alignment horizontal="left" vertical="top"/>
      <protection locked="0"/>
    </xf>
    <xf numFmtId="0" fontId="175" fillId="48" borderId="69" xfId="8733" applyFont="1" applyFill="1" applyBorder="1" applyAlignment="1" applyProtection="1">
      <alignment horizontal="left" vertical="top"/>
      <protection locked="0"/>
    </xf>
    <xf numFmtId="0" fontId="175" fillId="48" borderId="70" xfId="8733" applyFont="1" applyFill="1" applyBorder="1" applyAlignment="1" applyProtection="1">
      <alignment horizontal="left" vertical="top"/>
      <protection locked="0"/>
    </xf>
    <xf numFmtId="0" fontId="175" fillId="48" borderId="77" xfId="8733" applyFont="1" applyFill="1" applyBorder="1" applyAlignment="1" applyProtection="1">
      <alignment horizontal="left" vertical="top"/>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03" fillId="45" borderId="72" xfId="8733" applyFont="1" applyFill="1" applyBorder="1" applyAlignment="1">
      <alignment horizontal="center"/>
    </xf>
    <xf numFmtId="0" fontId="103" fillId="45" borderId="11" xfId="8733" applyFont="1" applyFill="1" applyBorder="1" applyAlignment="1">
      <alignment horizontal="center"/>
    </xf>
    <xf numFmtId="0" fontId="166" fillId="45" borderId="11" xfId="8733" applyFont="1" applyFill="1" applyBorder="1" applyAlignment="1">
      <alignment horizontal="center" wrapText="1"/>
    </xf>
    <xf numFmtId="0" fontId="166" fillId="45" borderId="76" xfId="8733" applyFont="1" applyFill="1" applyBorder="1" applyAlignment="1">
      <alignment horizontal="center" wrapText="1"/>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75" fillId="48" borderId="11" xfId="8733"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14" fontId="175" fillId="48" borderId="11" xfId="8733" applyNumberFormat="1" applyFont="1" applyFill="1" applyBorder="1" applyAlignment="1" applyProtection="1">
      <alignment horizontal="center"/>
      <protection locked="0"/>
    </xf>
    <xf numFmtId="0" fontId="103" fillId="45" borderId="76" xfId="8733" applyFont="1" applyFill="1" applyBorder="1" applyAlignment="1">
      <alignment horizontal="center"/>
    </xf>
    <xf numFmtId="168" fontId="175" fillId="48" borderId="11" xfId="8734" applyNumberFormat="1" applyFont="1" applyFill="1" applyBorder="1" applyAlignment="1" applyProtection="1">
      <alignment horizontal="center"/>
      <protection locked="0"/>
    </xf>
    <xf numFmtId="168" fontId="175" fillId="48" borderId="76" xfId="8734" applyNumberFormat="1" applyFont="1" applyFill="1" applyBorder="1" applyAlignment="1" applyProtection="1">
      <alignment horizontal="center"/>
      <protection locked="0"/>
    </xf>
    <xf numFmtId="0" fontId="176" fillId="48" borderId="11"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6" fillId="48" borderId="70" xfId="8733" applyFont="1" applyFill="1" applyBorder="1" applyAlignment="1" applyProtection="1">
      <alignment horizontal="left"/>
      <protection locked="0"/>
    </xf>
    <xf numFmtId="0" fontId="175" fillId="48" borderId="70" xfId="8733" applyFont="1" applyFill="1" applyBorder="1" applyAlignment="1" applyProtection="1">
      <alignment horizontal="center"/>
      <protection locked="0"/>
    </xf>
    <xf numFmtId="14" fontId="175" fillId="48" borderId="70" xfId="8733" applyNumberFormat="1" applyFont="1" applyFill="1" applyBorder="1" applyAlignment="1" applyProtection="1">
      <alignment horizontal="center"/>
      <protection locked="0"/>
    </xf>
    <xf numFmtId="168" fontId="175" fillId="48" borderId="70" xfId="8734" applyNumberFormat="1" applyFont="1" applyFill="1" applyBorder="1" applyAlignment="1" applyProtection="1">
      <alignment horizontal="center"/>
      <protection locked="0"/>
    </xf>
    <xf numFmtId="168" fontId="175" fillId="48" borderId="77" xfId="8734" applyNumberFormat="1" applyFont="1" applyFill="1" applyBorder="1" applyAlignment="1" applyProtection="1">
      <alignment horizontal="center"/>
      <protection locked="0"/>
    </xf>
    <xf numFmtId="0" fontId="167" fillId="45" borderId="67" xfId="8733" applyFont="1" applyFill="1" applyBorder="1" applyAlignment="1">
      <alignment horizontal="left"/>
    </xf>
    <xf numFmtId="0" fontId="167" fillId="45" borderId="68" xfId="8733" applyFont="1" applyFill="1" applyBorder="1" applyAlignment="1">
      <alignment horizontal="left"/>
    </xf>
    <xf numFmtId="0" fontId="167" fillId="45" borderId="71" xfId="8733" applyFont="1" applyFill="1" applyBorder="1" applyAlignment="1">
      <alignment horizontal="left"/>
    </xf>
    <xf numFmtId="14" fontId="173" fillId="48" borderId="76" xfId="8733" applyNumberFormat="1" applyFont="1" applyFill="1" applyBorder="1" applyAlignment="1" applyProtection="1">
      <alignment horizontal="center"/>
      <protection locked="0"/>
    </xf>
    <xf numFmtId="0" fontId="173" fillId="48" borderId="69" xfId="8733" applyFont="1" applyFill="1" applyBorder="1" applyAlignment="1" applyProtection="1">
      <alignment horizontal="center"/>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4" fontId="173" fillId="48" borderId="77" xfId="8733" applyNumberFormat="1" applyFont="1" applyFill="1" applyBorder="1" applyAlignment="1" applyProtection="1">
      <alignment horizontal="center"/>
      <protection locked="0"/>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5" fillId="44" borderId="11" xfId="700" applyNumberFormat="1" applyFont="1" applyFill="1" applyBorder="1" applyAlignment="1">
      <alignment horizontal="left"/>
    </xf>
    <xf numFmtId="0" fontId="103" fillId="45" borderId="65" xfId="8733" applyFont="1" applyFill="1" applyBorder="1" applyAlignment="1">
      <alignment horizontal="left" wrapText="1"/>
    </xf>
    <xf numFmtId="0" fontId="103" fillId="45" borderId="29" xfId="8733" applyFont="1" applyFill="1" applyBorder="1" applyAlignment="1">
      <alignment horizontal="left" wrapText="1"/>
    </xf>
    <xf numFmtId="0" fontId="103" fillId="45" borderId="31" xfId="8733" applyFont="1" applyFill="1" applyBorder="1" applyAlignment="1">
      <alignment horizontal="left" wrapText="1"/>
    </xf>
    <xf numFmtId="0" fontId="103" fillId="45" borderId="73" xfId="8733" applyFont="1" applyFill="1" applyBorder="1" applyAlignment="1">
      <alignment horizontal="left" wrapText="1"/>
    </xf>
    <xf numFmtId="0" fontId="103" fillId="45" borderId="42" xfId="8733" applyFont="1" applyFill="1" applyBorder="1" applyAlignment="1">
      <alignment horizontal="left" wrapText="1"/>
    </xf>
    <xf numFmtId="0" fontId="103" fillId="45" borderId="44" xfId="8733" applyFont="1" applyFill="1" applyBorder="1" applyAlignment="1">
      <alignment horizontal="left" wrapText="1"/>
    </xf>
    <xf numFmtId="168" fontId="173" fillId="48" borderId="11" xfId="700" applyNumberFormat="1" applyFont="1" applyFill="1" applyBorder="1" applyAlignment="1" applyProtection="1">
      <alignment horizontal="left"/>
      <protection locked="0"/>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3" fillId="47" borderId="0" xfId="8733" applyFont="1" applyFill="1" applyAlignment="1">
      <alignment horizontal="center"/>
    </xf>
    <xf numFmtId="0" fontId="174" fillId="51" borderId="11" xfId="8733" applyFont="1" applyFill="1" applyBorder="1" applyAlignment="1">
      <alignment horizontal="center"/>
    </xf>
    <xf numFmtId="0" fontId="174" fillId="51" borderId="76" xfId="8733" applyFont="1" applyFill="1" applyBorder="1" applyAlignment="1">
      <alignment horizontal="center"/>
    </xf>
    <xf numFmtId="0" fontId="175" fillId="45" borderId="72" xfId="8733" applyFont="1" applyFill="1" applyBorder="1" applyAlignment="1">
      <alignment horizontal="right"/>
    </xf>
    <xf numFmtId="0" fontId="175" fillId="45" borderId="11" xfId="8733" applyFont="1" applyFill="1" applyBorder="1" applyAlignment="1">
      <alignment horizontal="right"/>
    </xf>
    <xf numFmtId="168" fontId="173" fillId="44" borderId="11" xfId="700" applyNumberFormat="1" applyFont="1" applyFill="1" applyBorder="1" applyAlignment="1" applyProtection="1">
      <alignment horizontal="left"/>
      <protection locked="0"/>
    </xf>
    <xf numFmtId="0" fontId="3" fillId="48" borderId="3" xfId="8733" applyFill="1" applyBorder="1" applyAlignment="1">
      <alignment horizontal="center"/>
    </xf>
    <xf numFmtId="0" fontId="3" fillId="48" borderId="4" xfId="8733" applyFill="1" applyBorder="1" applyAlignment="1">
      <alignment horizontal="center"/>
    </xf>
    <xf numFmtId="0" fontId="3" fillId="48" borderId="81" xfId="8733" applyFill="1" applyBorder="1" applyAlignment="1">
      <alignment horizontal="center"/>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3" applyFont="1" applyFill="1" applyBorder="1" applyAlignment="1">
      <alignment horizontal="center"/>
    </xf>
    <xf numFmtId="0" fontId="173" fillId="48" borderId="6" xfId="8733" applyFont="1" applyFill="1" applyBorder="1" applyAlignment="1">
      <alignment horizontal="center"/>
    </xf>
    <xf numFmtId="0" fontId="173" fillId="48" borderId="82" xfId="8733" applyFont="1" applyFill="1" applyBorder="1" applyAlignment="1">
      <alignment horizontal="center"/>
    </xf>
    <xf numFmtId="0" fontId="175" fillId="48" borderId="11" xfId="8733" applyFont="1" applyFill="1" applyBorder="1" applyAlignment="1" applyProtection="1">
      <alignment horizontal="left"/>
      <protection locked="0"/>
    </xf>
    <xf numFmtId="0" fontId="3" fillId="48" borderId="1" xfId="8733" applyFill="1" applyBorder="1" applyAlignment="1">
      <alignment horizontal="center"/>
    </xf>
    <xf numFmtId="0" fontId="3" fillId="48" borderId="2" xfId="8733" applyFill="1" applyBorder="1" applyAlignment="1">
      <alignment horizontal="center"/>
    </xf>
    <xf numFmtId="0" fontId="3" fillId="48" borderId="112" xfId="8733" applyFill="1" applyBorder="1" applyAlignment="1">
      <alignment horizontal="center"/>
    </xf>
    <xf numFmtId="0" fontId="175" fillId="48" borderId="72" xfId="8733"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0" fontId="175" fillId="45" borderId="67" xfId="8733" applyFont="1" applyFill="1" applyBorder="1" applyAlignment="1">
      <alignment horizontal="right"/>
    </xf>
    <xf numFmtId="0" fontId="175" fillId="45" borderId="68" xfId="8733"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3" applyFont="1" applyFill="1" applyBorder="1" applyAlignment="1">
      <alignment horizontal="left" wrapText="1"/>
    </xf>
    <xf numFmtId="0" fontId="172" fillId="48" borderId="0" xfId="8733" applyFont="1" applyFill="1" applyAlignment="1">
      <alignment horizontal="left" wrapText="1"/>
    </xf>
    <xf numFmtId="0" fontId="172" fillId="48" borderId="41" xfId="8733" applyFont="1" applyFill="1" applyBorder="1" applyAlignment="1">
      <alignment horizontal="left" wrapText="1"/>
    </xf>
    <xf numFmtId="0" fontId="172" fillId="48" borderId="73" xfId="8733" applyFont="1" applyFill="1" applyBorder="1" applyAlignment="1">
      <alignment horizontal="left" wrapText="1"/>
    </xf>
    <xf numFmtId="0" fontId="172" fillId="48" borderId="42" xfId="8733" applyFont="1" applyFill="1" applyBorder="1" applyAlignment="1">
      <alignment horizontal="left" wrapText="1"/>
    </xf>
    <xf numFmtId="0" fontId="172" fillId="48" borderId="44" xfId="8733" applyFont="1" applyFill="1" applyBorder="1" applyAlignment="1">
      <alignment horizontal="left" wrapText="1"/>
    </xf>
    <xf numFmtId="0" fontId="174" fillId="45" borderId="69" xfId="8733" applyFont="1" applyFill="1" applyBorder="1" applyAlignment="1">
      <alignment horizontal="right"/>
    </xf>
    <xf numFmtId="0" fontId="174" fillId="45" borderId="70" xfId="8733"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3"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3" applyFont="1" applyFill="1" applyBorder="1" applyAlignment="1" applyProtection="1">
      <alignment horizontal="center"/>
      <protection locked="0"/>
    </xf>
    <xf numFmtId="0" fontId="173" fillId="48" borderId="86" xfId="8733" applyFont="1" applyFill="1" applyBorder="1" applyAlignment="1" applyProtection="1">
      <alignment horizontal="center"/>
      <protection locked="0"/>
    </xf>
    <xf numFmtId="0" fontId="175" fillId="48" borderId="70" xfId="8733" applyFont="1" applyFill="1" applyBorder="1" applyAlignment="1" applyProtection="1">
      <alignment horizontal="left"/>
      <protection locked="0"/>
    </xf>
    <xf numFmtId="0" fontId="175" fillId="48" borderId="77" xfId="8733"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3" applyFont="1" applyFill="1" applyBorder="1" applyAlignment="1" applyProtection="1">
      <alignment horizontal="left"/>
      <protection locked="0"/>
    </xf>
    <xf numFmtId="0" fontId="173" fillId="48" borderId="86" xfId="8733" applyFont="1" applyFill="1" applyBorder="1" applyAlignment="1" applyProtection="1">
      <alignment horizontal="left"/>
      <protection locked="0"/>
    </xf>
    <xf numFmtId="0" fontId="173" fillId="48" borderId="85" xfId="8733" applyFont="1" applyFill="1" applyBorder="1" applyAlignment="1" applyProtection="1">
      <alignment horizontal="left"/>
      <protection locked="0"/>
    </xf>
    <xf numFmtId="0" fontId="103" fillId="48" borderId="80" xfId="8733" applyFont="1" applyFill="1" applyBorder="1" applyAlignment="1">
      <alignment horizontal="left"/>
    </xf>
    <xf numFmtId="0" fontId="103" fillId="48" borderId="79" xfId="8733" applyFont="1" applyFill="1" applyBorder="1" applyAlignment="1">
      <alignment horizontal="left"/>
    </xf>
    <xf numFmtId="44" fontId="3" fillId="48" borderId="84" xfId="700" applyFont="1" applyFill="1" applyBorder="1" applyAlignment="1" applyProtection="1">
      <alignment horizontal="center"/>
      <protection locked="0"/>
    </xf>
    <xf numFmtId="0" fontId="173" fillId="45" borderId="11" xfId="8733"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3" applyNumberFormat="1" applyBorder="1" applyAlignment="1">
      <alignment horizontal="center"/>
    </xf>
    <xf numFmtId="0" fontId="3" fillId="0" borderId="13" xfId="8733" applyBorder="1" applyAlignment="1">
      <alignment horizontal="center"/>
    </xf>
    <xf numFmtId="0" fontId="166" fillId="45" borderId="80" xfId="0" applyFont="1" applyFill="1" applyBorder="1" applyAlignment="1" applyProtection="1">
      <alignment horizontal="center" wrapText="1"/>
      <protection hidden="1"/>
    </xf>
    <xf numFmtId="0" fontId="166" fillId="45" borderId="79" xfId="0" applyFont="1" applyFill="1" applyBorder="1" applyAlignment="1" applyProtection="1">
      <alignment horizontal="center" wrapText="1"/>
      <protection hidden="1"/>
    </xf>
    <xf numFmtId="0" fontId="166" fillId="45" borderId="78" xfId="0" applyFont="1" applyFill="1" applyBorder="1" applyAlignment="1" applyProtection="1">
      <alignment horizontal="center" wrapText="1"/>
      <protection hidden="1"/>
    </xf>
    <xf numFmtId="0" fontId="166" fillId="45" borderId="13" xfId="0" applyFont="1" applyFill="1" applyBorder="1" applyAlignment="1" applyProtection="1">
      <alignment horizontal="left" wrapText="1"/>
      <protection hidden="1"/>
    </xf>
    <xf numFmtId="0" fontId="166" fillId="45" borderId="13" xfId="0" applyFont="1" applyFill="1" applyBorder="1" applyAlignment="1" applyProtection="1">
      <alignment horizontal="center" wrapText="1"/>
      <protection hidden="1"/>
    </xf>
    <xf numFmtId="0" fontId="172" fillId="45" borderId="11" xfId="8733"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0"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4"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68" fillId="47" borderId="65" xfId="8733" applyFont="1" applyFill="1" applyBorder="1" applyAlignment="1">
      <alignment horizontal="center"/>
    </xf>
    <xf numFmtId="0" fontId="168" fillId="47" borderId="29" xfId="8733" applyFont="1" applyFill="1" applyBorder="1" applyAlignment="1">
      <alignment horizontal="center"/>
    </xf>
    <xf numFmtId="0" fontId="168" fillId="47" borderId="31" xfId="8733" applyFont="1" applyFill="1" applyBorder="1" applyAlignment="1">
      <alignment horizontal="center"/>
    </xf>
    <xf numFmtId="0" fontId="3" fillId="47" borderId="66" xfId="8733" applyFill="1" applyBorder="1" applyAlignment="1">
      <alignment horizontal="center"/>
    </xf>
    <xf numFmtId="0" fontId="3" fillId="47" borderId="0" xfId="8733" applyFill="1" applyAlignment="1">
      <alignment horizontal="center"/>
    </xf>
    <xf numFmtId="0" fontId="3" fillId="47" borderId="41" xfId="8733" applyFill="1" applyBorder="1" applyAlignment="1">
      <alignment horizontal="center"/>
    </xf>
    <xf numFmtId="0" fontId="167" fillId="47" borderId="66" xfId="8733" applyFont="1" applyFill="1" applyBorder="1" applyAlignment="1">
      <alignment horizontal="center"/>
    </xf>
    <xf numFmtId="0" fontId="167" fillId="47" borderId="0" xfId="8733" applyFont="1" applyFill="1" applyAlignment="1">
      <alignment horizontal="center"/>
    </xf>
    <xf numFmtId="0" fontId="167" fillId="47" borderId="41" xfId="8733" applyFont="1" applyFill="1" applyBorder="1" applyAlignment="1">
      <alignment horizontal="center"/>
    </xf>
    <xf numFmtId="0" fontId="103" fillId="47" borderId="66" xfId="8733" applyFont="1" applyFill="1" applyBorder="1" applyAlignment="1">
      <alignment horizontal="center"/>
    </xf>
    <xf numFmtId="0" fontId="103" fillId="47" borderId="41" xfId="8733" applyFont="1" applyFill="1" applyBorder="1" applyAlignment="1">
      <alignment horizontal="center"/>
    </xf>
    <xf numFmtId="0" fontId="103" fillId="47" borderId="0" xfId="8733" applyFont="1" applyFill="1" applyAlignment="1">
      <alignment horizontal="left"/>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4"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03" fillId="44" borderId="0" xfId="8733" applyFont="1" applyFill="1" applyAlignment="1">
      <alignment horizontal="left"/>
    </xf>
    <xf numFmtId="0" fontId="3" fillId="48" borderId="80" xfId="8733" applyFill="1" applyBorder="1" applyAlignment="1" applyProtection="1">
      <alignment horizontal="left"/>
      <protection locked="0"/>
    </xf>
    <xf numFmtId="0" fontId="3" fillId="48" borderId="79" xfId="8733" applyFill="1" applyBorder="1" applyAlignment="1" applyProtection="1">
      <alignment horizontal="left"/>
      <protection locked="0"/>
    </xf>
    <xf numFmtId="0" fontId="3" fillId="48" borderId="78" xfId="8733" applyFill="1" applyBorder="1" applyAlignment="1" applyProtection="1">
      <alignment horizontal="left"/>
      <protection locked="0"/>
    </xf>
    <xf numFmtId="0" fontId="166" fillId="44" borderId="0" xfId="8733" applyFont="1" applyFill="1" applyAlignment="1">
      <alignment horizontal="left" vertical="top"/>
    </xf>
    <xf numFmtId="0" fontId="103" fillId="44" borderId="0" xfId="8730" applyFont="1" applyFill="1" applyBorder="1" applyAlignment="1">
      <alignment horizontal="left" vertical="top"/>
    </xf>
    <xf numFmtId="14" fontId="3" fillId="48" borderId="80" xfId="8733" applyNumberFormat="1" applyFill="1" applyBorder="1" applyAlignment="1" applyProtection="1">
      <alignment horizontal="center"/>
      <protection locked="0"/>
    </xf>
    <xf numFmtId="14" fontId="3" fillId="48" borderId="79" xfId="8733" applyNumberFormat="1" applyFill="1" applyBorder="1" applyAlignment="1" applyProtection="1">
      <alignment horizontal="center"/>
      <protection locked="0"/>
    </xf>
    <xf numFmtId="14" fontId="3" fillId="48" borderId="78" xfId="8733" applyNumberFormat="1" applyFill="1" applyBorder="1" applyAlignment="1" applyProtection="1">
      <alignment horizontal="center"/>
      <protection locked="0"/>
    </xf>
    <xf numFmtId="0" fontId="167" fillId="47" borderId="0" xfId="8733" applyFont="1" applyFill="1" applyAlignment="1">
      <alignment horizontal="left" vertical="top" wrapText="1"/>
    </xf>
    <xf numFmtId="0" fontId="103" fillId="47" borderId="42" xfId="8733" applyFont="1" applyFill="1" applyBorder="1" applyAlignment="1">
      <alignment horizontal="center"/>
    </xf>
    <xf numFmtId="0" fontId="3" fillId="48" borderId="80" xfId="8733" applyFill="1" applyBorder="1" applyAlignment="1" applyProtection="1">
      <alignment horizontal="center"/>
      <protection locked="0"/>
    </xf>
    <xf numFmtId="0" fontId="3" fillId="48" borderId="79" xfId="8733" applyFill="1" applyBorder="1" applyAlignment="1" applyProtection="1">
      <alignment horizontal="center"/>
      <protection locked="0"/>
    </xf>
    <xf numFmtId="0" fontId="3" fillId="48" borderId="78" xfId="8733" applyFill="1" applyBorder="1" applyAlignment="1" applyProtection="1">
      <alignment horizontal="center"/>
      <protection locked="0"/>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0" fontId="18" fillId="45" borderId="11" xfId="4495" applyFont="1"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168" fontId="18" fillId="0" borderId="0" xfId="1192" applyNumberFormat="1" applyAlignment="1">
      <alignment horizontal="right"/>
    </xf>
    <xf numFmtId="0" fontId="143" fillId="0" borderId="0" xfId="1192" applyFont="1" applyAlignment="1">
      <alignment horizontal="center"/>
    </xf>
    <xf numFmtId="168" fontId="18" fillId="43" borderId="6" xfId="543" applyNumberFormat="1" applyFill="1" applyBorder="1" applyAlignment="1" applyProtection="1">
      <alignment horizontal="center"/>
      <protection locked="0"/>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168" fontId="18" fillId="0" borderId="6" xfId="1192" applyNumberFormat="1" applyBorder="1" applyAlignment="1">
      <alignment horizontal="right"/>
    </xf>
    <xf numFmtId="168" fontId="18" fillId="0" borderId="4" xfId="1192" applyNumberFormat="1" applyBorder="1" applyAlignment="1">
      <alignment horizontal="right"/>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0" fontId="26" fillId="0" borderId="2" xfId="4495" applyNumberFormat="1" applyFont="1" applyBorder="1" applyAlignment="1">
      <alignment horizontal="center"/>
    </xf>
    <xf numFmtId="0" fontId="26" fillId="0" borderId="0" xfId="4495" applyFont="1" applyAlignment="1">
      <alignment horizontal="center"/>
    </xf>
    <xf numFmtId="9" fontId="26" fillId="5" borderId="6" xfId="4495" applyNumberFormat="1" applyFont="1" applyFill="1" applyBorder="1" applyAlignment="1">
      <alignment horizontal="left"/>
    </xf>
    <xf numFmtId="0" fontId="131"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121" fillId="5" borderId="6"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18" fillId="5" borderId="6" xfId="4495" applyFont="1" applyFill="1" applyBorder="1" applyAlignment="1" applyProtection="1">
      <alignment horizontal="center" vertical="center" wrapText="1" shrinkToFit="1"/>
      <protection locked="0"/>
    </xf>
    <xf numFmtId="0" fontId="119" fillId="0" borderId="4" xfId="1192" applyFont="1" applyBorder="1" applyAlignment="1">
      <alignment horizontal="left"/>
    </xf>
    <xf numFmtId="0" fontId="143" fillId="0" borderId="6" xfId="1192" applyFont="1" applyBorder="1" applyAlignment="1">
      <alignment horizontal="center"/>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121" fillId="0" borderId="0" xfId="4495" applyAlignment="1">
      <alignment horizontal="center"/>
    </xf>
    <xf numFmtId="0" fontId="26" fillId="5" borderId="6" xfId="4495" applyFont="1" applyFill="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25" fillId="0" borderId="0" xfId="4495" applyFont="1" applyAlignment="1">
      <alignment horizontal="right"/>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21" fillId="0" borderId="53" xfId="4495" applyBorder="1" applyAlignment="1">
      <alignment horizontal="center"/>
    </xf>
    <xf numFmtId="0" fontId="26" fillId="5" borderId="0" xfId="4495" applyFont="1" applyFill="1" applyAlignment="1">
      <alignment horizontal="left" vertical="top"/>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25" fillId="0" borderId="3" xfId="4495" applyFont="1" applyBorder="1" applyAlignment="1">
      <alignment horizontal="left"/>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25" fillId="0" borderId="0" xfId="4495" applyFont="1" applyAlignment="1">
      <alignment horizontal="center"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54" fillId="0" borderId="51" xfId="4495" applyFont="1" applyBorder="1" applyAlignment="1">
      <alignment horizontal="left" wrapText="1"/>
    </xf>
    <xf numFmtId="0" fontId="54" fillId="0" borderId="0" xfId="4495" applyFont="1" applyAlignment="1">
      <alignment horizontal="left" wrapText="1"/>
    </xf>
    <xf numFmtId="0" fontId="25" fillId="0" borderId="54" xfId="4495" applyFont="1" applyBorder="1" applyAlignment="1">
      <alignment horizontal="center" vertical="top"/>
    </xf>
    <xf numFmtId="0" fontId="131"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2" fontId="18" fillId="0" borderId="0" xfId="1192" applyNumberFormat="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0" fontId="18" fillId="0" borderId="6" xfId="1192" applyBorder="1" applyAlignment="1">
      <alignment horizontal="left"/>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123" fillId="5" borderId="6" xfId="4496" applyFont="1" applyFill="1" applyBorder="1" applyAlignment="1" applyProtection="1">
      <alignment horizontal="center"/>
      <protection locked="0"/>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43" borderId="55" xfId="4496" applyFont="1" applyFill="1" applyBorder="1" applyAlignment="1" applyProtection="1">
      <alignment horizontal="left" vertical="top" wrapText="1"/>
      <protection locked="0"/>
    </xf>
    <xf numFmtId="0" fontId="123" fillId="43" borderId="6" xfId="4496" applyFont="1" applyFill="1" applyBorder="1" applyAlignment="1" applyProtection="1">
      <alignment horizontal="left" vertical="top" wrapText="1"/>
      <protection locked="0"/>
    </xf>
    <xf numFmtId="0" fontId="123" fillId="43" borderId="56" xfId="4496" applyFont="1" applyFill="1" applyBorder="1" applyAlignment="1" applyProtection="1">
      <alignment horizontal="left" vertical="top" wrapText="1"/>
      <protection locked="0"/>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23" fillId="5" borderId="55" xfId="4496" applyFont="1" applyFill="1" applyBorder="1" applyAlignment="1" applyProtection="1">
      <alignment horizontal="center"/>
      <protection locked="0"/>
    </xf>
    <xf numFmtId="0" fontId="123" fillId="0" borderId="47" xfId="4496" applyFont="1" applyBorder="1"/>
    <xf numFmtId="0" fontId="123" fillId="0" borderId="48" xfId="4496" applyFont="1" applyBorder="1"/>
    <xf numFmtId="0" fontId="123" fillId="0" borderId="49" xfId="4496" applyFont="1" applyBorder="1"/>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168" fontId="99" fillId="0" borderId="13" xfId="4499" applyNumberFormat="1" applyFont="1" applyFill="1" applyBorder="1" applyAlignment="1" applyProtection="1">
      <alignment horizontal="left" vertical="center" indent="1"/>
    </xf>
    <xf numFmtId="168" fontId="99" fillId="0" borderId="11"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67" xfId="4496" applyFont="1" applyBorder="1" applyAlignment="1">
      <alignment horizontal="right"/>
    </xf>
    <xf numFmtId="0" fontId="99" fillId="0" borderId="68" xfId="4496" applyFont="1" applyBorder="1" applyAlignment="1">
      <alignment horizontal="right"/>
    </xf>
    <xf numFmtId="0" fontId="99" fillId="0" borderId="0" xfId="4496" applyFont="1" applyAlignment="1">
      <alignment horizontal="left" wrapText="1" indent="1"/>
    </xf>
    <xf numFmtId="49" fontId="137"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0" fontId="138"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0" fontId="99" fillId="0" borderId="72" xfId="4496" applyFont="1" applyBorder="1" applyAlignment="1">
      <alignment horizontal="right"/>
    </xf>
    <xf numFmtId="0" fontId="99" fillId="0" borderId="11"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99" fillId="0" borderId="11" xfId="4496" applyFont="1" applyBorder="1"/>
    <xf numFmtId="0" fontId="99" fillId="0" borderId="76" xfId="4496" applyFont="1" applyBorder="1"/>
    <xf numFmtId="0" fontId="99" fillId="0" borderId="70" xfId="4496" applyFont="1" applyBorder="1"/>
    <xf numFmtId="0" fontId="99" fillId="0" borderId="77" xfId="4496" applyFont="1" applyBorder="1"/>
    <xf numFmtId="0" fontId="99" fillId="0" borderId="68" xfId="4496" applyFont="1" applyBorder="1"/>
    <xf numFmtId="0" fontId="99" fillId="0" borderId="71" xfId="4496" applyFont="1" applyBorder="1"/>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21388">
    <cellStyle name="20% - Accent1" xfId="1" builtinId="30" customBuiltin="1"/>
    <cellStyle name="20% - Accent1 10" xfId="4504" xr:uid="{00000000-0005-0000-0000-000001000000}"/>
    <cellStyle name="20% - Accent1 10 2" xfId="17165" xr:uid="{8913AF99-7328-4B4C-A199-382D918B9F09}"/>
    <cellStyle name="20% - Accent1 11" xfId="8736" xr:uid="{F7649D34-F33F-42DC-9255-4B04F1AC2FA8}"/>
    <cellStyle name="20% - Accent1 12" xfId="12947" xr:uid="{673C7C35-9E97-4623-AFB9-076D241C26B6}"/>
    <cellStyle name="20% - Accent1 2" xfId="2" xr:uid="{00000000-0005-0000-0000-000002000000}"/>
    <cellStyle name="20% - Accent1 2 10" xfId="8737" xr:uid="{7F2DCA39-9048-4CC0-AF88-E0D8823FEF19}"/>
    <cellStyle name="20% - Accent1 2 11" xfId="12948" xr:uid="{CD7B3FAC-A659-4279-9D80-1420A4272346}"/>
    <cellStyle name="20% - Accent1 2 2" xfId="3" xr:uid="{00000000-0005-0000-0000-000003000000}"/>
    <cellStyle name="20% - Accent1 2 2 10" xfId="12949" xr:uid="{B57C6BB0-D053-49CB-8EE2-F80B07189471}"/>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9727" xr:uid="{E1BAF9AE-EC1F-4669-9DF5-5F04874F1ACD}"/>
    <cellStyle name="20% - Accent1 2 2 2 2 2 3" xfId="11298" xr:uid="{FD705F0A-F93C-402A-A3B2-FC5010CBD50C}"/>
    <cellStyle name="20% - Accent1 2 2 2 2 2 4" xfId="15509" xr:uid="{AE9AFC23-2C24-41C9-8809-6799E164F126}"/>
    <cellStyle name="20% - Accent1 2 2 2 2 3" xfId="4921" xr:uid="{00000000-0005-0000-0000-000008000000}"/>
    <cellStyle name="20% - Accent1 2 2 2 2 3 2" xfId="17582" xr:uid="{8A9B319E-157D-4005-A516-86BE2847D46B}"/>
    <cellStyle name="20% - Accent1 2 2 2 2 4" xfId="9153" xr:uid="{AC607483-3B86-493F-AFF1-3B5CDC5D211E}"/>
    <cellStyle name="20% - Accent1 2 2 2 2 5" xfId="13364" xr:uid="{B8F64460-8546-4C69-B19A-CEC52EE9542A}"/>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20140" xr:uid="{D697A9A4-E146-481E-B7FE-7319250FE0B1}"/>
    <cellStyle name="20% - Accent1 2 2 2 3 2 3" xfId="11711" xr:uid="{56A07870-D5B5-4428-99FD-7DD5B89F840C}"/>
    <cellStyle name="20% - Accent1 2 2 2 3 2 4" xfId="15922" xr:uid="{54736387-F2AB-4FF1-96F6-4AFA8ABE3765}"/>
    <cellStyle name="20% - Accent1 2 2 2 3 3" xfId="5334" xr:uid="{00000000-0005-0000-0000-00000C000000}"/>
    <cellStyle name="20% - Accent1 2 2 2 3 3 2" xfId="17995" xr:uid="{263F1398-8BBC-4B25-83A5-DAD0612FE0E3}"/>
    <cellStyle name="20% - Accent1 2 2 2 3 4" xfId="9566" xr:uid="{274D3BB7-6659-40CE-B332-D2CAB3267C6F}"/>
    <cellStyle name="20% - Accent1 2 2 2 3 5" xfId="13777" xr:uid="{830ED244-B9D3-49DA-B098-64964205D91A}"/>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20553" xr:uid="{04001D6C-43DC-4640-B5E5-4B13F4B99562}"/>
    <cellStyle name="20% - Accent1 2 2 2 4 2 3" xfId="12124" xr:uid="{A4887778-C3CC-4CB3-8C04-50578BE7ED6B}"/>
    <cellStyle name="20% - Accent1 2 2 2 4 2 4" xfId="16335" xr:uid="{5552B92F-B654-4FF1-A011-E50F18564A59}"/>
    <cellStyle name="20% - Accent1 2 2 2 4 3" xfId="5747" xr:uid="{00000000-0005-0000-0000-000010000000}"/>
    <cellStyle name="20% - Accent1 2 2 2 4 3 2" xfId="18408" xr:uid="{8847CC43-921C-4B23-B63B-4846AA29ABA2}"/>
    <cellStyle name="20% - Accent1 2 2 2 4 4" xfId="9979" xr:uid="{BEF9B340-6B6D-4F67-9169-259044C454FC}"/>
    <cellStyle name="20% - Accent1 2 2 2 4 5" xfId="14190" xr:uid="{C3DFE318-1340-4424-A81C-D462EDB8D75D}"/>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20966" xr:uid="{253AD9A0-CE08-49B2-9C63-CE5B5BFEF30C}"/>
    <cellStyle name="20% - Accent1 2 2 2 5 2 3" xfId="12537" xr:uid="{59B715F3-5979-48F2-AE36-63C72DC3CBD6}"/>
    <cellStyle name="20% - Accent1 2 2 2 5 2 4" xfId="16748" xr:uid="{93E75FEA-7274-4F31-A2AF-6B80139D782A}"/>
    <cellStyle name="20% - Accent1 2 2 2 5 3" xfId="6160" xr:uid="{00000000-0005-0000-0000-000014000000}"/>
    <cellStyle name="20% - Accent1 2 2 2 5 3 2" xfId="18821" xr:uid="{BBBDA0F4-F773-460B-A59D-A8A54BE7F8D5}"/>
    <cellStyle name="20% - Accent1 2 2 2 5 4" xfId="10392" xr:uid="{3B3973F1-5EE5-474E-8721-CBEE7085D24E}"/>
    <cellStyle name="20% - Accent1 2 2 2 5 5" xfId="14603" xr:uid="{101E7E01-E5D4-48F0-9785-B0A55049221D}"/>
    <cellStyle name="20% - Accent1 2 2 2 6" xfId="2267" xr:uid="{00000000-0005-0000-0000-000015000000}"/>
    <cellStyle name="20% - Accent1 2 2 2 6 2" xfId="6573" xr:uid="{00000000-0005-0000-0000-000016000000}"/>
    <cellStyle name="20% - Accent1 2 2 2 6 2 2" xfId="19234" xr:uid="{BB7BB6CA-D1DA-4227-9DC3-BAC12F8AE9C8}"/>
    <cellStyle name="20% - Accent1 2 2 2 6 3" xfId="10805" xr:uid="{519E1548-4B86-4BF3-A49F-6180AC94E084}"/>
    <cellStyle name="20% - Accent1 2 2 2 6 4" xfId="15016" xr:uid="{F5E62966-892F-4543-943C-A5227FBF848D}"/>
    <cellStyle name="20% - Accent1 2 2 2 7" xfId="4507" xr:uid="{00000000-0005-0000-0000-000017000000}"/>
    <cellStyle name="20% - Accent1 2 2 2 7 2" xfId="17168" xr:uid="{8BF516B9-0A86-40DB-8282-9C94C17E6825}"/>
    <cellStyle name="20% - Accent1 2 2 2 8" xfId="8739" xr:uid="{E05C9C60-F9F6-4824-ACC5-E035FC1F0CB3}"/>
    <cellStyle name="20% - Accent1 2 2 2 9" xfId="12950" xr:uid="{18E9AC61-AD1F-4B1C-A481-5DF2FD6E8ABF}"/>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9726" xr:uid="{EABA85E0-17D5-4D3B-89F3-7F9B236D6D47}"/>
    <cellStyle name="20% - Accent1 2 2 3 2 3" xfId="11297" xr:uid="{B14BF7EC-077F-4F03-B482-8B7B707285E1}"/>
    <cellStyle name="20% - Accent1 2 2 3 2 4" xfId="15508" xr:uid="{42C70333-F5DC-46E5-8AD7-0180774FF093}"/>
    <cellStyle name="20% - Accent1 2 2 3 3" xfId="4920" xr:uid="{00000000-0005-0000-0000-00001B000000}"/>
    <cellStyle name="20% - Accent1 2 2 3 3 2" xfId="17581" xr:uid="{A148E949-861C-4349-8884-74021CA767F7}"/>
    <cellStyle name="20% - Accent1 2 2 3 4" xfId="9152" xr:uid="{0B4CECC7-ACE8-4638-8533-E696C0E90C47}"/>
    <cellStyle name="20% - Accent1 2 2 3 5" xfId="13363" xr:uid="{93E806FA-F6ED-4557-9232-87627092032A}"/>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20139" xr:uid="{AEF7D4B9-AF75-4C05-8AE1-B1D2008DB145}"/>
    <cellStyle name="20% - Accent1 2 2 4 2 3" xfId="11710" xr:uid="{59EE5334-AFCD-435E-BFB3-4D5D1DD4901D}"/>
    <cellStyle name="20% - Accent1 2 2 4 2 4" xfId="15921" xr:uid="{9A54DF51-5179-4FAC-86AA-EB7FD0B01598}"/>
    <cellStyle name="20% - Accent1 2 2 4 3" xfId="5333" xr:uid="{00000000-0005-0000-0000-00001F000000}"/>
    <cellStyle name="20% - Accent1 2 2 4 3 2" xfId="17994" xr:uid="{03668934-4AA1-4F9C-991E-CFFA738A3494}"/>
    <cellStyle name="20% - Accent1 2 2 4 4" xfId="9565" xr:uid="{E3D1EA74-C0DD-4230-9353-A7E1F9566622}"/>
    <cellStyle name="20% - Accent1 2 2 4 5" xfId="13776" xr:uid="{8EE85268-ECED-4B58-9F42-5B1474D9CF6D}"/>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20552" xr:uid="{DBF6CC8F-7125-4C6E-B65A-97E7C6947D05}"/>
    <cellStyle name="20% - Accent1 2 2 5 2 3" xfId="12123" xr:uid="{EA6B0400-3940-44D0-9E0B-38FE5E4E1070}"/>
    <cellStyle name="20% - Accent1 2 2 5 2 4" xfId="16334" xr:uid="{8CA77380-5FF3-4418-8971-B17DCA377AEA}"/>
    <cellStyle name="20% - Accent1 2 2 5 3" xfId="5746" xr:uid="{00000000-0005-0000-0000-000023000000}"/>
    <cellStyle name="20% - Accent1 2 2 5 3 2" xfId="18407" xr:uid="{8A7A5DFC-1DC7-4C09-B3A6-547E1D2F50DB}"/>
    <cellStyle name="20% - Accent1 2 2 5 4" xfId="9978" xr:uid="{5BE9F9E0-A588-47BB-B519-21114534ABD4}"/>
    <cellStyle name="20% - Accent1 2 2 5 5" xfId="14189" xr:uid="{79F72B58-14A0-4CC4-9D14-F982FD7D6491}"/>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20965" xr:uid="{4AE5DE6C-15E9-45C1-B4A2-AB3EAA2D683A}"/>
    <cellStyle name="20% - Accent1 2 2 6 2 3" xfId="12536" xr:uid="{2CDBD34E-6E93-4709-AF87-C1B180BB4FC1}"/>
    <cellStyle name="20% - Accent1 2 2 6 2 4" xfId="16747" xr:uid="{90F58464-7986-4334-9BE6-461A19C8ED58}"/>
    <cellStyle name="20% - Accent1 2 2 6 3" xfId="6159" xr:uid="{00000000-0005-0000-0000-000027000000}"/>
    <cellStyle name="20% - Accent1 2 2 6 3 2" xfId="18820" xr:uid="{99BDD6B6-5E02-42AA-906C-E5D0CD635C3C}"/>
    <cellStyle name="20% - Accent1 2 2 6 4" xfId="10391" xr:uid="{898A5A53-500A-4DC1-B2BC-7672A76D00BB}"/>
    <cellStyle name="20% - Accent1 2 2 6 5" xfId="14602" xr:uid="{022145CF-BB74-4B3F-B5CE-0BBEA8A6ACFA}"/>
    <cellStyle name="20% - Accent1 2 2 7" xfId="2266" xr:uid="{00000000-0005-0000-0000-000028000000}"/>
    <cellStyle name="20% - Accent1 2 2 7 2" xfId="6572" xr:uid="{00000000-0005-0000-0000-000029000000}"/>
    <cellStyle name="20% - Accent1 2 2 7 2 2" xfId="19233" xr:uid="{41344B10-9133-4613-AE3A-D8058FBDC7D3}"/>
    <cellStyle name="20% - Accent1 2 2 7 3" xfId="10804" xr:uid="{B4384B62-9676-49F1-A1ED-66D5FA714BCC}"/>
    <cellStyle name="20% - Accent1 2 2 7 4" xfId="15015" xr:uid="{FFC0BD6C-D434-4ABA-849A-3AF667ED763E}"/>
    <cellStyle name="20% - Accent1 2 2 8" xfId="4506" xr:uid="{00000000-0005-0000-0000-00002A000000}"/>
    <cellStyle name="20% - Accent1 2 2 8 2" xfId="17167" xr:uid="{733396BE-AC32-4DC8-9557-E87BAB0C0525}"/>
    <cellStyle name="20% - Accent1 2 2 9" xfId="8738" xr:uid="{315FC6DC-74BF-465E-A10B-8151A632D7B3}"/>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9728" xr:uid="{4D21CEF7-4AEC-44AF-9737-AD23E0259EB8}"/>
    <cellStyle name="20% - Accent1 2 3 2 2 3" xfId="11299" xr:uid="{550E9021-77EC-4BB4-AA8C-BAB48E73C10E}"/>
    <cellStyle name="20% - Accent1 2 3 2 2 4" xfId="15510" xr:uid="{63B41AF7-00E4-4F41-AC13-6AA0CEEA499B}"/>
    <cellStyle name="20% - Accent1 2 3 2 3" xfId="4922" xr:uid="{00000000-0005-0000-0000-00002F000000}"/>
    <cellStyle name="20% - Accent1 2 3 2 3 2" xfId="17583" xr:uid="{2C3DCD49-B102-4B84-9115-7517D56701BD}"/>
    <cellStyle name="20% - Accent1 2 3 2 4" xfId="9154" xr:uid="{2343F0D2-9BBD-43D2-8267-D97CCC61770E}"/>
    <cellStyle name="20% - Accent1 2 3 2 5" xfId="13365" xr:uid="{AD1B469C-83D2-477F-9099-8755BC6E17BD}"/>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20141" xr:uid="{D5C8D5DA-7C99-4D95-95C3-C41F41491AB3}"/>
    <cellStyle name="20% - Accent1 2 3 3 2 3" xfId="11712" xr:uid="{A0CF9977-CFF7-49DA-874D-DEE79E72E5EA}"/>
    <cellStyle name="20% - Accent1 2 3 3 2 4" xfId="15923" xr:uid="{1BBE743D-D3AC-4ABB-8B70-0D35E0C81C5B}"/>
    <cellStyle name="20% - Accent1 2 3 3 3" xfId="5335" xr:uid="{00000000-0005-0000-0000-000033000000}"/>
    <cellStyle name="20% - Accent1 2 3 3 3 2" xfId="17996" xr:uid="{9246B06A-3A3A-4E53-ACC5-8C8CB0E88433}"/>
    <cellStyle name="20% - Accent1 2 3 3 4" xfId="9567" xr:uid="{F6E45321-2E41-42FA-8D84-F0287D429AC5}"/>
    <cellStyle name="20% - Accent1 2 3 3 5" xfId="13778" xr:uid="{F4C274C7-BA26-46E5-B8CD-FEF1B6D65C80}"/>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20554" xr:uid="{E7AC5F94-7CBD-4B1C-AEEB-60BA4D1EC500}"/>
    <cellStyle name="20% - Accent1 2 3 4 2 3" xfId="12125" xr:uid="{C3D9F569-6973-42AB-8BDA-CA07F7263089}"/>
    <cellStyle name="20% - Accent1 2 3 4 2 4" xfId="16336" xr:uid="{1B07FCF6-16CF-4D51-90FC-DDF8F11C6B95}"/>
    <cellStyle name="20% - Accent1 2 3 4 3" xfId="5748" xr:uid="{00000000-0005-0000-0000-000037000000}"/>
    <cellStyle name="20% - Accent1 2 3 4 3 2" xfId="18409" xr:uid="{F5A3E4AF-CDE7-41C5-BE88-A805D68A3877}"/>
    <cellStyle name="20% - Accent1 2 3 4 4" xfId="9980" xr:uid="{A131380B-F85D-463A-9C1B-74F2F0D5EF2F}"/>
    <cellStyle name="20% - Accent1 2 3 4 5" xfId="14191" xr:uid="{E07F5674-4E42-4170-A2B9-043781B6BA21}"/>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20967" xr:uid="{6570BE22-66D0-40C2-A1AF-56A78E2D4FD4}"/>
    <cellStyle name="20% - Accent1 2 3 5 2 3" xfId="12538" xr:uid="{BDF4A71C-2821-4275-B566-15A2A0B72E3E}"/>
    <cellStyle name="20% - Accent1 2 3 5 2 4" xfId="16749" xr:uid="{10CF2ACF-BB72-497A-8CA6-1A0ADC5A821D}"/>
    <cellStyle name="20% - Accent1 2 3 5 3" xfId="6161" xr:uid="{00000000-0005-0000-0000-00003B000000}"/>
    <cellStyle name="20% - Accent1 2 3 5 3 2" xfId="18822" xr:uid="{537C0001-B434-478E-BE0D-E0E62A18A3F9}"/>
    <cellStyle name="20% - Accent1 2 3 5 4" xfId="10393" xr:uid="{D25A7238-9899-498A-9C46-B1F7D214F58A}"/>
    <cellStyle name="20% - Accent1 2 3 5 5" xfId="14604" xr:uid="{F9E785EF-3E05-4A9D-800D-10D9C68E3DB2}"/>
    <cellStyle name="20% - Accent1 2 3 6" xfId="2268" xr:uid="{00000000-0005-0000-0000-00003C000000}"/>
    <cellStyle name="20% - Accent1 2 3 6 2" xfId="6574" xr:uid="{00000000-0005-0000-0000-00003D000000}"/>
    <cellStyle name="20% - Accent1 2 3 6 2 2" xfId="19235" xr:uid="{A763E4E3-842D-496E-A611-13DB2037DC7B}"/>
    <cellStyle name="20% - Accent1 2 3 6 3" xfId="10806" xr:uid="{78631024-DD42-4CEA-8040-AA90B24546E9}"/>
    <cellStyle name="20% - Accent1 2 3 6 4" xfId="15017" xr:uid="{CDBEA151-9E87-4C96-803D-9A874BA51A54}"/>
    <cellStyle name="20% - Accent1 2 3 7" xfId="4508" xr:uid="{00000000-0005-0000-0000-00003E000000}"/>
    <cellStyle name="20% - Accent1 2 3 7 2" xfId="17169" xr:uid="{28735601-FA67-429A-A6FD-D333334D357B}"/>
    <cellStyle name="20% - Accent1 2 3 8" xfId="8740" xr:uid="{1111E62A-C532-47C9-AD89-E7FEF1F13E8A}"/>
    <cellStyle name="20% - Accent1 2 3 9" xfId="12951" xr:uid="{4D77A328-4548-4EB3-BFAE-DC7C86D82FA7}"/>
    <cellStyle name="20% - Accent1 2 4" xfId="571" xr:uid="{00000000-0005-0000-0000-00003F000000}"/>
    <cellStyle name="20% - Accent1 2 4 2" xfId="2842" xr:uid="{00000000-0005-0000-0000-000040000000}"/>
    <cellStyle name="20% - Accent1 2 4 2 2" xfId="7064" xr:uid="{00000000-0005-0000-0000-000041000000}"/>
    <cellStyle name="20% - Accent1 2 4 2 2 2" xfId="19725" xr:uid="{A8BEAA5B-5A67-443B-BCD3-2DCF7407A9E0}"/>
    <cellStyle name="20% - Accent1 2 4 2 3" xfId="11296" xr:uid="{B9828E66-FFF9-4105-8EA3-743D0B023FA1}"/>
    <cellStyle name="20% - Accent1 2 4 2 4" xfId="15507" xr:uid="{C5AF8598-FF22-485C-95E7-94D07CDD449D}"/>
    <cellStyle name="20% - Accent1 2 4 3" xfId="4919" xr:uid="{00000000-0005-0000-0000-000042000000}"/>
    <cellStyle name="20% - Accent1 2 4 3 2" xfId="17580" xr:uid="{2B024981-ADD4-4E31-B534-1D47BB104F84}"/>
    <cellStyle name="20% - Accent1 2 4 4" xfId="9151" xr:uid="{7EDE895E-270A-4DE9-A2AD-DDF65E1BAD48}"/>
    <cellStyle name="20% - Accent1 2 4 5" xfId="13362" xr:uid="{DF54A153-CDCF-4782-8D7E-621D90C675A9}"/>
    <cellStyle name="20% - Accent1 2 5" xfId="1024" xr:uid="{00000000-0005-0000-0000-000043000000}"/>
    <cellStyle name="20% - Accent1 2 5 2" xfId="3255" xr:uid="{00000000-0005-0000-0000-000044000000}"/>
    <cellStyle name="20% - Accent1 2 5 2 2" xfId="7477" xr:uid="{00000000-0005-0000-0000-000045000000}"/>
    <cellStyle name="20% - Accent1 2 5 2 2 2" xfId="20138" xr:uid="{94A8D6BE-CD86-47F9-9B66-BD9F48EF6C46}"/>
    <cellStyle name="20% - Accent1 2 5 2 3" xfId="11709" xr:uid="{0A2F06D6-809C-4BEF-947A-C9E1D2EDF530}"/>
    <cellStyle name="20% - Accent1 2 5 2 4" xfId="15920" xr:uid="{5B3FAA3D-7D7E-47EA-8ED4-496816B99884}"/>
    <cellStyle name="20% - Accent1 2 5 3" xfId="5332" xr:uid="{00000000-0005-0000-0000-000046000000}"/>
    <cellStyle name="20% - Accent1 2 5 3 2" xfId="17993" xr:uid="{E8F73657-EBED-41A6-9515-4A24B5470EB2}"/>
    <cellStyle name="20% - Accent1 2 5 4" xfId="9564" xr:uid="{B4B12AB8-A0DC-4853-94D2-5DFF6C9367B6}"/>
    <cellStyle name="20% - Accent1 2 5 5" xfId="13775" xr:uid="{D6582F32-815E-4918-A6CE-92E0CEFF1C74}"/>
    <cellStyle name="20% - Accent1 2 6" xfId="1438" xr:uid="{00000000-0005-0000-0000-000047000000}"/>
    <cellStyle name="20% - Accent1 2 6 2" xfId="3668" xr:uid="{00000000-0005-0000-0000-000048000000}"/>
    <cellStyle name="20% - Accent1 2 6 2 2" xfId="7890" xr:uid="{00000000-0005-0000-0000-000049000000}"/>
    <cellStyle name="20% - Accent1 2 6 2 2 2" xfId="20551" xr:uid="{6AD67D2C-21BA-4187-A75D-4DB829CD1D22}"/>
    <cellStyle name="20% - Accent1 2 6 2 3" xfId="12122" xr:uid="{F816A31D-8337-4DBB-9387-12A021EBB224}"/>
    <cellStyle name="20% - Accent1 2 6 2 4" xfId="16333" xr:uid="{493B3C25-4508-4ED1-B3C1-54C790369787}"/>
    <cellStyle name="20% - Accent1 2 6 3" xfId="5745" xr:uid="{00000000-0005-0000-0000-00004A000000}"/>
    <cellStyle name="20% - Accent1 2 6 3 2" xfId="18406" xr:uid="{040E783B-0FCB-452D-8866-B287789C1F15}"/>
    <cellStyle name="20% - Accent1 2 6 4" xfId="9977" xr:uid="{932E0839-7349-42D3-A639-B1E2E94DECA8}"/>
    <cellStyle name="20% - Accent1 2 6 5" xfId="14188" xr:uid="{C8638DA2-F8DC-46EF-A09A-4725CA9A19C0}"/>
    <cellStyle name="20% - Accent1 2 7" xfId="1852" xr:uid="{00000000-0005-0000-0000-00004B000000}"/>
    <cellStyle name="20% - Accent1 2 7 2" xfId="4081" xr:uid="{00000000-0005-0000-0000-00004C000000}"/>
    <cellStyle name="20% - Accent1 2 7 2 2" xfId="8303" xr:uid="{00000000-0005-0000-0000-00004D000000}"/>
    <cellStyle name="20% - Accent1 2 7 2 2 2" xfId="20964" xr:uid="{1DFAFA97-3981-4960-AB9F-DBAB10214C35}"/>
    <cellStyle name="20% - Accent1 2 7 2 3" xfId="12535" xr:uid="{688A40A2-F6DF-4563-B43E-671C7895E2B5}"/>
    <cellStyle name="20% - Accent1 2 7 2 4" xfId="16746" xr:uid="{6B0D5A58-097F-4394-A288-AD7CBA0C8EBF}"/>
    <cellStyle name="20% - Accent1 2 7 3" xfId="6158" xr:uid="{00000000-0005-0000-0000-00004E000000}"/>
    <cellStyle name="20% - Accent1 2 7 3 2" xfId="18819" xr:uid="{84D545E7-CBB2-4200-967F-73FD0D80D0CC}"/>
    <cellStyle name="20% - Accent1 2 7 4" xfId="10390" xr:uid="{37208DE5-8726-48C4-90F9-03073C2D045C}"/>
    <cellStyle name="20% - Accent1 2 7 5" xfId="14601" xr:uid="{01476D90-B876-4300-B904-F207BD1ABF04}"/>
    <cellStyle name="20% - Accent1 2 8" xfId="2265" xr:uid="{00000000-0005-0000-0000-00004F000000}"/>
    <cellStyle name="20% - Accent1 2 8 2" xfId="6571" xr:uid="{00000000-0005-0000-0000-000050000000}"/>
    <cellStyle name="20% - Accent1 2 8 2 2" xfId="19232" xr:uid="{6251D23D-4ADC-4050-A274-8991552134D9}"/>
    <cellStyle name="20% - Accent1 2 8 3" xfId="10803" xr:uid="{C59D0D4A-1ADE-48F6-937D-130E59A18D55}"/>
    <cellStyle name="20% - Accent1 2 8 4" xfId="15014" xr:uid="{00186E74-AD6F-4345-AF77-23B24D7D5BF4}"/>
    <cellStyle name="20% - Accent1 2 9" xfId="4505" xr:uid="{00000000-0005-0000-0000-000051000000}"/>
    <cellStyle name="20% - Accent1 2 9 2" xfId="17166" xr:uid="{385E0146-7354-4203-B18B-5B60AF59BA0D}"/>
    <cellStyle name="20% - Accent1 3" xfId="6" xr:uid="{00000000-0005-0000-0000-000052000000}"/>
    <cellStyle name="20% - Accent1 3 10" xfId="12952" xr:uid="{44F48511-9A40-4479-8613-382B9D9F1B4D}"/>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9730" xr:uid="{271762BA-B4EF-4073-86B0-1962D0CEF058}"/>
    <cellStyle name="20% - Accent1 3 2 2 2 3" xfId="11301" xr:uid="{2910320C-D56D-4EE2-BA38-1BC530519153}"/>
    <cellStyle name="20% - Accent1 3 2 2 2 4" xfId="15512" xr:uid="{C4D1E623-D14A-42E0-9A86-D04B44AFEBAC}"/>
    <cellStyle name="20% - Accent1 3 2 2 3" xfId="4924" xr:uid="{00000000-0005-0000-0000-000057000000}"/>
    <cellStyle name="20% - Accent1 3 2 2 3 2" xfId="17585" xr:uid="{B9E2555F-DFAD-429F-B673-72AC4AEE4918}"/>
    <cellStyle name="20% - Accent1 3 2 2 4" xfId="9156" xr:uid="{F27AA377-45C5-4A0B-85DA-799E1D7A361B}"/>
    <cellStyle name="20% - Accent1 3 2 2 5" xfId="13367" xr:uid="{F1C3FAB4-887B-40B2-8978-5D46985C9715}"/>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20143" xr:uid="{4B293CCC-535C-4D5D-8C43-77A45A1CF79C}"/>
    <cellStyle name="20% - Accent1 3 2 3 2 3" xfId="11714" xr:uid="{A27BDAC8-D13C-4C82-94A2-8C29B2D5FBD1}"/>
    <cellStyle name="20% - Accent1 3 2 3 2 4" xfId="15925" xr:uid="{D3B3AEF7-6936-47E6-8D1B-63DABF2CD238}"/>
    <cellStyle name="20% - Accent1 3 2 3 3" xfId="5337" xr:uid="{00000000-0005-0000-0000-00005B000000}"/>
    <cellStyle name="20% - Accent1 3 2 3 3 2" xfId="17998" xr:uid="{79745472-C4BC-4FE7-AABA-10323FCAD1E1}"/>
    <cellStyle name="20% - Accent1 3 2 3 4" xfId="9569" xr:uid="{8DB48518-FB45-4964-955C-0078DB6BEE79}"/>
    <cellStyle name="20% - Accent1 3 2 3 5" xfId="13780" xr:uid="{30BEBB60-377B-495D-A34D-95AAC6BE365E}"/>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20556" xr:uid="{7E96145F-0F45-4712-9C57-22C96821871F}"/>
    <cellStyle name="20% - Accent1 3 2 4 2 3" xfId="12127" xr:uid="{F60CA7F0-9793-4543-8A87-3C2D5E66576A}"/>
    <cellStyle name="20% - Accent1 3 2 4 2 4" xfId="16338" xr:uid="{7F4759A8-1549-4EC2-BA5E-9B9225BB80BD}"/>
    <cellStyle name="20% - Accent1 3 2 4 3" xfId="5750" xr:uid="{00000000-0005-0000-0000-00005F000000}"/>
    <cellStyle name="20% - Accent1 3 2 4 3 2" xfId="18411" xr:uid="{AB2B13DF-4EF8-466A-8DF8-FCA8DA05CB75}"/>
    <cellStyle name="20% - Accent1 3 2 4 4" xfId="9982" xr:uid="{3EAD3422-5900-4F75-AAD1-1A9A08797645}"/>
    <cellStyle name="20% - Accent1 3 2 4 5" xfId="14193" xr:uid="{152197CE-7E5E-4881-93F1-29C2BB2AC2DC}"/>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20969" xr:uid="{AE04697E-BDAC-4205-B6E8-B42B787487DF}"/>
    <cellStyle name="20% - Accent1 3 2 5 2 3" xfId="12540" xr:uid="{BEFF5865-3310-456E-B0E6-E568149E9F51}"/>
    <cellStyle name="20% - Accent1 3 2 5 2 4" xfId="16751" xr:uid="{A1E23D01-28DB-4458-8953-57ADEC0A9441}"/>
    <cellStyle name="20% - Accent1 3 2 5 3" xfId="6163" xr:uid="{00000000-0005-0000-0000-000063000000}"/>
    <cellStyle name="20% - Accent1 3 2 5 3 2" xfId="18824" xr:uid="{A919CC37-216C-4872-AD76-A0ABA1496757}"/>
    <cellStyle name="20% - Accent1 3 2 5 4" xfId="10395" xr:uid="{EC361891-0F94-4248-8B43-6FED4017659A}"/>
    <cellStyle name="20% - Accent1 3 2 5 5" xfId="14606" xr:uid="{FB434D5C-599D-4716-959A-0537C8CC6863}"/>
    <cellStyle name="20% - Accent1 3 2 6" xfId="2270" xr:uid="{00000000-0005-0000-0000-000064000000}"/>
    <cellStyle name="20% - Accent1 3 2 6 2" xfId="6576" xr:uid="{00000000-0005-0000-0000-000065000000}"/>
    <cellStyle name="20% - Accent1 3 2 6 2 2" xfId="19237" xr:uid="{8BA1BB15-5D02-4023-9906-E56AB1421EC8}"/>
    <cellStyle name="20% - Accent1 3 2 6 3" xfId="10808" xr:uid="{8CFA3CD8-8DD7-4AD0-83CD-21A6B9C65E40}"/>
    <cellStyle name="20% - Accent1 3 2 6 4" xfId="15019" xr:uid="{9021DAC9-E150-4E60-8742-A5091376B3AF}"/>
    <cellStyle name="20% - Accent1 3 2 7" xfId="4510" xr:uid="{00000000-0005-0000-0000-000066000000}"/>
    <cellStyle name="20% - Accent1 3 2 7 2" xfId="17171" xr:uid="{4FE53F67-ECE9-4C18-9BFE-76BAA04B24B5}"/>
    <cellStyle name="20% - Accent1 3 2 8" xfId="8742" xr:uid="{B3EF05C3-D92F-4036-9958-9DD1DE29BFA2}"/>
    <cellStyle name="20% - Accent1 3 2 9" xfId="12953" xr:uid="{FF9CB160-080A-418D-BA56-7ED556AA8814}"/>
    <cellStyle name="20% - Accent1 3 3" xfId="575" xr:uid="{00000000-0005-0000-0000-000067000000}"/>
    <cellStyle name="20% - Accent1 3 3 2" xfId="2846" xr:uid="{00000000-0005-0000-0000-000068000000}"/>
    <cellStyle name="20% - Accent1 3 3 2 2" xfId="7068" xr:uid="{00000000-0005-0000-0000-000069000000}"/>
    <cellStyle name="20% - Accent1 3 3 2 2 2" xfId="19729" xr:uid="{DB48F835-7D26-4496-A2F7-66853A32AB73}"/>
    <cellStyle name="20% - Accent1 3 3 2 3" xfId="11300" xr:uid="{944E9801-954A-4A7F-A768-120B80945C97}"/>
    <cellStyle name="20% - Accent1 3 3 2 4" xfId="15511" xr:uid="{3E398DFD-3AC8-461E-958F-25E036DCEB7B}"/>
    <cellStyle name="20% - Accent1 3 3 3" xfId="4923" xr:uid="{00000000-0005-0000-0000-00006A000000}"/>
    <cellStyle name="20% - Accent1 3 3 3 2" xfId="17584" xr:uid="{C69755E3-32C6-41CF-8789-18F3AFC7E4AE}"/>
    <cellStyle name="20% - Accent1 3 3 4" xfId="9155" xr:uid="{F31CF379-434C-4D0F-A36A-22C23254A148}"/>
    <cellStyle name="20% - Accent1 3 3 5" xfId="13366" xr:uid="{CD48A465-5FC2-4C0C-AE6E-D81C21704917}"/>
    <cellStyle name="20% - Accent1 3 4" xfId="1028" xr:uid="{00000000-0005-0000-0000-00006B000000}"/>
    <cellStyle name="20% - Accent1 3 4 2" xfId="3259" xr:uid="{00000000-0005-0000-0000-00006C000000}"/>
    <cellStyle name="20% - Accent1 3 4 2 2" xfId="7481" xr:uid="{00000000-0005-0000-0000-00006D000000}"/>
    <cellStyle name="20% - Accent1 3 4 2 2 2" xfId="20142" xr:uid="{43D2E49D-0425-443F-8233-861611517CF4}"/>
    <cellStyle name="20% - Accent1 3 4 2 3" xfId="11713" xr:uid="{3F6D4739-78D7-40CA-A04F-80C69243152D}"/>
    <cellStyle name="20% - Accent1 3 4 2 4" xfId="15924" xr:uid="{6F75C75B-30DD-40D8-8838-EAF29B51B341}"/>
    <cellStyle name="20% - Accent1 3 4 3" xfId="5336" xr:uid="{00000000-0005-0000-0000-00006E000000}"/>
    <cellStyle name="20% - Accent1 3 4 3 2" xfId="17997" xr:uid="{700BD76F-5CC1-447F-82A8-8CB60C0BE22D}"/>
    <cellStyle name="20% - Accent1 3 4 4" xfId="9568" xr:uid="{810D501A-D738-4496-8776-96A8CDEDEDD0}"/>
    <cellStyle name="20% - Accent1 3 4 5" xfId="13779" xr:uid="{A248A845-2C98-4D0F-8AB0-DB184CB234B5}"/>
    <cellStyle name="20% - Accent1 3 5" xfId="1442" xr:uid="{00000000-0005-0000-0000-00006F000000}"/>
    <cellStyle name="20% - Accent1 3 5 2" xfId="3672" xr:uid="{00000000-0005-0000-0000-000070000000}"/>
    <cellStyle name="20% - Accent1 3 5 2 2" xfId="7894" xr:uid="{00000000-0005-0000-0000-000071000000}"/>
    <cellStyle name="20% - Accent1 3 5 2 2 2" xfId="20555" xr:uid="{2D738B56-96CB-4A51-856D-9867508F0B8A}"/>
    <cellStyle name="20% - Accent1 3 5 2 3" xfId="12126" xr:uid="{202F1D10-0A54-48A9-A6E5-49B43E8AAA21}"/>
    <cellStyle name="20% - Accent1 3 5 2 4" xfId="16337" xr:uid="{5B50CDA8-7D26-4F0F-88E7-EE1B5022F6B6}"/>
    <cellStyle name="20% - Accent1 3 5 3" xfId="5749" xr:uid="{00000000-0005-0000-0000-000072000000}"/>
    <cellStyle name="20% - Accent1 3 5 3 2" xfId="18410" xr:uid="{C58834C8-FE3A-453B-8412-986251A790C5}"/>
    <cellStyle name="20% - Accent1 3 5 4" xfId="9981" xr:uid="{114EC991-7131-4F89-B34B-7B36ED7C3A76}"/>
    <cellStyle name="20% - Accent1 3 5 5" xfId="14192" xr:uid="{9506B801-6BB2-4A38-A9D5-92E39F90D4F3}"/>
    <cellStyle name="20% - Accent1 3 6" xfId="1856" xr:uid="{00000000-0005-0000-0000-000073000000}"/>
    <cellStyle name="20% - Accent1 3 6 2" xfId="4085" xr:uid="{00000000-0005-0000-0000-000074000000}"/>
    <cellStyle name="20% - Accent1 3 6 2 2" xfId="8307" xr:uid="{00000000-0005-0000-0000-000075000000}"/>
    <cellStyle name="20% - Accent1 3 6 2 2 2" xfId="20968" xr:uid="{C54846BB-7D37-4F95-B971-41E0756EDDAD}"/>
    <cellStyle name="20% - Accent1 3 6 2 3" xfId="12539" xr:uid="{93FBFE33-D2DD-480B-A746-EF61733FA6C0}"/>
    <cellStyle name="20% - Accent1 3 6 2 4" xfId="16750" xr:uid="{98345316-A9C2-4CAC-AE9F-D9448C958016}"/>
    <cellStyle name="20% - Accent1 3 6 3" xfId="6162" xr:uid="{00000000-0005-0000-0000-000076000000}"/>
    <cellStyle name="20% - Accent1 3 6 3 2" xfId="18823" xr:uid="{EAF866E0-9CC7-4767-A17B-09064EC469FD}"/>
    <cellStyle name="20% - Accent1 3 6 4" xfId="10394" xr:uid="{E96F9D8D-CA24-42CD-A912-23093FB029DD}"/>
    <cellStyle name="20% - Accent1 3 6 5" xfId="14605" xr:uid="{989F27EA-4A0F-4D27-A292-C3B2053E36A7}"/>
    <cellStyle name="20% - Accent1 3 7" xfId="2269" xr:uid="{00000000-0005-0000-0000-000077000000}"/>
    <cellStyle name="20% - Accent1 3 7 2" xfId="6575" xr:uid="{00000000-0005-0000-0000-000078000000}"/>
    <cellStyle name="20% - Accent1 3 7 2 2" xfId="19236" xr:uid="{CF2E634B-DB0C-444E-8B36-FB0BCB11988B}"/>
    <cellStyle name="20% - Accent1 3 7 3" xfId="10807" xr:uid="{A1C11840-4B1D-4079-8ABF-76A09278D809}"/>
    <cellStyle name="20% - Accent1 3 7 4" xfId="15018" xr:uid="{66B75EC1-25A0-431D-ADCD-5C2F53588A8B}"/>
    <cellStyle name="20% - Accent1 3 8" xfId="4509" xr:uid="{00000000-0005-0000-0000-000079000000}"/>
    <cellStyle name="20% - Accent1 3 8 2" xfId="17170" xr:uid="{F41BF633-56EE-433D-8842-A2DFA542BC9A}"/>
    <cellStyle name="20% - Accent1 3 9" xfId="8741" xr:uid="{C3EC6C08-789C-464A-8C66-C9BB3FD4E6B2}"/>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9731" xr:uid="{D4FCDAC8-A77B-443E-8C8E-1207EA50CE67}"/>
    <cellStyle name="20% - Accent1 4 2 2 3" xfId="11302" xr:uid="{89D40342-1629-49C4-963D-D5BAC9843E90}"/>
    <cellStyle name="20% - Accent1 4 2 2 4" xfId="15513" xr:uid="{3FB4AAF6-FCAF-4691-BA3C-09742CC3572D}"/>
    <cellStyle name="20% - Accent1 4 2 3" xfId="4925" xr:uid="{00000000-0005-0000-0000-00007E000000}"/>
    <cellStyle name="20% - Accent1 4 2 3 2" xfId="17586" xr:uid="{24CED086-74FE-4F03-8B4E-101B1C34D5EA}"/>
    <cellStyle name="20% - Accent1 4 2 4" xfId="9157" xr:uid="{277DD6B8-FA04-4C80-94BD-92E44EE777C6}"/>
    <cellStyle name="20% - Accent1 4 2 5" xfId="13368" xr:uid="{FAF23FEC-6208-42BD-8979-7888023E29AC}"/>
    <cellStyle name="20% - Accent1 4 3" xfId="1030" xr:uid="{00000000-0005-0000-0000-00007F000000}"/>
    <cellStyle name="20% - Accent1 4 3 2" xfId="3261" xr:uid="{00000000-0005-0000-0000-000080000000}"/>
    <cellStyle name="20% - Accent1 4 3 2 2" xfId="7483" xr:uid="{00000000-0005-0000-0000-000081000000}"/>
    <cellStyle name="20% - Accent1 4 3 2 2 2" xfId="20144" xr:uid="{767C5F54-3E60-4670-A8F0-A6D1D4259A4A}"/>
    <cellStyle name="20% - Accent1 4 3 2 3" xfId="11715" xr:uid="{09ADFB25-ABDF-4903-A1CD-2D95D473DF05}"/>
    <cellStyle name="20% - Accent1 4 3 2 4" xfId="15926" xr:uid="{429C390A-04CE-4981-ADA5-FFD9F3CFAD3A}"/>
    <cellStyle name="20% - Accent1 4 3 3" xfId="5338" xr:uid="{00000000-0005-0000-0000-000082000000}"/>
    <cellStyle name="20% - Accent1 4 3 3 2" xfId="17999" xr:uid="{7E3F0C8A-514A-47AE-A1B4-5F93BA1544DF}"/>
    <cellStyle name="20% - Accent1 4 3 4" xfId="9570" xr:uid="{4DE40162-7C73-44B2-90E8-C1DD876B3B32}"/>
    <cellStyle name="20% - Accent1 4 3 5" xfId="13781" xr:uid="{A561295F-DAF1-4CCC-8C24-41813C96849E}"/>
    <cellStyle name="20% - Accent1 4 4" xfId="1444" xr:uid="{00000000-0005-0000-0000-000083000000}"/>
    <cellStyle name="20% - Accent1 4 4 2" xfId="3674" xr:uid="{00000000-0005-0000-0000-000084000000}"/>
    <cellStyle name="20% - Accent1 4 4 2 2" xfId="7896" xr:uid="{00000000-0005-0000-0000-000085000000}"/>
    <cellStyle name="20% - Accent1 4 4 2 2 2" xfId="20557" xr:uid="{1115C8F1-76E3-46E8-A165-D6B463E46BAB}"/>
    <cellStyle name="20% - Accent1 4 4 2 3" xfId="12128" xr:uid="{C2B94F28-6FF9-493D-BD81-C1A0FAFDFF19}"/>
    <cellStyle name="20% - Accent1 4 4 2 4" xfId="16339" xr:uid="{24BE43F8-E5AD-40B8-99F7-C6B222020A0F}"/>
    <cellStyle name="20% - Accent1 4 4 3" xfId="5751" xr:uid="{00000000-0005-0000-0000-000086000000}"/>
    <cellStyle name="20% - Accent1 4 4 3 2" xfId="18412" xr:uid="{390E2488-BC40-4CDC-AA26-01146D8F5010}"/>
    <cellStyle name="20% - Accent1 4 4 4" xfId="9983" xr:uid="{86C92C36-767E-4CC3-92BE-CAEF9CE3D8B6}"/>
    <cellStyle name="20% - Accent1 4 4 5" xfId="14194" xr:uid="{D2C71ACF-4BE7-442C-AE8D-C593BC63CE7B}"/>
    <cellStyle name="20% - Accent1 4 5" xfId="1858" xr:uid="{00000000-0005-0000-0000-000087000000}"/>
    <cellStyle name="20% - Accent1 4 5 2" xfId="4087" xr:uid="{00000000-0005-0000-0000-000088000000}"/>
    <cellStyle name="20% - Accent1 4 5 2 2" xfId="8309" xr:uid="{00000000-0005-0000-0000-000089000000}"/>
    <cellStyle name="20% - Accent1 4 5 2 2 2" xfId="20970" xr:uid="{F8540E02-A616-4473-8D8B-48BA61684984}"/>
    <cellStyle name="20% - Accent1 4 5 2 3" xfId="12541" xr:uid="{97A73472-2A84-422C-ACB3-2EB7A10C4222}"/>
    <cellStyle name="20% - Accent1 4 5 2 4" xfId="16752" xr:uid="{BA40769E-C9D3-4CB8-88E6-B617DA840251}"/>
    <cellStyle name="20% - Accent1 4 5 3" xfId="6164" xr:uid="{00000000-0005-0000-0000-00008A000000}"/>
    <cellStyle name="20% - Accent1 4 5 3 2" xfId="18825" xr:uid="{E123B14F-BD01-4A7A-A1B6-38124AD6B477}"/>
    <cellStyle name="20% - Accent1 4 5 4" xfId="10396" xr:uid="{E61FE5D2-3673-4312-9238-3D63F9AF3ABA}"/>
    <cellStyle name="20% - Accent1 4 5 5" xfId="14607" xr:uid="{52399AD2-4937-4714-80A6-3B68D1D69F95}"/>
    <cellStyle name="20% - Accent1 4 6" xfId="2271" xr:uid="{00000000-0005-0000-0000-00008B000000}"/>
    <cellStyle name="20% - Accent1 4 6 2" xfId="6577" xr:uid="{00000000-0005-0000-0000-00008C000000}"/>
    <cellStyle name="20% - Accent1 4 6 2 2" xfId="19238" xr:uid="{E5543FBF-9D93-4CF4-98CC-172D7290E072}"/>
    <cellStyle name="20% - Accent1 4 6 3" xfId="10809" xr:uid="{4708B443-36BE-47F6-BC62-C077F5D758A9}"/>
    <cellStyle name="20% - Accent1 4 6 4" xfId="15020" xr:uid="{0D25702D-AD62-4522-A80E-AB207A9A7F30}"/>
    <cellStyle name="20% - Accent1 4 7" xfId="4511" xr:uid="{00000000-0005-0000-0000-00008D000000}"/>
    <cellStyle name="20% - Accent1 4 7 2" xfId="17172" xr:uid="{7999CCCF-BB5A-42D0-8197-116903F17005}"/>
    <cellStyle name="20% - Accent1 4 8" xfId="8743" xr:uid="{977170A7-EA6E-4242-9791-D329888EC7DD}"/>
    <cellStyle name="20% - Accent1 4 9" xfId="12954" xr:uid="{05A1F655-70DF-4334-93B4-EDF62096E91C}"/>
    <cellStyle name="20% - Accent1 5" xfId="570" xr:uid="{00000000-0005-0000-0000-00008E000000}"/>
    <cellStyle name="20% - Accent1 5 2" xfId="2841" xr:uid="{00000000-0005-0000-0000-00008F000000}"/>
    <cellStyle name="20% - Accent1 5 2 2" xfId="7063" xr:uid="{00000000-0005-0000-0000-000090000000}"/>
    <cellStyle name="20% - Accent1 5 2 2 2" xfId="19724" xr:uid="{93D6E2EF-86FF-461F-9A52-E8E8730EAD7D}"/>
    <cellStyle name="20% - Accent1 5 2 3" xfId="11295" xr:uid="{D903655F-B09C-417B-8C01-BF4014CE2B47}"/>
    <cellStyle name="20% - Accent1 5 2 4" xfId="15506" xr:uid="{27188BA9-2C7B-44B4-BEFB-5A3FDA54D424}"/>
    <cellStyle name="20% - Accent1 5 3" xfId="4918" xr:uid="{00000000-0005-0000-0000-000091000000}"/>
    <cellStyle name="20% - Accent1 5 3 2" xfId="17579" xr:uid="{C7AD7676-2781-4FB4-89DF-EF1FA390215B}"/>
    <cellStyle name="20% - Accent1 5 4" xfId="9150" xr:uid="{988B3513-AFFB-46DF-9287-8883030A101A}"/>
    <cellStyle name="20% - Accent1 5 5" xfId="13361" xr:uid="{92CB8E10-5606-4B7F-8BB2-F8745687A8B1}"/>
    <cellStyle name="20% - Accent1 6" xfId="1023" xr:uid="{00000000-0005-0000-0000-000092000000}"/>
    <cellStyle name="20% - Accent1 6 2" xfId="3254" xr:uid="{00000000-0005-0000-0000-000093000000}"/>
    <cellStyle name="20% - Accent1 6 2 2" xfId="7476" xr:uid="{00000000-0005-0000-0000-000094000000}"/>
    <cellStyle name="20% - Accent1 6 2 2 2" xfId="20137" xr:uid="{68D601F7-73C8-48C8-867F-54B640EA1CE8}"/>
    <cellStyle name="20% - Accent1 6 2 3" xfId="11708" xr:uid="{BF71675B-0D61-439C-A726-848CB8ED6A00}"/>
    <cellStyle name="20% - Accent1 6 2 4" xfId="15919" xr:uid="{D218E457-6514-4069-87E6-A895EFAE0951}"/>
    <cellStyle name="20% - Accent1 6 3" xfId="5331" xr:uid="{00000000-0005-0000-0000-000095000000}"/>
    <cellStyle name="20% - Accent1 6 3 2" xfId="17992" xr:uid="{43E88477-8086-4347-BBDD-968F82F60511}"/>
    <cellStyle name="20% - Accent1 6 4" xfId="9563" xr:uid="{DC17921F-B8A7-4EBE-A06B-FFB4620A9A2B}"/>
    <cellStyle name="20% - Accent1 6 5" xfId="13774" xr:uid="{85BDEEBB-2666-413C-BD08-36947A4AD8CF}"/>
    <cellStyle name="20% - Accent1 7" xfId="1437" xr:uid="{00000000-0005-0000-0000-000096000000}"/>
    <cellStyle name="20% - Accent1 7 2" xfId="3667" xr:uid="{00000000-0005-0000-0000-000097000000}"/>
    <cellStyle name="20% - Accent1 7 2 2" xfId="7889" xr:uid="{00000000-0005-0000-0000-000098000000}"/>
    <cellStyle name="20% - Accent1 7 2 2 2" xfId="20550" xr:uid="{8B8B5879-0F26-4118-8F89-A9C3B6CEE30D}"/>
    <cellStyle name="20% - Accent1 7 2 3" xfId="12121" xr:uid="{63ACFB47-68A5-4BA9-843D-02EF3C7D179A}"/>
    <cellStyle name="20% - Accent1 7 2 4" xfId="16332" xr:uid="{43DB6301-0A06-4E44-8366-8AD027A89EAF}"/>
    <cellStyle name="20% - Accent1 7 3" xfId="5744" xr:uid="{00000000-0005-0000-0000-000099000000}"/>
    <cellStyle name="20% - Accent1 7 3 2" xfId="18405" xr:uid="{7E85EAD8-5364-4CB8-AF46-0274A5B2F7E8}"/>
    <cellStyle name="20% - Accent1 7 4" xfId="9976" xr:uid="{5E4BC47C-65FA-43DD-8DE9-10D41DEB34CA}"/>
    <cellStyle name="20% - Accent1 7 5" xfId="14187" xr:uid="{1EE87111-8496-4EA5-8D53-00256DF7ADCF}"/>
    <cellStyle name="20% - Accent1 8" xfId="1851" xr:uid="{00000000-0005-0000-0000-00009A000000}"/>
    <cellStyle name="20% - Accent1 8 2" xfId="4080" xr:uid="{00000000-0005-0000-0000-00009B000000}"/>
    <cellStyle name="20% - Accent1 8 2 2" xfId="8302" xr:uid="{00000000-0005-0000-0000-00009C000000}"/>
    <cellStyle name="20% - Accent1 8 2 2 2" xfId="20963" xr:uid="{B73807BC-6C88-4A5E-8404-FF7973ACF02A}"/>
    <cellStyle name="20% - Accent1 8 2 3" xfId="12534" xr:uid="{6D590CAB-5FF6-4CBC-92F2-FB4173D58B96}"/>
    <cellStyle name="20% - Accent1 8 2 4" xfId="16745" xr:uid="{4F573F65-82CC-4F1B-B706-82AEA9A52F72}"/>
    <cellStyle name="20% - Accent1 8 3" xfId="6157" xr:uid="{00000000-0005-0000-0000-00009D000000}"/>
    <cellStyle name="20% - Accent1 8 3 2" xfId="18818" xr:uid="{17820DC2-0F74-4DA3-B242-9913CEB38517}"/>
    <cellStyle name="20% - Accent1 8 4" xfId="10389" xr:uid="{855E75F0-9115-4AFB-8778-F7B0EFB21277}"/>
    <cellStyle name="20% - Accent1 8 5" xfId="14600" xr:uid="{D98751F6-4584-4965-B7AA-8CAB724DA7E8}"/>
    <cellStyle name="20% - Accent1 9" xfId="2264" xr:uid="{00000000-0005-0000-0000-00009E000000}"/>
    <cellStyle name="20% - Accent1 9 2" xfId="6570" xr:uid="{00000000-0005-0000-0000-00009F000000}"/>
    <cellStyle name="20% - Accent1 9 2 2" xfId="19231" xr:uid="{5FA720D2-C371-4032-8B9E-9E199A9DBA31}"/>
    <cellStyle name="20% - Accent1 9 3" xfId="10802" xr:uid="{1042C86E-3F03-4118-9037-E2B64EB80E82}"/>
    <cellStyle name="20% - Accent1 9 4" xfId="15013" xr:uid="{13978960-855A-4313-BC27-BEAF33214F64}"/>
    <cellStyle name="20% - Accent2" xfId="9" builtinId="34" customBuiltin="1"/>
    <cellStyle name="20% - Accent2 10" xfId="4512" xr:uid="{00000000-0005-0000-0000-0000A1000000}"/>
    <cellStyle name="20% - Accent2 10 2" xfId="17173" xr:uid="{47E509A2-EC5B-4085-A904-7C887C566BDC}"/>
    <cellStyle name="20% - Accent2 11" xfId="8744" xr:uid="{18B5C2C0-6433-433A-867E-405FB75ED4D4}"/>
    <cellStyle name="20% - Accent2 12" xfId="12955" xr:uid="{4BD1F9AD-833D-4EFD-8BAB-F31E91E06310}"/>
    <cellStyle name="20% - Accent2 2" xfId="10" xr:uid="{00000000-0005-0000-0000-0000A2000000}"/>
    <cellStyle name="20% - Accent2 2 10" xfId="8745" xr:uid="{771860A6-9D6F-44FF-9F29-0468DF2BEDB7}"/>
    <cellStyle name="20% - Accent2 2 11" xfId="12956" xr:uid="{74260033-640E-42F2-BDDB-6837EEA870AB}"/>
    <cellStyle name="20% - Accent2 2 2" xfId="11" xr:uid="{00000000-0005-0000-0000-0000A3000000}"/>
    <cellStyle name="20% - Accent2 2 2 10" xfId="12957" xr:uid="{EAAD80BA-B2ED-4231-958A-8F2024DDF0D1}"/>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9735" xr:uid="{82352980-C29A-4721-8320-79105489CDDA}"/>
    <cellStyle name="20% - Accent2 2 2 2 2 2 3" xfId="11306" xr:uid="{DB7339B9-D0BC-4EDD-9296-1FBE380AE3C9}"/>
    <cellStyle name="20% - Accent2 2 2 2 2 2 4" xfId="15517" xr:uid="{1829ABE6-DDEA-4C74-92A5-9E45661F1F80}"/>
    <cellStyle name="20% - Accent2 2 2 2 2 3" xfId="4929" xr:uid="{00000000-0005-0000-0000-0000A8000000}"/>
    <cellStyle name="20% - Accent2 2 2 2 2 3 2" xfId="17590" xr:uid="{55FDB4C8-1323-441F-9795-62F81525FC6E}"/>
    <cellStyle name="20% - Accent2 2 2 2 2 4" xfId="9161" xr:uid="{073A03A6-F76A-48AD-B324-EF5442783B7D}"/>
    <cellStyle name="20% - Accent2 2 2 2 2 5" xfId="13372" xr:uid="{A6FB8630-DA08-4D76-8A01-821D22C95BA5}"/>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20148" xr:uid="{87C5FB86-9661-44AB-AEB3-6B87B15C8AA3}"/>
    <cellStyle name="20% - Accent2 2 2 2 3 2 3" xfId="11719" xr:uid="{CDA2A24D-00BE-49AF-B0E3-400EE223FCE9}"/>
    <cellStyle name="20% - Accent2 2 2 2 3 2 4" xfId="15930" xr:uid="{2253234A-41A7-4A01-A436-6D5F35A45726}"/>
    <cellStyle name="20% - Accent2 2 2 2 3 3" xfId="5342" xr:uid="{00000000-0005-0000-0000-0000AC000000}"/>
    <cellStyle name="20% - Accent2 2 2 2 3 3 2" xfId="18003" xr:uid="{3F2074DB-E088-44D8-A728-C6A84C476025}"/>
    <cellStyle name="20% - Accent2 2 2 2 3 4" xfId="9574" xr:uid="{2814675B-43FE-4AC8-9090-3D23E4386300}"/>
    <cellStyle name="20% - Accent2 2 2 2 3 5" xfId="13785" xr:uid="{F44BFD48-963C-4C59-BF7B-C183E164C3F2}"/>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20561" xr:uid="{8ADB8940-055E-4C49-94D3-3C42BB3B410E}"/>
    <cellStyle name="20% - Accent2 2 2 2 4 2 3" xfId="12132" xr:uid="{C22AD1F5-2F2F-4E79-9E10-5DFDF8902536}"/>
    <cellStyle name="20% - Accent2 2 2 2 4 2 4" xfId="16343" xr:uid="{0626A355-5D7B-4785-88DA-E1AD8FEC140F}"/>
    <cellStyle name="20% - Accent2 2 2 2 4 3" xfId="5755" xr:uid="{00000000-0005-0000-0000-0000B0000000}"/>
    <cellStyle name="20% - Accent2 2 2 2 4 3 2" xfId="18416" xr:uid="{E7990E3B-2EDD-4F35-90F1-D850E17358F7}"/>
    <cellStyle name="20% - Accent2 2 2 2 4 4" xfId="9987" xr:uid="{4FAEEAB0-BE7E-422C-9358-4E6E4B7E153F}"/>
    <cellStyle name="20% - Accent2 2 2 2 4 5" xfId="14198" xr:uid="{35D69150-282A-4047-9226-F2530A6B600B}"/>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20974" xr:uid="{CD1C7EDD-ADC1-43B7-9E69-011D7FEF924C}"/>
    <cellStyle name="20% - Accent2 2 2 2 5 2 3" xfId="12545" xr:uid="{00E44161-C15C-4C06-B606-13D036CDCD24}"/>
    <cellStyle name="20% - Accent2 2 2 2 5 2 4" xfId="16756" xr:uid="{0AB6BFA0-4F7B-4158-945A-61C4C7CCB01B}"/>
    <cellStyle name="20% - Accent2 2 2 2 5 3" xfId="6168" xr:uid="{00000000-0005-0000-0000-0000B4000000}"/>
    <cellStyle name="20% - Accent2 2 2 2 5 3 2" xfId="18829" xr:uid="{E912544E-25D4-4A35-899F-DD0576CD982E}"/>
    <cellStyle name="20% - Accent2 2 2 2 5 4" xfId="10400" xr:uid="{31093D62-809D-42BC-8B66-E62164758C79}"/>
    <cellStyle name="20% - Accent2 2 2 2 5 5" xfId="14611" xr:uid="{1B6B8FCA-F64D-4793-8A72-ADF8058EC736}"/>
    <cellStyle name="20% - Accent2 2 2 2 6" xfId="2275" xr:uid="{00000000-0005-0000-0000-0000B5000000}"/>
    <cellStyle name="20% - Accent2 2 2 2 6 2" xfId="6581" xr:uid="{00000000-0005-0000-0000-0000B6000000}"/>
    <cellStyle name="20% - Accent2 2 2 2 6 2 2" xfId="19242" xr:uid="{79E4038B-BFF3-4435-8882-FADF5D768501}"/>
    <cellStyle name="20% - Accent2 2 2 2 6 3" xfId="10813" xr:uid="{3A1B42E4-C9E1-4148-8AF2-95B427653E07}"/>
    <cellStyle name="20% - Accent2 2 2 2 6 4" xfId="15024" xr:uid="{AFE14BC1-1EF1-4CB8-95E8-7A40B8E52565}"/>
    <cellStyle name="20% - Accent2 2 2 2 7" xfId="4515" xr:uid="{00000000-0005-0000-0000-0000B7000000}"/>
    <cellStyle name="20% - Accent2 2 2 2 7 2" xfId="17176" xr:uid="{895BA99F-BC67-4F76-A661-355FDFA57D9C}"/>
    <cellStyle name="20% - Accent2 2 2 2 8" xfId="8747" xr:uid="{2BB005E6-FEE9-492D-8DC5-23841A6E978C}"/>
    <cellStyle name="20% - Accent2 2 2 2 9" xfId="12958" xr:uid="{B2059897-4A67-48EB-BAC4-9F890DC6FAF4}"/>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9734" xr:uid="{D61D63D5-E290-40E3-8C98-CFEF764E7882}"/>
    <cellStyle name="20% - Accent2 2 2 3 2 3" xfId="11305" xr:uid="{F95C48DC-89DE-40B7-A447-6018E4B77DE5}"/>
    <cellStyle name="20% - Accent2 2 2 3 2 4" xfId="15516" xr:uid="{E80194FE-DB2A-4C1B-B729-BD16391FD0C1}"/>
    <cellStyle name="20% - Accent2 2 2 3 3" xfId="4928" xr:uid="{00000000-0005-0000-0000-0000BB000000}"/>
    <cellStyle name="20% - Accent2 2 2 3 3 2" xfId="17589" xr:uid="{B3213324-882B-4579-B266-312DDD0D7AC5}"/>
    <cellStyle name="20% - Accent2 2 2 3 4" xfId="9160" xr:uid="{4D3FD6F2-4179-4D91-932E-A4090E22562E}"/>
    <cellStyle name="20% - Accent2 2 2 3 5" xfId="13371" xr:uid="{DBBA7AEF-1094-4257-9E58-7147A4BC0BB7}"/>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20147" xr:uid="{A7F27BF8-628A-4538-ABDA-4A1151389D44}"/>
    <cellStyle name="20% - Accent2 2 2 4 2 3" xfId="11718" xr:uid="{1246E2A2-C46D-467F-A22B-4DE993CB2516}"/>
    <cellStyle name="20% - Accent2 2 2 4 2 4" xfId="15929" xr:uid="{3841D84C-8D6A-4435-9A70-E98E55DCCBE5}"/>
    <cellStyle name="20% - Accent2 2 2 4 3" xfId="5341" xr:uid="{00000000-0005-0000-0000-0000BF000000}"/>
    <cellStyle name="20% - Accent2 2 2 4 3 2" xfId="18002" xr:uid="{1A944BEA-061C-4D7E-A246-7E570B9CA120}"/>
    <cellStyle name="20% - Accent2 2 2 4 4" xfId="9573" xr:uid="{4674652B-756E-4EEE-BF8B-9B705E1B40F6}"/>
    <cellStyle name="20% - Accent2 2 2 4 5" xfId="13784" xr:uid="{7DF3EB67-EE8B-4075-AB7E-C8B1E647BB0B}"/>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20560" xr:uid="{F6C91C98-8A59-4B2D-9EAF-E4B27A73E6B7}"/>
    <cellStyle name="20% - Accent2 2 2 5 2 3" xfId="12131" xr:uid="{FA1066E7-B39F-468F-B6DD-0D35FE09B282}"/>
    <cellStyle name="20% - Accent2 2 2 5 2 4" xfId="16342" xr:uid="{C039CB1F-997A-42D0-B869-986FD2A29EE1}"/>
    <cellStyle name="20% - Accent2 2 2 5 3" xfId="5754" xr:uid="{00000000-0005-0000-0000-0000C3000000}"/>
    <cellStyle name="20% - Accent2 2 2 5 3 2" xfId="18415" xr:uid="{D1A18253-6820-4F12-B810-CD1DE3693B1F}"/>
    <cellStyle name="20% - Accent2 2 2 5 4" xfId="9986" xr:uid="{11996AF4-B1EC-4915-84B5-77324607F27C}"/>
    <cellStyle name="20% - Accent2 2 2 5 5" xfId="14197" xr:uid="{876CC6EF-7599-4AE4-837E-E728611F12A1}"/>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20973" xr:uid="{CBC5B7FF-9C30-41EB-B10B-34B04F5D7167}"/>
    <cellStyle name="20% - Accent2 2 2 6 2 3" xfId="12544" xr:uid="{FB61BB74-2815-4BEC-9701-27A3B084EEE7}"/>
    <cellStyle name="20% - Accent2 2 2 6 2 4" xfId="16755" xr:uid="{0FCB7085-8815-4B21-A1D1-959C13C14C4A}"/>
    <cellStyle name="20% - Accent2 2 2 6 3" xfId="6167" xr:uid="{00000000-0005-0000-0000-0000C7000000}"/>
    <cellStyle name="20% - Accent2 2 2 6 3 2" xfId="18828" xr:uid="{9856CC41-B14F-4A31-854D-7F22C4AFD470}"/>
    <cellStyle name="20% - Accent2 2 2 6 4" xfId="10399" xr:uid="{2E8471E3-1E2E-47CD-A0BC-AC9C6C31C00D}"/>
    <cellStyle name="20% - Accent2 2 2 6 5" xfId="14610" xr:uid="{A71CBC80-7D24-4E9A-A0BD-C48BF24E393F}"/>
    <cellStyle name="20% - Accent2 2 2 7" xfId="2274" xr:uid="{00000000-0005-0000-0000-0000C8000000}"/>
    <cellStyle name="20% - Accent2 2 2 7 2" xfId="6580" xr:uid="{00000000-0005-0000-0000-0000C9000000}"/>
    <cellStyle name="20% - Accent2 2 2 7 2 2" xfId="19241" xr:uid="{A9AF25DC-A9CF-4EBF-807B-504A7915C90F}"/>
    <cellStyle name="20% - Accent2 2 2 7 3" xfId="10812" xr:uid="{BF260916-2BEB-4C57-8CBD-5EB8262E8730}"/>
    <cellStyle name="20% - Accent2 2 2 7 4" xfId="15023" xr:uid="{7729D225-0E3A-4BD9-BBA9-6DCFBBA157AE}"/>
    <cellStyle name="20% - Accent2 2 2 8" xfId="4514" xr:uid="{00000000-0005-0000-0000-0000CA000000}"/>
    <cellStyle name="20% - Accent2 2 2 8 2" xfId="17175" xr:uid="{E7D7D1D3-C18B-4024-AB99-1DEA94674E73}"/>
    <cellStyle name="20% - Accent2 2 2 9" xfId="8746" xr:uid="{9AE6E2C1-3947-4D5E-9AA8-A3D09A5D7D83}"/>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9736" xr:uid="{4C35FEFC-C52E-4BCF-8A9A-FCAF69E5B68B}"/>
    <cellStyle name="20% - Accent2 2 3 2 2 3" xfId="11307" xr:uid="{B7EB3F84-41B1-4E98-8CB6-602DA2C480AE}"/>
    <cellStyle name="20% - Accent2 2 3 2 2 4" xfId="15518" xr:uid="{D7BA95DB-2FF8-4C87-9DBE-E739C6FE8167}"/>
    <cellStyle name="20% - Accent2 2 3 2 3" xfId="4930" xr:uid="{00000000-0005-0000-0000-0000CF000000}"/>
    <cellStyle name="20% - Accent2 2 3 2 3 2" xfId="17591" xr:uid="{69C09AA4-CFF3-4C72-B462-9C340F826224}"/>
    <cellStyle name="20% - Accent2 2 3 2 4" xfId="9162" xr:uid="{B8E19F55-CF2D-4F71-A5EF-CBCD326ABB9F}"/>
    <cellStyle name="20% - Accent2 2 3 2 5" xfId="13373" xr:uid="{65748753-4EAF-4902-BB55-55E4B456CC0A}"/>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20149" xr:uid="{465647ED-77F2-4116-80B5-3B554C542179}"/>
    <cellStyle name="20% - Accent2 2 3 3 2 3" xfId="11720" xr:uid="{63A6C6A7-6763-4CFF-8BF0-A192ECC0EC71}"/>
    <cellStyle name="20% - Accent2 2 3 3 2 4" xfId="15931" xr:uid="{24739A62-739F-4892-A625-3767AF781618}"/>
    <cellStyle name="20% - Accent2 2 3 3 3" xfId="5343" xr:uid="{00000000-0005-0000-0000-0000D3000000}"/>
    <cellStyle name="20% - Accent2 2 3 3 3 2" xfId="18004" xr:uid="{7AD03CC0-AB96-4DEF-B6E1-52DE4FB62135}"/>
    <cellStyle name="20% - Accent2 2 3 3 4" xfId="9575" xr:uid="{44D5855C-8A1D-4D31-9A2B-F9148ABF082C}"/>
    <cellStyle name="20% - Accent2 2 3 3 5" xfId="13786" xr:uid="{F64AFFF3-47B3-42EF-90FF-35733AB06250}"/>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20562" xr:uid="{CA2FA45D-E572-49AC-B2CF-D8F0049B8820}"/>
    <cellStyle name="20% - Accent2 2 3 4 2 3" xfId="12133" xr:uid="{8B3D8171-6EEE-4661-A5B1-48E8EC0362F0}"/>
    <cellStyle name="20% - Accent2 2 3 4 2 4" xfId="16344" xr:uid="{0FA624D3-7227-4781-BAE3-698D0CBCDFAF}"/>
    <cellStyle name="20% - Accent2 2 3 4 3" xfId="5756" xr:uid="{00000000-0005-0000-0000-0000D7000000}"/>
    <cellStyle name="20% - Accent2 2 3 4 3 2" xfId="18417" xr:uid="{6926A21A-E629-4C4C-AA3C-46C563ECCAA1}"/>
    <cellStyle name="20% - Accent2 2 3 4 4" xfId="9988" xr:uid="{3697F0B5-9EB7-4D7B-B946-350B10859481}"/>
    <cellStyle name="20% - Accent2 2 3 4 5" xfId="14199" xr:uid="{A55A6714-91EF-48C1-97E6-F3AFEF81FDA9}"/>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20975" xr:uid="{33A66942-83FE-4B4A-9035-B073EEC0F241}"/>
    <cellStyle name="20% - Accent2 2 3 5 2 3" xfId="12546" xr:uid="{B1579600-2F66-42EA-9D02-7B89C02798FE}"/>
    <cellStyle name="20% - Accent2 2 3 5 2 4" xfId="16757" xr:uid="{1B1AD05F-F926-4B87-813B-D40B1885DE98}"/>
    <cellStyle name="20% - Accent2 2 3 5 3" xfId="6169" xr:uid="{00000000-0005-0000-0000-0000DB000000}"/>
    <cellStyle name="20% - Accent2 2 3 5 3 2" xfId="18830" xr:uid="{F14175AD-608C-4045-9959-47C00897BFC2}"/>
    <cellStyle name="20% - Accent2 2 3 5 4" xfId="10401" xr:uid="{1DF80307-B04E-4403-9A38-EC3DD8013454}"/>
    <cellStyle name="20% - Accent2 2 3 5 5" xfId="14612" xr:uid="{8594C3D9-5792-4523-90E1-0ACE7B5F920C}"/>
    <cellStyle name="20% - Accent2 2 3 6" xfId="2276" xr:uid="{00000000-0005-0000-0000-0000DC000000}"/>
    <cellStyle name="20% - Accent2 2 3 6 2" xfId="6582" xr:uid="{00000000-0005-0000-0000-0000DD000000}"/>
    <cellStyle name="20% - Accent2 2 3 6 2 2" xfId="19243" xr:uid="{E4998134-270B-4F9F-83AC-D576AE6D9138}"/>
    <cellStyle name="20% - Accent2 2 3 6 3" xfId="10814" xr:uid="{E4EB2A64-7B82-4061-98B7-4B1345864A48}"/>
    <cellStyle name="20% - Accent2 2 3 6 4" xfId="15025" xr:uid="{A23A4AF0-F889-4F63-9B3C-56B435B8AA37}"/>
    <cellStyle name="20% - Accent2 2 3 7" xfId="4516" xr:uid="{00000000-0005-0000-0000-0000DE000000}"/>
    <cellStyle name="20% - Accent2 2 3 7 2" xfId="17177" xr:uid="{7BB0232D-4945-4AAB-A1D3-9B7A1FBB90AF}"/>
    <cellStyle name="20% - Accent2 2 3 8" xfId="8748" xr:uid="{3089D036-2A0F-48A9-9818-1224D8CB3CF8}"/>
    <cellStyle name="20% - Accent2 2 3 9" xfId="12959" xr:uid="{00C0DE69-8D56-43FA-841A-761609D3ED45}"/>
    <cellStyle name="20% - Accent2 2 4" xfId="579" xr:uid="{00000000-0005-0000-0000-0000DF000000}"/>
    <cellStyle name="20% - Accent2 2 4 2" xfId="2850" xr:uid="{00000000-0005-0000-0000-0000E0000000}"/>
    <cellStyle name="20% - Accent2 2 4 2 2" xfId="7072" xr:uid="{00000000-0005-0000-0000-0000E1000000}"/>
    <cellStyle name="20% - Accent2 2 4 2 2 2" xfId="19733" xr:uid="{98640494-866B-4051-B14D-97A9388AA2CE}"/>
    <cellStyle name="20% - Accent2 2 4 2 3" xfId="11304" xr:uid="{6F5A544D-31E8-4217-A588-EFCE7A3D005C}"/>
    <cellStyle name="20% - Accent2 2 4 2 4" xfId="15515" xr:uid="{13B8FC60-AA6D-4C3A-90B7-C4A8176C23A1}"/>
    <cellStyle name="20% - Accent2 2 4 3" xfId="4927" xr:uid="{00000000-0005-0000-0000-0000E2000000}"/>
    <cellStyle name="20% - Accent2 2 4 3 2" xfId="17588" xr:uid="{74174613-2D49-46B7-8DB8-3CE3C2F35051}"/>
    <cellStyle name="20% - Accent2 2 4 4" xfId="9159" xr:uid="{4101E32A-3DB2-4D21-A05A-5F5B7E8E8E07}"/>
    <cellStyle name="20% - Accent2 2 4 5" xfId="13370" xr:uid="{43340DB9-CF52-4BBF-84AE-0F6B7681F212}"/>
    <cellStyle name="20% - Accent2 2 5" xfId="1032" xr:uid="{00000000-0005-0000-0000-0000E3000000}"/>
    <cellStyle name="20% - Accent2 2 5 2" xfId="3263" xr:uid="{00000000-0005-0000-0000-0000E4000000}"/>
    <cellStyle name="20% - Accent2 2 5 2 2" xfId="7485" xr:uid="{00000000-0005-0000-0000-0000E5000000}"/>
    <cellStyle name="20% - Accent2 2 5 2 2 2" xfId="20146" xr:uid="{3E6A5096-3043-4C34-8720-4E9747954A34}"/>
    <cellStyle name="20% - Accent2 2 5 2 3" xfId="11717" xr:uid="{1C5DB203-DCB0-42D0-B7BD-ADE58C8D5298}"/>
    <cellStyle name="20% - Accent2 2 5 2 4" xfId="15928" xr:uid="{D5D204C5-6389-40C7-80ED-657A8B09B148}"/>
    <cellStyle name="20% - Accent2 2 5 3" xfId="5340" xr:uid="{00000000-0005-0000-0000-0000E6000000}"/>
    <cellStyle name="20% - Accent2 2 5 3 2" xfId="18001" xr:uid="{AC0DC961-32F8-488B-BAE4-20FA7C95B7C1}"/>
    <cellStyle name="20% - Accent2 2 5 4" xfId="9572" xr:uid="{1DAFA72B-5983-4151-9C8D-9194B1AEA791}"/>
    <cellStyle name="20% - Accent2 2 5 5" xfId="13783" xr:uid="{18C1F1BC-9C74-47F1-8928-984137DC3A4A}"/>
    <cellStyle name="20% - Accent2 2 6" xfId="1446" xr:uid="{00000000-0005-0000-0000-0000E7000000}"/>
    <cellStyle name="20% - Accent2 2 6 2" xfId="3676" xr:uid="{00000000-0005-0000-0000-0000E8000000}"/>
    <cellStyle name="20% - Accent2 2 6 2 2" xfId="7898" xr:uid="{00000000-0005-0000-0000-0000E9000000}"/>
    <cellStyle name="20% - Accent2 2 6 2 2 2" xfId="20559" xr:uid="{F2DD9333-3F9E-4CA3-9C64-BA4CE5685EFF}"/>
    <cellStyle name="20% - Accent2 2 6 2 3" xfId="12130" xr:uid="{1767F813-6C5F-4861-88FA-8720E1F4930B}"/>
    <cellStyle name="20% - Accent2 2 6 2 4" xfId="16341" xr:uid="{BB46613A-AAF1-47B9-A1AF-667719075D76}"/>
    <cellStyle name="20% - Accent2 2 6 3" xfId="5753" xr:uid="{00000000-0005-0000-0000-0000EA000000}"/>
    <cellStyle name="20% - Accent2 2 6 3 2" xfId="18414" xr:uid="{F01B9566-9C2F-40A8-89B0-4EF9ECB11D5F}"/>
    <cellStyle name="20% - Accent2 2 6 4" xfId="9985" xr:uid="{A501219D-F92C-400C-8AFB-FC25DDE0DE80}"/>
    <cellStyle name="20% - Accent2 2 6 5" xfId="14196" xr:uid="{0DC6122A-5D1B-4BF4-8C2C-70B4553EF555}"/>
    <cellStyle name="20% - Accent2 2 7" xfId="1860" xr:uid="{00000000-0005-0000-0000-0000EB000000}"/>
    <cellStyle name="20% - Accent2 2 7 2" xfId="4089" xr:uid="{00000000-0005-0000-0000-0000EC000000}"/>
    <cellStyle name="20% - Accent2 2 7 2 2" xfId="8311" xr:uid="{00000000-0005-0000-0000-0000ED000000}"/>
    <cellStyle name="20% - Accent2 2 7 2 2 2" xfId="20972" xr:uid="{F0E8487D-915B-4EB9-B4D2-E8F00CFC172B}"/>
    <cellStyle name="20% - Accent2 2 7 2 3" xfId="12543" xr:uid="{730DE986-E612-44D0-8C9C-6ECC5BDC390A}"/>
    <cellStyle name="20% - Accent2 2 7 2 4" xfId="16754" xr:uid="{92E34AEB-0DDD-4C5B-8437-5694A3F97A3F}"/>
    <cellStyle name="20% - Accent2 2 7 3" xfId="6166" xr:uid="{00000000-0005-0000-0000-0000EE000000}"/>
    <cellStyle name="20% - Accent2 2 7 3 2" xfId="18827" xr:uid="{54B3E245-36DC-4F3E-9461-84ADA60DF29D}"/>
    <cellStyle name="20% - Accent2 2 7 4" xfId="10398" xr:uid="{53622EEC-8EF0-42E4-BA2E-5762F2589CA3}"/>
    <cellStyle name="20% - Accent2 2 7 5" xfId="14609" xr:uid="{E241134B-697D-4FE4-ACE6-ABAECF9AC388}"/>
    <cellStyle name="20% - Accent2 2 8" xfId="2273" xr:uid="{00000000-0005-0000-0000-0000EF000000}"/>
    <cellStyle name="20% - Accent2 2 8 2" xfId="6579" xr:uid="{00000000-0005-0000-0000-0000F0000000}"/>
    <cellStyle name="20% - Accent2 2 8 2 2" xfId="19240" xr:uid="{B6DE28DC-5ABC-4A43-A8E3-25C0ED6EA3A9}"/>
    <cellStyle name="20% - Accent2 2 8 3" xfId="10811" xr:uid="{4AC1ABD4-14F7-4C72-A8AB-2147EABF7892}"/>
    <cellStyle name="20% - Accent2 2 8 4" xfId="15022" xr:uid="{E78D11F1-1EDA-4BE1-8778-5504F82B03B6}"/>
    <cellStyle name="20% - Accent2 2 9" xfId="4513" xr:uid="{00000000-0005-0000-0000-0000F1000000}"/>
    <cellStyle name="20% - Accent2 2 9 2" xfId="17174" xr:uid="{90926C8C-44E5-43F4-93BF-6B9418DC446B}"/>
    <cellStyle name="20% - Accent2 3" xfId="14" xr:uid="{00000000-0005-0000-0000-0000F2000000}"/>
    <cellStyle name="20% - Accent2 3 10" xfId="12960" xr:uid="{9A3B3B79-D7F3-456A-89A9-4B8BFE1EC661}"/>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9738" xr:uid="{C8E800AA-B1EB-4BC7-BC8D-68B242657582}"/>
    <cellStyle name="20% - Accent2 3 2 2 2 3" xfId="11309" xr:uid="{97813E48-B059-4C88-A100-F395566D5BDC}"/>
    <cellStyle name="20% - Accent2 3 2 2 2 4" xfId="15520" xr:uid="{EB3A51C7-2F8D-494D-B4EF-210E98C1EDC0}"/>
    <cellStyle name="20% - Accent2 3 2 2 3" xfId="4932" xr:uid="{00000000-0005-0000-0000-0000F7000000}"/>
    <cellStyle name="20% - Accent2 3 2 2 3 2" xfId="17593" xr:uid="{7E427AAC-0CCF-46C2-8D77-10BD8A25D6F1}"/>
    <cellStyle name="20% - Accent2 3 2 2 4" xfId="9164" xr:uid="{EFD25CD7-CC26-46B8-9DBF-7A0EA874360C}"/>
    <cellStyle name="20% - Accent2 3 2 2 5" xfId="13375" xr:uid="{537DB3AF-28DD-4BCB-8C9E-F7E82E7D2294}"/>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20151" xr:uid="{803A2B25-6ACE-499B-BFED-BFEA78933B9C}"/>
    <cellStyle name="20% - Accent2 3 2 3 2 3" xfId="11722" xr:uid="{13EB47EA-B92A-4628-A96A-DF27EE7B5F5A}"/>
    <cellStyle name="20% - Accent2 3 2 3 2 4" xfId="15933" xr:uid="{BA213A95-0FB8-4F81-81F0-A87C1E6C95D5}"/>
    <cellStyle name="20% - Accent2 3 2 3 3" xfId="5345" xr:uid="{00000000-0005-0000-0000-0000FB000000}"/>
    <cellStyle name="20% - Accent2 3 2 3 3 2" xfId="18006" xr:uid="{EA059E36-0315-423D-AE17-03F76E7F56D7}"/>
    <cellStyle name="20% - Accent2 3 2 3 4" xfId="9577" xr:uid="{5A9BED66-1E6B-4434-84E9-D7EFDBE95F25}"/>
    <cellStyle name="20% - Accent2 3 2 3 5" xfId="13788" xr:uid="{517D9910-98A4-4E81-BBC3-D993CCA2D884}"/>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20564" xr:uid="{C6FAB31C-111E-4AAC-90FB-4913E7A1C72A}"/>
    <cellStyle name="20% - Accent2 3 2 4 2 3" xfId="12135" xr:uid="{EF3EE2EA-326B-400A-8FF7-4475FA16F45B}"/>
    <cellStyle name="20% - Accent2 3 2 4 2 4" xfId="16346" xr:uid="{08970DA5-F45E-4EA6-A771-627BA352AE41}"/>
    <cellStyle name="20% - Accent2 3 2 4 3" xfId="5758" xr:uid="{00000000-0005-0000-0000-0000FF000000}"/>
    <cellStyle name="20% - Accent2 3 2 4 3 2" xfId="18419" xr:uid="{4C11D755-AC5D-4ED7-950A-51C714184635}"/>
    <cellStyle name="20% - Accent2 3 2 4 4" xfId="9990" xr:uid="{0B245DA3-1039-4D88-A075-5BD1178B5C4B}"/>
    <cellStyle name="20% - Accent2 3 2 4 5" xfId="14201" xr:uid="{FD31E981-ACB7-4A70-869F-294F2C1704A2}"/>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20977" xr:uid="{826F57AD-392B-451D-8161-D858ACBAA297}"/>
    <cellStyle name="20% - Accent2 3 2 5 2 3" xfId="12548" xr:uid="{9B3FA486-64B9-40C1-8D6A-6DE96D906D6B}"/>
    <cellStyle name="20% - Accent2 3 2 5 2 4" xfId="16759" xr:uid="{FF2C8A48-AB95-49D8-B517-6ED46CB016DE}"/>
    <cellStyle name="20% - Accent2 3 2 5 3" xfId="6171" xr:uid="{00000000-0005-0000-0000-000003010000}"/>
    <cellStyle name="20% - Accent2 3 2 5 3 2" xfId="18832" xr:uid="{8FC2228F-6FAA-4DB0-804A-298E6E4CE05E}"/>
    <cellStyle name="20% - Accent2 3 2 5 4" xfId="10403" xr:uid="{580E22AA-C6A4-4CA4-A2F4-FB82CF59E7B8}"/>
    <cellStyle name="20% - Accent2 3 2 5 5" xfId="14614" xr:uid="{E92B3A68-109E-4F8E-8BD1-6EFD23752436}"/>
    <cellStyle name="20% - Accent2 3 2 6" xfId="2278" xr:uid="{00000000-0005-0000-0000-000004010000}"/>
    <cellStyle name="20% - Accent2 3 2 6 2" xfId="6584" xr:uid="{00000000-0005-0000-0000-000005010000}"/>
    <cellStyle name="20% - Accent2 3 2 6 2 2" xfId="19245" xr:uid="{56BC218C-3F52-4E02-BD6C-829DFFF9AEB0}"/>
    <cellStyle name="20% - Accent2 3 2 6 3" xfId="10816" xr:uid="{E330A18B-57D1-41D4-BA38-BAAC110821F5}"/>
    <cellStyle name="20% - Accent2 3 2 6 4" xfId="15027" xr:uid="{684A0374-1D45-4D8C-822D-DE7B177F2DD1}"/>
    <cellStyle name="20% - Accent2 3 2 7" xfId="4518" xr:uid="{00000000-0005-0000-0000-000006010000}"/>
    <cellStyle name="20% - Accent2 3 2 7 2" xfId="17179" xr:uid="{D548B944-35C6-4FB6-92EC-FD21EF662801}"/>
    <cellStyle name="20% - Accent2 3 2 8" xfId="8750" xr:uid="{961D4D6A-253A-4F04-92B2-6860E9425FD1}"/>
    <cellStyle name="20% - Accent2 3 2 9" xfId="12961" xr:uid="{215FACE9-5B64-451D-A2D0-B0BAE661F1A6}"/>
    <cellStyle name="20% - Accent2 3 3" xfId="583" xr:uid="{00000000-0005-0000-0000-000007010000}"/>
    <cellStyle name="20% - Accent2 3 3 2" xfId="2854" xr:uid="{00000000-0005-0000-0000-000008010000}"/>
    <cellStyle name="20% - Accent2 3 3 2 2" xfId="7076" xr:uid="{00000000-0005-0000-0000-000009010000}"/>
    <cellStyle name="20% - Accent2 3 3 2 2 2" xfId="19737" xr:uid="{92B93830-54EB-4808-A7A4-00F09AEF6BF0}"/>
    <cellStyle name="20% - Accent2 3 3 2 3" xfId="11308" xr:uid="{F1C09270-00EE-4751-98FC-CBAA128AC2BD}"/>
    <cellStyle name="20% - Accent2 3 3 2 4" xfId="15519" xr:uid="{60316C05-560C-4FEE-968D-FAEF13923371}"/>
    <cellStyle name="20% - Accent2 3 3 3" xfId="4931" xr:uid="{00000000-0005-0000-0000-00000A010000}"/>
    <cellStyle name="20% - Accent2 3 3 3 2" xfId="17592" xr:uid="{2EEA912C-A2C5-42E0-97D9-DFE6DB4CB31B}"/>
    <cellStyle name="20% - Accent2 3 3 4" xfId="9163" xr:uid="{DAEAD912-5ABF-4734-93C7-16DB745BE024}"/>
    <cellStyle name="20% - Accent2 3 3 5" xfId="13374" xr:uid="{B6E7C106-E8F8-4312-8851-CD4C0EF265BB}"/>
    <cellStyle name="20% - Accent2 3 4" xfId="1036" xr:uid="{00000000-0005-0000-0000-00000B010000}"/>
    <cellStyle name="20% - Accent2 3 4 2" xfId="3267" xr:uid="{00000000-0005-0000-0000-00000C010000}"/>
    <cellStyle name="20% - Accent2 3 4 2 2" xfId="7489" xr:uid="{00000000-0005-0000-0000-00000D010000}"/>
    <cellStyle name="20% - Accent2 3 4 2 2 2" xfId="20150" xr:uid="{E9613B42-E876-4308-AA00-2DBE03C758EF}"/>
    <cellStyle name="20% - Accent2 3 4 2 3" xfId="11721" xr:uid="{6A63677C-ACA0-455D-93BC-ECF8F15F7442}"/>
    <cellStyle name="20% - Accent2 3 4 2 4" xfId="15932" xr:uid="{7497D171-067C-49AF-99CB-6E77ADFD1252}"/>
    <cellStyle name="20% - Accent2 3 4 3" xfId="5344" xr:uid="{00000000-0005-0000-0000-00000E010000}"/>
    <cellStyle name="20% - Accent2 3 4 3 2" xfId="18005" xr:uid="{62E9D6BB-DCC1-464F-894F-AA227AE6047D}"/>
    <cellStyle name="20% - Accent2 3 4 4" xfId="9576" xr:uid="{78AA8B24-C08C-41A1-847D-AFCFD78EA8E7}"/>
    <cellStyle name="20% - Accent2 3 4 5" xfId="13787" xr:uid="{ED40365A-DB63-40BD-818E-CFEF53F8D9D7}"/>
    <cellStyle name="20% - Accent2 3 5" xfId="1450" xr:uid="{00000000-0005-0000-0000-00000F010000}"/>
    <cellStyle name="20% - Accent2 3 5 2" xfId="3680" xr:uid="{00000000-0005-0000-0000-000010010000}"/>
    <cellStyle name="20% - Accent2 3 5 2 2" xfId="7902" xr:uid="{00000000-0005-0000-0000-000011010000}"/>
    <cellStyle name="20% - Accent2 3 5 2 2 2" xfId="20563" xr:uid="{4661A519-F790-4B9A-992F-8119C2244710}"/>
    <cellStyle name="20% - Accent2 3 5 2 3" xfId="12134" xr:uid="{166664FB-5195-4BB2-A56A-61FAFB52C6D3}"/>
    <cellStyle name="20% - Accent2 3 5 2 4" xfId="16345" xr:uid="{88BD178C-BDDC-4798-B23D-C30B5C0AF930}"/>
    <cellStyle name="20% - Accent2 3 5 3" xfId="5757" xr:uid="{00000000-0005-0000-0000-000012010000}"/>
    <cellStyle name="20% - Accent2 3 5 3 2" xfId="18418" xr:uid="{4BEE5825-D259-4F40-91A6-A8555078CB16}"/>
    <cellStyle name="20% - Accent2 3 5 4" xfId="9989" xr:uid="{139267BC-5B3A-4409-8A24-56ACE30A507E}"/>
    <cellStyle name="20% - Accent2 3 5 5" xfId="14200" xr:uid="{327753BD-C688-4AE8-83FF-8CB1E5EDE1EE}"/>
    <cellStyle name="20% - Accent2 3 6" xfId="1864" xr:uid="{00000000-0005-0000-0000-000013010000}"/>
    <cellStyle name="20% - Accent2 3 6 2" xfId="4093" xr:uid="{00000000-0005-0000-0000-000014010000}"/>
    <cellStyle name="20% - Accent2 3 6 2 2" xfId="8315" xr:uid="{00000000-0005-0000-0000-000015010000}"/>
    <cellStyle name="20% - Accent2 3 6 2 2 2" xfId="20976" xr:uid="{83ABC642-DE42-4AF1-B34C-323F9DEC8F6D}"/>
    <cellStyle name="20% - Accent2 3 6 2 3" xfId="12547" xr:uid="{ABB04479-3D2E-47F5-872B-E4F741565085}"/>
    <cellStyle name="20% - Accent2 3 6 2 4" xfId="16758" xr:uid="{778AE117-39B2-4B42-A63A-5F471274E2D1}"/>
    <cellStyle name="20% - Accent2 3 6 3" xfId="6170" xr:uid="{00000000-0005-0000-0000-000016010000}"/>
    <cellStyle name="20% - Accent2 3 6 3 2" xfId="18831" xr:uid="{ED267E81-5A5C-4541-A7FA-6A9F777C2B15}"/>
    <cellStyle name="20% - Accent2 3 6 4" xfId="10402" xr:uid="{DC5EDFC4-A671-47BF-B0F7-D08FB0F6BB73}"/>
    <cellStyle name="20% - Accent2 3 6 5" xfId="14613" xr:uid="{B8B1790F-4F76-4F25-934C-C5B46BFD73C9}"/>
    <cellStyle name="20% - Accent2 3 7" xfId="2277" xr:uid="{00000000-0005-0000-0000-000017010000}"/>
    <cellStyle name="20% - Accent2 3 7 2" xfId="6583" xr:uid="{00000000-0005-0000-0000-000018010000}"/>
    <cellStyle name="20% - Accent2 3 7 2 2" xfId="19244" xr:uid="{26DAA148-3B0C-4FFA-948B-B65756165FB1}"/>
    <cellStyle name="20% - Accent2 3 7 3" xfId="10815" xr:uid="{2DE4DC9C-5074-4136-8BEE-B5C15A406176}"/>
    <cellStyle name="20% - Accent2 3 7 4" xfId="15026" xr:uid="{37AFF862-2027-4B4E-906A-688B09D17744}"/>
    <cellStyle name="20% - Accent2 3 8" xfId="4517" xr:uid="{00000000-0005-0000-0000-000019010000}"/>
    <cellStyle name="20% - Accent2 3 8 2" xfId="17178" xr:uid="{A2FF5F44-F3BB-41D5-B8F3-D60E214BB9C3}"/>
    <cellStyle name="20% - Accent2 3 9" xfId="8749" xr:uid="{DEF52A20-66ED-4016-80BE-37CCD6AA8BF5}"/>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9739" xr:uid="{3043EEC5-44D3-4511-B3B0-C86869BF6B36}"/>
    <cellStyle name="20% - Accent2 4 2 2 3" xfId="11310" xr:uid="{AD17CF2D-AA8D-4DEF-BFF1-CC8303908C2F}"/>
    <cellStyle name="20% - Accent2 4 2 2 4" xfId="15521" xr:uid="{18141B51-994B-4042-9063-A92BB5DE0EF5}"/>
    <cellStyle name="20% - Accent2 4 2 3" xfId="4933" xr:uid="{00000000-0005-0000-0000-00001E010000}"/>
    <cellStyle name="20% - Accent2 4 2 3 2" xfId="17594" xr:uid="{635F5B4D-3E82-4A5E-9916-1832E8A1FE22}"/>
    <cellStyle name="20% - Accent2 4 2 4" xfId="9165" xr:uid="{3AF9FCBD-98F3-4E22-AED9-A2D0D6D67893}"/>
    <cellStyle name="20% - Accent2 4 2 5" xfId="13376" xr:uid="{6FE8321B-4094-487C-8050-CB83F37A1C08}"/>
    <cellStyle name="20% - Accent2 4 3" xfId="1038" xr:uid="{00000000-0005-0000-0000-00001F010000}"/>
    <cellStyle name="20% - Accent2 4 3 2" xfId="3269" xr:uid="{00000000-0005-0000-0000-000020010000}"/>
    <cellStyle name="20% - Accent2 4 3 2 2" xfId="7491" xr:uid="{00000000-0005-0000-0000-000021010000}"/>
    <cellStyle name="20% - Accent2 4 3 2 2 2" xfId="20152" xr:uid="{62F876CD-C4EE-425D-8068-D079AD7CEF61}"/>
    <cellStyle name="20% - Accent2 4 3 2 3" xfId="11723" xr:uid="{93D10B64-2DCF-4F1F-BD17-3DE0EC026B79}"/>
    <cellStyle name="20% - Accent2 4 3 2 4" xfId="15934" xr:uid="{8ED36597-B970-4174-9FB3-3022DD2D417D}"/>
    <cellStyle name="20% - Accent2 4 3 3" xfId="5346" xr:uid="{00000000-0005-0000-0000-000022010000}"/>
    <cellStyle name="20% - Accent2 4 3 3 2" xfId="18007" xr:uid="{4B035AA8-7575-45E9-94B6-36F7B78AD82F}"/>
    <cellStyle name="20% - Accent2 4 3 4" xfId="9578" xr:uid="{560742C2-38B5-4478-B2BA-AE5174A3CF69}"/>
    <cellStyle name="20% - Accent2 4 3 5" xfId="13789" xr:uid="{4D51C6BB-37A3-42C6-9D60-E22263549449}"/>
    <cellStyle name="20% - Accent2 4 4" xfId="1452" xr:uid="{00000000-0005-0000-0000-000023010000}"/>
    <cellStyle name="20% - Accent2 4 4 2" xfId="3682" xr:uid="{00000000-0005-0000-0000-000024010000}"/>
    <cellStyle name="20% - Accent2 4 4 2 2" xfId="7904" xr:uid="{00000000-0005-0000-0000-000025010000}"/>
    <cellStyle name="20% - Accent2 4 4 2 2 2" xfId="20565" xr:uid="{CF5AEB3B-2421-491A-8C13-AA37392B0C43}"/>
    <cellStyle name="20% - Accent2 4 4 2 3" xfId="12136" xr:uid="{F0324DCD-D78E-49DA-A854-29B1E2905165}"/>
    <cellStyle name="20% - Accent2 4 4 2 4" xfId="16347" xr:uid="{7033DCC5-12A1-424E-9DEE-7576E12D3C4A}"/>
    <cellStyle name="20% - Accent2 4 4 3" xfId="5759" xr:uid="{00000000-0005-0000-0000-000026010000}"/>
    <cellStyle name="20% - Accent2 4 4 3 2" xfId="18420" xr:uid="{D813A07E-3ADF-4398-A652-47CE4FC83CD5}"/>
    <cellStyle name="20% - Accent2 4 4 4" xfId="9991" xr:uid="{9BFCD2D4-9B2E-4EC1-B053-2E9B85B54D25}"/>
    <cellStyle name="20% - Accent2 4 4 5" xfId="14202" xr:uid="{89E093C9-B0AD-4EC5-B0AC-5677FFCF80C8}"/>
    <cellStyle name="20% - Accent2 4 5" xfId="1866" xr:uid="{00000000-0005-0000-0000-000027010000}"/>
    <cellStyle name="20% - Accent2 4 5 2" xfId="4095" xr:uid="{00000000-0005-0000-0000-000028010000}"/>
    <cellStyle name="20% - Accent2 4 5 2 2" xfId="8317" xr:uid="{00000000-0005-0000-0000-000029010000}"/>
    <cellStyle name="20% - Accent2 4 5 2 2 2" xfId="20978" xr:uid="{0C8362D5-2332-4543-9FE1-B67F101406E5}"/>
    <cellStyle name="20% - Accent2 4 5 2 3" xfId="12549" xr:uid="{719FC92D-C25E-4E91-AF8E-A361F16C057D}"/>
    <cellStyle name="20% - Accent2 4 5 2 4" xfId="16760" xr:uid="{443A0864-5750-4163-850B-5DA3864DDCB0}"/>
    <cellStyle name="20% - Accent2 4 5 3" xfId="6172" xr:uid="{00000000-0005-0000-0000-00002A010000}"/>
    <cellStyle name="20% - Accent2 4 5 3 2" xfId="18833" xr:uid="{D6A1A963-86C6-43EE-B864-82021B694A2A}"/>
    <cellStyle name="20% - Accent2 4 5 4" xfId="10404" xr:uid="{05A61844-DC97-498D-BC15-7EB2E95D14B0}"/>
    <cellStyle name="20% - Accent2 4 5 5" xfId="14615" xr:uid="{879E8231-4302-484F-8A1C-090EC477C6F4}"/>
    <cellStyle name="20% - Accent2 4 6" xfId="2279" xr:uid="{00000000-0005-0000-0000-00002B010000}"/>
    <cellStyle name="20% - Accent2 4 6 2" xfId="6585" xr:uid="{00000000-0005-0000-0000-00002C010000}"/>
    <cellStyle name="20% - Accent2 4 6 2 2" xfId="19246" xr:uid="{DC9BEE44-D174-4898-8FE4-236C61F333D9}"/>
    <cellStyle name="20% - Accent2 4 6 3" xfId="10817" xr:uid="{0ADD965E-69B6-420D-A314-62EBDB766251}"/>
    <cellStyle name="20% - Accent2 4 6 4" xfId="15028" xr:uid="{6E894E04-20E3-4F45-A1FB-B719DBD746E4}"/>
    <cellStyle name="20% - Accent2 4 7" xfId="4519" xr:uid="{00000000-0005-0000-0000-00002D010000}"/>
    <cellStyle name="20% - Accent2 4 7 2" xfId="17180" xr:uid="{FDCA9949-3E6A-45FE-A475-BC2A4F8CB973}"/>
    <cellStyle name="20% - Accent2 4 8" xfId="8751" xr:uid="{54206D75-10AA-440E-9883-CC7D405C4703}"/>
    <cellStyle name="20% - Accent2 4 9" xfId="12962" xr:uid="{8E8E61F9-E3F6-4D9B-A2B6-47A2D8BDC8D0}"/>
    <cellStyle name="20% - Accent2 5" xfId="578" xr:uid="{00000000-0005-0000-0000-00002E010000}"/>
    <cellStyle name="20% - Accent2 5 2" xfId="2849" xr:uid="{00000000-0005-0000-0000-00002F010000}"/>
    <cellStyle name="20% - Accent2 5 2 2" xfId="7071" xr:uid="{00000000-0005-0000-0000-000030010000}"/>
    <cellStyle name="20% - Accent2 5 2 2 2" xfId="19732" xr:uid="{74484286-D8D7-4794-B888-A84F81A68A81}"/>
    <cellStyle name="20% - Accent2 5 2 3" xfId="11303" xr:uid="{43B1BA56-0D8F-43E9-AE96-D32E34B9A49D}"/>
    <cellStyle name="20% - Accent2 5 2 4" xfId="15514" xr:uid="{E3BB7F54-30AF-4012-9D9B-8212197064FE}"/>
    <cellStyle name="20% - Accent2 5 3" xfId="4926" xr:uid="{00000000-0005-0000-0000-000031010000}"/>
    <cellStyle name="20% - Accent2 5 3 2" xfId="17587" xr:uid="{16563091-2CAC-47C5-A48D-990C8E1B2686}"/>
    <cellStyle name="20% - Accent2 5 4" xfId="9158" xr:uid="{CCF03C24-7141-4386-9300-2F3380741B33}"/>
    <cellStyle name="20% - Accent2 5 5" xfId="13369" xr:uid="{AFF0B138-1B69-4070-A4FF-B93035F8E6F2}"/>
    <cellStyle name="20% - Accent2 6" xfId="1031" xr:uid="{00000000-0005-0000-0000-000032010000}"/>
    <cellStyle name="20% - Accent2 6 2" xfId="3262" xr:uid="{00000000-0005-0000-0000-000033010000}"/>
    <cellStyle name="20% - Accent2 6 2 2" xfId="7484" xr:uid="{00000000-0005-0000-0000-000034010000}"/>
    <cellStyle name="20% - Accent2 6 2 2 2" xfId="20145" xr:uid="{DABBECB2-A6A6-41EE-B5D6-05B121890736}"/>
    <cellStyle name="20% - Accent2 6 2 3" xfId="11716" xr:uid="{E45D4284-2900-4EBB-BCED-13671B427BBB}"/>
    <cellStyle name="20% - Accent2 6 2 4" xfId="15927" xr:uid="{7DB93AA2-293B-4918-8078-48286EE9F343}"/>
    <cellStyle name="20% - Accent2 6 3" xfId="5339" xr:uid="{00000000-0005-0000-0000-000035010000}"/>
    <cellStyle name="20% - Accent2 6 3 2" xfId="18000" xr:uid="{7A040DDA-FE2A-48B3-AD0B-10ECC715CB10}"/>
    <cellStyle name="20% - Accent2 6 4" xfId="9571" xr:uid="{6CA7775D-ACF9-4194-9A3C-A30341CCE7A4}"/>
    <cellStyle name="20% - Accent2 6 5" xfId="13782" xr:uid="{39E116EB-116C-416E-8B88-4B6017C52AAF}"/>
    <cellStyle name="20% - Accent2 7" xfId="1445" xr:uid="{00000000-0005-0000-0000-000036010000}"/>
    <cellStyle name="20% - Accent2 7 2" xfId="3675" xr:uid="{00000000-0005-0000-0000-000037010000}"/>
    <cellStyle name="20% - Accent2 7 2 2" xfId="7897" xr:uid="{00000000-0005-0000-0000-000038010000}"/>
    <cellStyle name="20% - Accent2 7 2 2 2" xfId="20558" xr:uid="{72830D8E-1800-46AF-A214-AEFB7FB28FDC}"/>
    <cellStyle name="20% - Accent2 7 2 3" xfId="12129" xr:uid="{6BA862F2-ABA2-46B7-9CF2-6C7239F711FE}"/>
    <cellStyle name="20% - Accent2 7 2 4" xfId="16340" xr:uid="{7CB1FBE7-6B34-4170-B0DA-8227EFC9BD26}"/>
    <cellStyle name="20% - Accent2 7 3" xfId="5752" xr:uid="{00000000-0005-0000-0000-000039010000}"/>
    <cellStyle name="20% - Accent2 7 3 2" xfId="18413" xr:uid="{CE9AB21A-E6B5-4791-8889-28DC079C00EA}"/>
    <cellStyle name="20% - Accent2 7 4" xfId="9984" xr:uid="{D7A3AB08-E4C6-4259-A37C-7C650009EC74}"/>
    <cellStyle name="20% - Accent2 7 5" xfId="14195" xr:uid="{6C0C7745-AA89-484F-96D5-6205E2E140C2}"/>
    <cellStyle name="20% - Accent2 8" xfId="1859" xr:uid="{00000000-0005-0000-0000-00003A010000}"/>
    <cellStyle name="20% - Accent2 8 2" xfId="4088" xr:uid="{00000000-0005-0000-0000-00003B010000}"/>
    <cellStyle name="20% - Accent2 8 2 2" xfId="8310" xr:uid="{00000000-0005-0000-0000-00003C010000}"/>
    <cellStyle name="20% - Accent2 8 2 2 2" xfId="20971" xr:uid="{C4E576F2-8FCF-4B5F-83F7-9FA1A1E6C5B5}"/>
    <cellStyle name="20% - Accent2 8 2 3" xfId="12542" xr:uid="{B66979BD-4EF7-4878-91CA-E71F0EBB170D}"/>
    <cellStyle name="20% - Accent2 8 2 4" xfId="16753" xr:uid="{FAF7630A-4A91-4BAB-969E-E620ED28FC02}"/>
    <cellStyle name="20% - Accent2 8 3" xfId="6165" xr:uid="{00000000-0005-0000-0000-00003D010000}"/>
    <cellStyle name="20% - Accent2 8 3 2" xfId="18826" xr:uid="{04A6317B-C7A5-46CE-B4B8-981E1271A0C2}"/>
    <cellStyle name="20% - Accent2 8 4" xfId="10397" xr:uid="{64337ED0-DD94-4478-B6ED-9E077D8B0615}"/>
    <cellStyle name="20% - Accent2 8 5" xfId="14608" xr:uid="{09206A2A-DB78-45F9-89C0-56F72B16C1C7}"/>
    <cellStyle name="20% - Accent2 9" xfId="2272" xr:uid="{00000000-0005-0000-0000-00003E010000}"/>
    <cellStyle name="20% - Accent2 9 2" xfId="6578" xr:uid="{00000000-0005-0000-0000-00003F010000}"/>
    <cellStyle name="20% - Accent2 9 2 2" xfId="19239" xr:uid="{81E63B51-15D5-4254-B1C2-E1FE3551408F}"/>
    <cellStyle name="20% - Accent2 9 3" xfId="10810" xr:uid="{78FE30A5-82FA-4B60-BB65-12D1D6496067}"/>
    <cellStyle name="20% - Accent2 9 4" xfId="15021" xr:uid="{613B4DBB-9846-40A2-A9F6-5A159B327AD4}"/>
    <cellStyle name="20% - Accent3" xfId="17" builtinId="38" customBuiltin="1"/>
    <cellStyle name="20% - Accent3 10" xfId="4520" xr:uid="{00000000-0005-0000-0000-000041010000}"/>
    <cellStyle name="20% - Accent3 10 2" xfId="17181" xr:uid="{3A9C7E02-E9BB-411F-8CA0-A3E546156F69}"/>
    <cellStyle name="20% - Accent3 11" xfId="8752" xr:uid="{1D5B8ED3-40A1-4F17-BEC2-08F0C4AB5E12}"/>
    <cellStyle name="20% - Accent3 12" xfId="12963" xr:uid="{2CD814F4-91E9-41F4-80F6-7B0A22C1198F}"/>
    <cellStyle name="20% - Accent3 2" xfId="18" xr:uid="{00000000-0005-0000-0000-000042010000}"/>
    <cellStyle name="20% - Accent3 2 10" xfId="8753" xr:uid="{4AFD837C-F047-40EE-A784-A6A18025C6ED}"/>
    <cellStyle name="20% - Accent3 2 11" xfId="12964" xr:uid="{15BF5DA4-FBB0-46BC-92CA-B61B9E26D586}"/>
    <cellStyle name="20% - Accent3 2 2" xfId="19" xr:uid="{00000000-0005-0000-0000-000043010000}"/>
    <cellStyle name="20% - Accent3 2 2 10" xfId="12965" xr:uid="{3BF86F10-6526-48A1-815C-820696E80196}"/>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9743" xr:uid="{431DE4C1-B36F-422E-8405-DB89A8EC4B79}"/>
    <cellStyle name="20% - Accent3 2 2 2 2 2 3" xfId="11314" xr:uid="{BC5C85BB-9C7C-49C3-B320-1AFF3E20565B}"/>
    <cellStyle name="20% - Accent3 2 2 2 2 2 4" xfId="15525" xr:uid="{39EAE70A-09FE-4D71-828A-9293F40DFD81}"/>
    <cellStyle name="20% - Accent3 2 2 2 2 3" xfId="4937" xr:uid="{00000000-0005-0000-0000-000048010000}"/>
    <cellStyle name="20% - Accent3 2 2 2 2 3 2" xfId="17598" xr:uid="{F3A92DC5-4D77-4605-B1F3-B33301D60EAC}"/>
    <cellStyle name="20% - Accent3 2 2 2 2 4" xfId="9169" xr:uid="{FBC5EA79-1873-4B83-A1E4-8DF9317F509F}"/>
    <cellStyle name="20% - Accent3 2 2 2 2 5" xfId="13380" xr:uid="{47AA3537-6F8F-4567-94EA-8A989D6D90F2}"/>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20156" xr:uid="{078E880A-2268-4FD3-8FF3-4DCA6E9298AC}"/>
    <cellStyle name="20% - Accent3 2 2 2 3 2 3" xfId="11727" xr:uid="{5E89518A-E13F-49FD-B689-CF427DE8B11B}"/>
    <cellStyle name="20% - Accent3 2 2 2 3 2 4" xfId="15938" xr:uid="{4B0C8801-83C8-4606-B437-CEFBFE12E1D8}"/>
    <cellStyle name="20% - Accent3 2 2 2 3 3" xfId="5350" xr:uid="{00000000-0005-0000-0000-00004C010000}"/>
    <cellStyle name="20% - Accent3 2 2 2 3 3 2" xfId="18011" xr:uid="{FA5D29CA-06B2-46F7-AB4A-F0B3EF80A6BB}"/>
    <cellStyle name="20% - Accent3 2 2 2 3 4" xfId="9582" xr:uid="{1893314C-CAEA-4F7F-8899-9DE9A5BF1D7C}"/>
    <cellStyle name="20% - Accent3 2 2 2 3 5" xfId="13793" xr:uid="{D72D48D0-1138-476D-AA8D-0BCE0349EAB3}"/>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20569" xr:uid="{D38DCBCB-4ED4-4214-8007-AF260862790B}"/>
    <cellStyle name="20% - Accent3 2 2 2 4 2 3" xfId="12140" xr:uid="{8CDA2055-37EA-4631-8D6B-4CE12353EC5C}"/>
    <cellStyle name="20% - Accent3 2 2 2 4 2 4" xfId="16351" xr:uid="{FC598D2B-6455-4314-836A-BE26A20D6DB3}"/>
    <cellStyle name="20% - Accent3 2 2 2 4 3" xfId="5763" xr:uid="{00000000-0005-0000-0000-000050010000}"/>
    <cellStyle name="20% - Accent3 2 2 2 4 3 2" xfId="18424" xr:uid="{8BF4D0C7-A67F-4055-9530-39E5F15BE15A}"/>
    <cellStyle name="20% - Accent3 2 2 2 4 4" xfId="9995" xr:uid="{939FFBB8-D703-4639-901E-4C0679870BC9}"/>
    <cellStyle name="20% - Accent3 2 2 2 4 5" xfId="14206" xr:uid="{12D98131-F7E5-4DA3-9C29-1949EF67AAAE}"/>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20982" xr:uid="{B10A3819-ED06-4367-A511-19FED74FB50E}"/>
    <cellStyle name="20% - Accent3 2 2 2 5 2 3" xfId="12553" xr:uid="{3FBAE8CE-068D-49D1-B8E4-5435F2E0425F}"/>
    <cellStyle name="20% - Accent3 2 2 2 5 2 4" xfId="16764" xr:uid="{AB72460F-226F-42A9-B5E5-F92FFA19DB0D}"/>
    <cellStyle name="20% - Accent3 2 2 2 5 3" xfId="6176" xr:uid="{00000000-0005-0000-0000-000054010000}"/>
    <cellStyle name="20% - Accent3 2 2 2 5 3 2" xfId="18837" xr:uid="{51931DE3-1238-4F56-BFB1-6C2883731623}"/>
    <cellStyle name="20% - Accent3 2 2 2 5 4" xfId="10408" xr:uid="{62CAE7EA-D1BB-4ED2-A38A-79BE12D47F36}"/>
    <cellStyle name="20% - Accent3 2 2 2 5 5" xfId="14619" xr:uid="{2395C6E0-E83C-4F2B-B3EB-F5DB05BD55BC}"/>
    <cellStyle name="20% - Accent3 2 2 2 6" xfId="2283" xr:uid="{00000000-0005-0000-0000-000055010000}"/>
    <cellStyle name="20% - Accent3 2 2 2 6 2" xfId="6589" xr:uid="{00000000-0005-0000-0000-000056010000}"/>
    <cellStyle name="20% - Accent3 2 2 2 6 2 2" xfId="19250" xr:uid="{826FAF92-6ECF-4C69-8D2C-03AD4D82E801}"/>
    <cellStyle name="20% - Accent3 2 2 2 6 3" xfId="10821" xr:uid="{529219C0-1B59-4FE2-9686-5C8A7DE1E6E3}"/>
    <cellStyle name="20% - Accent3 2 2 2 6 4" xfId="15032" xr:uid="{2BB24CA9-32FD-41B9-BE1A-68A42031CBD9}"/>
    <cellStyle name="20% - Accent3 2 2 2 7" xfId="4523" xr:uid="{00000000-0005-0000-0000-000057010000}"/>
    <cellStyle name="20% - Accent3 2 2 2 7 2" xfId="17184" xr:uid="{C7A6DA4F-33BF-45BA-92FD-BFC43BBCCBAE}"/>
    <cellStyle name="20% - Accent3 2 2 2 8" xfId="8755" xr:uid="{DBBE1E82-039D-4CE8-AD8F-8BA22F3FA541}"/>
    <cellStyle name="20% - Accent3 2 2 2 9" xfId="12966" xr:uid="{233854E9-7C0C-4BEC-B0CD-1C41FD71CB84}"/>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9742" xr:uid="{CF8B64D5-E320-4F0F-BCC4-EC5FC4B1F474}"/>
    <cellStyle name="20% - Accent3 2 2 3 2 3" xfId="11313" xr:uid="{875AA15F-170F-4B62-930D-D8794208EF7D}"/>
    <cellStyle name="20% - Accent3 2 2 3 2 4" xfId="15524" xr:uid="{29DF2EB9-BD80-4065-833C-5294967A6A49}"/>
    <cellStyle name="20% - Accent3 2 2 3 3" xfId="4936" xr:uid="{00000000-0005-0000-0000-00005B010000}"/>
    <cellStyle name="20% - Accent3 2 2 3 3 2" xfId="17597" xr:uid="{65E54622-FC9A-48DB-B47F-846F2B7DD4EC}"/>
    <cellStyle name="20% - Accent3 2 2 3 4" xfId="9168" xr:uid="{409D6C60-B793-4D55-A48E-017AF3CA5B5B}"/>
    <cellStyle name="20% - Accent3 2 2 3 5" xfId="13379" xr:uid="{E4F0EE68-3B85-4FDC-8599-8334BF9D1A1B}"/>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20155" xr:uid="{D37DFA60-87A4-45F1-9E93-FE15D70BA2B3}"/>
    <cellStyle name="20% - Accent3 2 2 4 2 3" xfId="11726" xr:uid="{7A3558C7-28C9-4C70-BBCC-C78807203B89}"/>
    <cellStyle name="20% - Accent3 2 2 4 2 4" xfId="15937" xr:uid="{38B2407A-3B0A-44E7-85FF-6B415E65A940}"/>
    <cellStyle name="20% - Accent3 2 2 4 3" xfId="5349" xr:uid="{00000000-0005-0000-0000-00005F010000}"/>
    <cellStyle name="20% - Accent3 2 2 4 3 2" xfId="18010" xr:uid="{E9D7DE74-E78C-4591-96E5-EE203072F0E4}"/>
    <cellStyle name="20% - Accent3 2 2 4 4" xfId="9581" xr:uid="{DA17DC95-4B1A-4B3A-A893-1A94D97EB246}"/>
    <cellStyle name="20% - Accent3 2 2 4 5" xfId="13792" xr:uid="{8235F4E8-E198-4C5D-9204-7161331245E2}"/>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20568" xr:uid="{CA51EFC6-AB44-4E24-87E1-A002700B473F}"/>
    <cellStyle name="20% - Accent3 2 2 5 2 3" xfId="12139" xr:uid="{1184F8A6-8A88-4C88-8A8D-03044A07804C}"/>
    <cellStyle name="20% - Accent3 2 2 5 2 4" xfId="16350" xr:uid="{FB9A91E5-71F5-46E1-ABA5-0CF6FA16073A}"/>
    <cellStyle name="20% - Accent3 2 2 5 3" xfId="5762" xr:uid="{00000000-0005-0000-0000-000063010000}"/>
    <cellStyle name="20% - Accent3 2 2 5 3 2" xfId="18423" xr:uid="{CA8A9563-01B1-432F-B8CD-7DADD65CF856}"/>
    <cellStyle name="20% - Accent3 2 2 5 4" xfId="9994" xr:uid="{F96D8E15-01D4-439D-A079-BB09BA4ED912}"/>
    <cellStyle name="20% - Accent3 2 2 5 5" xfId="14205" xr:uid="{30AC6190-0DFE-414A-BAE4-B465A7BAA456}"/>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20981" xr:uid="{3B93F5A3-2A1B-4EE6-8B74-FC4D7D162CE9}"/>
    <cellStyle name="20% - Accent3 2 2 6 2 3" xfId="12552" xr:uid="{CD966B97-108B-4F87-8B66-6B633E0BCEDC}"/>
    <cellStyle name="20% - Accent3 2 2 6 2 4" xfId="16763" xr:uid="{75CB6A7B-BDB9-487F-B546-DE86B4E7FF94}"/>
    <cellStyle name="20% - Accent3 2 2 6 3" xfId="6175" xr:uid="{00000000-0005-0000-0000-000067010000}"/>
    <cellStyle name="20% - Accent3 2 2 6 3 2" xfId="18836" xr:uid="{B7F8A639-8918-4F11-9CCA-02CFE3A979DD}"/>
    <cellStyle name="20% - Accent3 2 2 6 4" xfId="10407" xr:uid="{56EB2779-4155-4734-9227-BFD9436FA609}"/>
    <cellStyle name="20% - Accent3 2 2 6 5" xfId="14618" xr:uid="{398E576C-E9C0-4668-93D2-ACDF0903A6B9}"/>
    <cellStyle name="20% - Accent3 2 2 7" xfId="2282" xr:uid="{00000000-0005-0000-0000-000068010000}"/>
    <cellStyle name="20% - Accent3 2 2 7 2" xfId="6588" xr:uid="{00000000-0005-0000-0000-000069010000}"/>
    <cellStyle name="20% - Accent3 2 2 7 2 2" xfId="19249" xr:uid="{ECA684D8-9822-4015-8519-402AA7B373AD}"/>
    <cellStyle name="20% - Accent3 2 2 7 3" xfId="10820" xr:uid="{0D1A6A01-382C-43D6-9E20-ADD555CB9039}"/>
    <cellStyle name="20% - Accent3 2 2 7 4" xfId="15031" xr:uid="{374B3C17-DB94-4CFD-9EA4-E0C68F874FA5}"/>
    <cellStyle name="20% - Accent3 2 2 8" xfId="4522" xr:uid="{00000000-0005-0000-0000-00006A010000}"/>
    <cellStyle name="20% - Accent3 2 2 8 2" xfId="17183" xr:uid="{019E5110-2888-40ED-824F-52B4FA88F307}"/>
    <cellStyle name="20% - Accent3 2 2 9" xfId="8754" xr:uid="{DABDB0CA-FBA2-43D6-B11C-402E343449DB}"/>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9744" xr:uid="{BCAADD39-72C4-4E06-B43F-1A139328346E}"/>
    <cellStyle name="20% - Accent3 2 3 2 2 3" xfId="11315" xr:uid="{48E6C872-099E-4A68-BA9F-8AFDAED7C437}"/>
    <cellStyle name="20% - Accent3 2 3 2 2 4" xfId="15526" xr:uid="{241AAA2E-AAA8-4867-A3C1-B807FEFCF4D3}"/>
    <cellStyle name="20% - Accent3 2 3 2 3" xfId="4938" xr:uid="{00000000-0005-0000-0000-00006F010000}"/>
    <cellStyle name="20% - Accent3 2 3 2 3 2" xfId="17599" xr:uid="{D05942E3-B04D-4F91-AE29-42AF26A0CA25}"/>
    <cellStyle name="20% - Accent3 2 3 2 4" xfId="9170" xr:uid="{76D526FA-A2B2-4C20-843C-3CE789B19B1D}"/>
    <cellStyle name="20% - Accent3 2 3 2 5" xfId="13381" xr:uid="{040C6FD0-9538-4E49-9416-6E93AD6A1FF7}"/>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20157" xr:uid="{E84CC567-D388-41EE-B35F-71DD61FB36D5}"/>
    <cellStyle name="20% - Accent3 2 3 3 2 3" xfId="11728" xr:uid="{C97BCBD4-90FE-4847-823D-06AF1AF9E92E}"/>
    <cellStyle name="20% - Accent3 2 3 3 2 4" xfId="15939" xr:uid="{9CA6474C-B7A5-41DF-A626-F2D656395F62}"/>
    <cellStyle name="20% - Accent3 2 3 3 3" xfId="5351" xr:uid="{00000000-0005-0000-0000-000073010000}"/>
    <cellStyle name="20% - Accent3 2 3 3 3 2" xfId="18012" xr:uid="{C6967C07-F67D-4A0C-BCE7-0E62D28CAB87}"/>
    <cellStyle name="20% - Accent3 2 3 3 4" xfId="9583" xr:uid="{4F2C73F9-2873-425D-AFA4-5F759BAB156C}"/>
    <cellStyle name="20% - Accent3 2 3 3 5" xfId="13794" xr:uid="{171B6F06-533A-4024-8285-40662FBA0EB8}"/>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20570" xr:uid="{88632805-09A3-4E08-8038-973DDD8298C4}"/>
    <cellStyle name="20% - Accent3 2 3 4 2 3" xfId="12141" xr:uid="{6974E446-53F3-41C6-ADCC-4685843C64B7}"/>
    <cellStyle name="20% - Accent3 2 3 4 2 4" xfId="16352" xr:uid="{AF5BB278-EEAB-4FAC-837D-757C9E7BCBD8}"/>
    <cellStyle name="20% - Accent3 2 3 4 3" xfId="5764" xr:uid="{00000000-0005-0000-0000-000077010000}"/>
    <cellStyle name="20% - Accent3 2 3 4 3 2" xfId="18425" xr:uid="{4B5BD0CA-3AE0-48B8-B01E-B1D4AC6982F6}"/>
    <cellStyle name="20% - Accent3 2 3 4 4" xfId="9996" xr:uid="{93B7F022-5A0E-41AC-8961-14D65A926FCE}"/>
    <cellStyle name="20% - Accent3 2 3 4 5" xfId="14207" xr:uid="{983F100E-495E-45A7-AF7C-DDDEBC00C817}"/>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20983" xr:uid="{947BF799-3EA9-4B12-AF32-17ADBC9E98FF}"/>
    <cellStyle name="20% - Accent3 2 3 5 2 3" xfId="12554" xr:uid="{98BF6064-6A4B-4038-99AC-9C71EF8D812E}"/>
    <cellStyle name="20% - Accent3 2 3 5 2 4" xfId="16765" xr:uid="{0F4C6C2B-003B-4918-B6E3-E8C48620DF14}"/>
    <cellStyle name="20% - Accent3 2 3 5 3" xfId="6177" xr:uid="{00000000-0005-0000-0000-00007B010000}"/>
    <cellStyle name="20% - Accent3 2 3 5 3 2" xfId="18838" xr:uid="{441FC7DA-E2BA-4A78-A12B-AE7AF569D2DD}"/>
    <cellStyle name="20% - Accent3 2 3 5 4" xfId="10409" xr:uid="{53BDD181-FA74-438C-B900-E6724E9DF08D}"/>
    <cellStyle name="20% - Accent3 2 3 5 5" xfId="14620" xr:uid="{709EC912-36DC-44AE-9DE1-B3E054705DE6}"/>
    <cellStyle name="20% - Accent3 2 3 6" xfId="2284" xr:uid="{00000000-0005-0000-0000-00007C010000}"/>
    <cellStyle name="20% - Accent3 2 3 6 2" xfId="6590" xr:uid="{00000000-0005-0000-0000-00007D010000}"/>
    <cellStyle name="20% - Accent3 2 3 6 2 2" xfId="19251" xr:uid="{8BE142E5-AAB9-4D1D-9EBE-65061B2A47E9}"/>
    <cellStyle name="20% - Accent3 2 3 6 3" xfId="10822" xr:uid="{60C75C11-BDE7-4109-8DDA-01A0F2B3ED0B}"/>
    <cellStyle name="20% - Accent3 2 3 6 4" xfId="15033" xr:uid="{2F1C056A-2FB3-4BCA-903E-38DEDB45AD1A}"/>
    <cellStyle name="20% - Accent3 2 3 7" xfId="4524" xr:uid="{00000000-0005-0000-0000-00007E010000}"/>
    <cellStyle name="20% - Accent3 2 3 7 2" xfId="17185" xr:uid="{59228F50-E54A-4D16-AC15-6FB53700D892}"/>
    <cellStyle name="20% - Accent3 2 3 8" xfId="8756" xr:uid="{A952AFC0-9711-4FA7-91A4-14BC888B0223}"/>
    <cellStyle name="20% - Accent3 2 3 9" xfId="12967" xr:uid="{A0AA9A09-E5BC-4822-9AB1-6F1EE7E65C97}"/>
    <cellStyle name="20% - Accent3 2 4" xfId="587" xr:uid="{00000000-0005-0000-0000-00007F010000}"/>
    <cellStyle name="20% - Accent3 2 4 2" xfId="2858" xr:uid="{00000000-0005-0000-0000-000080010000}"/>
    <cellStyle name="20% - Accent3 2 4 2 2" xfId="7080" xr:uid="{00000000-0005-0000-0000-000081010000}"/>
    <cellStyle name="20% - Accent3 2 4 2 2 2" xfId="19741" xr:uid="{D69665F6-CB06-46E1-93AF-6AA0B6195CC1}"/>
    <cellStyle name="20% - Accent3 2 4 2 3" xfId="11312" xr:uid="{3F6C4F21-B708-4876-A2E2-18304DDDCC3D}"/>
    <cellStyle name="20% - Accent3 2 4 2 4" xfId="15523" xr:uid="{013B8510-5BB3-4F29-BDE3-5BEF8F3160C4}"/>
    <cellStyle name="20% - Accent3 2 4 3" xfId="4935" xr:uid="{00000000-0005-0000-0000-000082010000}"/>
    <cellStyle name="20% - Accent3 2 4 3 2" xfId="17596" xr:uid="{C7A0D916-4C44-45C4-A20D-D3370A5BD416}"/>
    <cellStyle name="20% - Accent3 2 4 4" xfId="9167" xr:uid="{8576B97B-3D36-4214-9D79-AD614A720403}"/>
    <cellStyle name="20% - Accent3 2 4 5" xfId="13378" xr:uid="{81552A56-C70E-4965-93C9-8E5D7D68902E}"/>
    <cellStyle name="20% - Accent3 2 5" xfId="1040" xr:uid="{00000000-0005-0000-0000-000083010000}"/>
    <cellStyle name="20% - Accent3 2 5 2" xfId="3271" xr:uid="{00000000-0005-0000-0000-000084010000}"/>
    <cellStyle name="20% - Accent3 2 5 2 2" xfId="7493" xr:uid="{00000000-0005-0000-0000-000085010000}"/>
    <cellStyle name="20% - Accent3 2 5 2 2 2" xfId="20154" xr:uid="{079EA220-0E32-4F77-80AE-C304F6E114A2}"/>
    <cellStyle name="20% - Accent3 2 5 2 3" xfId="11725" xr:uid="{965054E6-FD2E-4723-AA93-2EB3B87841A4}"/>
    <cellStyle name="20% - Accent3 2 5 2 4" xfId="15936" xr:uid="{C7B37BF1-8400-4296-97F1-23F5CAA15648}"/>
    <cellStyle name="20% - Accent3 2 5 3" xfId="5348" xr:uid="{00000000-0005-0000-0000-000086010000}"/>
    <cellStyle name="20% - Accent3 2 5 3 2" xfId="18009" xr:uid="{048D2301-D26D-4658-9943-E0769B54E204}"/>
    <cellStyle name="20% - Accent3 2 5 4" xfId="9580" xr:uid="{3EF8B171-2488-41A6-BA97-1196652035FC}"/>
    <cellStyle name="20% - Accent3 2 5 5" xfId="13791" xr:uid="{066E5774-F340-4DFF-A569-7F96257BC5AF}"/>
    <cellStyle name="20% - Accent3 2 6" xfId="1454" xr:uid="{00000000-0005-0000-0000-000087010000}"/>
    <cellStyle name="20% - Accent3 2 6 2" xfId="3684" xr:uid="{00000000-0005-0000-0000-000088010000}"/>
    <cellStyle name="20% - Accent3 2 6 2 2" xfId="7906" xr:uid="{00000000-0005-0000-0000-000089010000}"/>
    <cellStyle name="20% - Accent3 2 6 2 2 2" xfId="20567" xr:uid="{88CBF09D-D84A-4F68-BAA0-2CEEB730CF02}"/>
    <cellStyle name="20% - Accent3 2 6 2 3" xfId="12138" xr:uid="{5FCB5EAE-49FB-4672-BF38-FB57E607492F}"/>
    <cellStyle name="20% - Accent3 2 6 2 4" xfId="16349" xr:uid="{E663F5D8-B8BD-4B53-8EC5-7F4A2A6FCEAC}"/>
    <cellStyle name="20% - Accent3 2 6 3" xfId="5761" xr:uid="{00000000-0005-0000-0000-00008A010000}"/>
    <cellStyle name="20% - Accent3 2 6 3 2" xfId="18422" xr:uid="{3E12AC3D-0FA7-414D-9119-D782E952D962}"/>
    <cellStyle name="20% - Accent3 2 6 4" xfId="9993" xr:uid="{56D05AA9-8779-416C-9CC6-B39307601324}"/>
    <cellStyle name="20% - Accent3 2 6 5" xfId="14204" xr:uid="{64B79D5C-7B08-461D-A400-6DF1BF8A05F8}"/>
    <cellStyle name="20% - Accent3 2 7" xfId="1868" xr:uid="{00000000-0005-0000-0000-00008B010000}"/>
    <cellStyle name="20% - Accent3 2 7 2" xfId="4097" xr:uid="{00000000-0005-0000-0000-00008C010000}"/>
    <cellStyle name="20% - Accent3 2 7 2 2" xfId="8319" xr:uid="{00000000-0005-0000-0000-00008D010000}"/>
    <cellStyle name="20% - Accent3 2 7 2 2 2" xfId="20980" xr:uid="{ECE41227-2770-481E-B254-041ADB7F1E76}"/>
    <cellStyle name="20% - Accent3 2 7 2 3" xfId="12551" xr:uid="{21A9EFE3-383B-4D21-9A69-8EBE4688653E}"/>
    <cellStyle name="20% - Accent3 2 7 2 4" xfId="16762" xr:uid="{249DC970-9FF9-49AB-83BC-C3B47C829CB4}"/>
    <cellStyle name="20% - Accent3 2 7 3" xfId="6174" xr:uid="{00000000-0005-0000-0000-00008E010000}"/>
    <cellStyle name="20% - Accent3 2 7 3 2" xfId="18835" xr:uid="{633DEA5D-EF8C-42E3-96CD-5BE22861C98A}"/>
    <cellStyle name="20% - Accent3 2 7 4" xfId="10406" xr:uid="{D03FB999-DBAA-495D-AF00-D49B0B85BDFA}"/>
    <cellStyle name="20% - Accent3 2 7 5" xfId="14617" xr:uid="{305CA1EC-1234-45CB-81BB-467C615089F1}"/>
    <cellStyle name="20% - Accent3 2 8" xfId="2281" xr:uid="{00000000-0005-0000-0000-00008F010000}"/>
    <cellStyle name="20% - Accent3 2 8 2" xfId="6587" xr:uid="{00000000-0005-0000-0000-000090010000}"/>
    <cellStyle name="20% - Accent3 2 8 2 2" xfId="19248" xr:uid="{DEAAFB12-CFCB-4955-8B39-D38408586520}"/>
    <cellStyle name="20% - Accent3 2 8 3" xfId="10819" xr:uid="{F43C6A07-5E8F-4E20-938A-E35131C198E3}"/>
    <cellStyle name="20% - Accent3 2 8 4" xfId="15030" xr:uid="{B19F38F1-668E-42F8-8D2F-1BCEEA851AB2}"/>
    <cellStyle name="20% - Accent3 2 9" xfId="4521" xr:uid="{00000000-0005-0000-0000-000091010000}"/>
    <cellStyle name="20% - Accent3 2 9 2" xfId="17182" xr:uid="{3294D515-82B2-4684-972A-71AA5C2EAFC9}"/>
    <cellStyle name="20% - Accent3 3" xfId="22" xr:uid="{00000000-0005-0000-0000-000092010000}"/>
    <cellStyle name="20% - Accent3 3 10" xfId="12968" xr:uid="{652ED606-9E95-4807-9EF7-3C781B7C961E}"/>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9746" xr:uid="{B923446D-BBAB-439C-8E2E-5ABA132283D3}"/>
    <cellStyle name="20% - Accent3 3 2 2 2 3" xfId="11317" xr:uid="{C8695727-913A-4932-84E0-E4D9984E50F6}"/>
    <cellStyle name="20% - Accent3 3 2 2 2 4" xfId="15528" xr:uid="{B889F02B-82DD-4A64-8139-C52F64E81256}"/>
    <cellStyle name="20% - Accent3 3 2 2 3" xfId="4940" xr:uid="{00000000-0005-0000-0000-000097010000}"/>
    <cellStyle name="20% - Accent3 3 2 2 3 2" xfId="17601" xr:uid="{9C0FADB5-C632-462E-94F0-5BBF5630A4CE}"/>
    <cellStyle name="20% - Accent3 3 2 2 4" xfId="9172" xr:uid="{E0BAB578-4808-475E-804B-A70F40363B10}"/>
    <cellStyle name="20% - Accent3 3 2 2 5" xfId="13383" xr:uid="{1E386369-A2DB-4C65-B9B6-3D2CEA1A26E5}"/>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20159" xr:uid="{CEE9CD2D-6274-4F58-8E94-9273C47A8EEC}"/>
    <cellStyle name="20% - Accent3 3 2 3 2 3" xfId="11730" xr:uid="{1A1F2A89-ED3E-4927-A84B-34259B4FD183}"/>
    <cellStyle name="20% - Accent3 3 2 3 2 4" xfId="15941" xr:uid="{00902396-4B1E-4E34-9AB8-8658E854C3E2}"/>
    <cellStyle name="20% - Accent3 3 2 3 3" xfId="5353" xr:uid="{00000000-0005-0000-0000-00009B010000}"/>
    <cellStyle name="20% - Accent3 3 2 3 3 2" xfId="18014" xr:uid="{835CF55A-D3B2-47BF-BB42-C5A2DF991643}"/>
    <cellStyle name="20% - Accent3 3 2 3 4" xfId="9585" xr:uid="{4AE67D41-3203-4112-A69B-8DCA1C84C1F8}"/>
    <cellStyle name="20% - Accent3 3 2 3 5" xfId="13796" xr:uid="{5D0E3F14-15D6-40E2-A709-436E1E2E6124}"/>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20572" xr:uid="{7380D10D-74A2-4C38-AC1A-9B1C067F3020}"/>
    <cellStyle name="20% - Accent3 3 2 4 2 3" xfId="12143" xr:uid="{5B440007-D47D-48F8-9341-B85DEAB0C7E4}"/>
    <cellStyle name="20% - Accent3 3 2 4 2 4" xfId="16354" xr:uid="{645C252D-D467-4DA5-B7AC-7D46C0E55EDD}"/>
    <cellStyle name="20% - Accent3 3 2 4 3" xfId="5766" xr:uid="{00000000-0005-0000-0000-00009F010000}"/>
    <cellStyle name="20% - Accent3 3 2 4 3 2" xfId="18427" xr:uid="{07428929-65A8-4542-A153-A80626759C13}"/>
    <cellStyle name="20% - Accent3 3 2 4 4" xfId="9998" xr:uid="{81B55A2C-FB21-4CCD-9DFB-A2A3F5319A63}"/>
    <cellStyle name="20% - Accent3 3 2 4 5" xfId="14209" xr:uid="{651AFB1F-03F0-4778-9D0B-6331EA6B0BD8}"/>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20985" xr:uid="{E4F163E0-ACA0-486D-AB72-240509D87A9A}"/>
    <cellStyle name="20% - Accent3 3 2 5 2 3" xfId="12556" xr:uid="{6C722B2A-287F-4295-AA5B-CD6B43E5CDAF}"/>
    <cellStyle name="20% - Accent3 3 2 5 2 4" xfId="16767" xr:uid="{581D7A8F-1271-4CBB-B1AD-A0BBB2C0F69D}"/>
    <cellStyle name="20% - Accent3 3 2 5 3" xfId="6179" xr:uid="{00000000-0005-0000-0000-0000A3010000}"/>
    <cellStyle name="20% - Accent3 3 2 5 3 2" xfId="18840" xr:uid="{97E30299-035B-4F00-A8EB-1CD56A59CD00}"/>
    <cellStyle name="20% - Accent3 3 2 5 4" xfId="10411" xr:uid="{AF3B49DC-94C6-4462-AFDF-9BB16BE429F8}"/>
    <cellStyle name="20% - Accent3 3 2 5 5" xfId="14622" xr:uid="{3B469AF6-5389-4E9A-A55A-C06FFE4BAA2A}"/>
    <cellStyle name="20% - Accent3 3 2 6" xfId="2286" xr:uid="{00000000-0005-0000-0000-0000A4010000}"/>
    <cellStyle name="20% - Accent3 3 2 6 2" xfId="6592" xr:uid="{00000000-0005-0000-0000-0000A5010000}"/>
    <cellStyle name="20% - Accent3 3 2 6 2 2" xfId="19253" xr:uid="{9B652347-9B09-435F-BCFA-C036D2408EF5}"/>
    <cellStyle name="20% - Accent3 3 2 6 3" xfId="10824" xr:uid="{45681F7B-12CB-4CAB-8E28-7E8C4D4C176C}"/>
    <cellStyle name="20% - Accent3 3 2 6 4" xfId="15035" xr:uid="{FB2C6EFD-3E15-4C78-97AC-69B337D6E796}"/>
    <cellStyle name="20% - Accent3 3 2 7" xfId="4526" xr:uid="{00000000-0005-0000-0000-0000A6010000}"/>
    <cellStyle name="20% - Accent3 3 2 7 2" xfId="17187" xr:uid="{962276D9-A066-4245-ACD8-A806C7A3440F}"/>
    <cellStyle name="20% - Accent3 3 2 8" xfId="8758" xr:uid="{C2C49507-62ED-4BD0-85A2-AA24B16B4836}"/>
    <cellStyle name="20% - Accent3 3 2 9" xfId="12969" xr:uid="{CD0C9BD2-F395-4493-A345-76FD222870E4}"/>
    <cellStyle name="20% - Accent3 3 3" xfId="591" xr:uid="{00000000-0005-0000-0000-0000A7010000}"/>
    <cellStyle name="20% - Accent3 3 3 2" xfId="2862" xr:uid="{00000000-0005-0000-0000-0000A8010000}"/>
    <cellStyle name="20% - Accent3 3 3 2 2" xfId="7084" xr:uid="{00000000-0005-0000-0000-0000A9010000}"/>
    <cellStyle name="20% - Accent3 3 3 2 2 2" xfId="19745" xr:uid="{3BE9D917-2C7B-4759-A6B1-37AC0DF7E222}"/>
    <cellStyle name="20% - Accent3 3 3 2 3" xfId="11316" xr:uid="{8791EC3E-3660-451E-86BE-A86B92D6C6F7}"/>
    <cellStyle name="20% - Accent3 3 3 2 4" xfId="15527" xr:uid="{8472D86D-E5E7-4489-9C92-B53AD6C99246}"/>
    <cellStyle name="20% - Accent3 3 3 3" xfId="4939" xr:uid="{00000000-0005-0000-0000-0000AA010000}"/>
    <cellStyle name="20% - Accent3 3 3 3 2" xfId="17600" xr:uid="{77578F68-504A-4336-8DEF-E9006B21F86C}"/>
    <cellStyle name="20% - Accent3 3 3 4" xfId="9171" xr:uid="{EBBAB713-B1A5-485C-A979-F81EA55D2A24}"/>
    <cellStyle name="20% - Accent3 3 3 5" xfId="13382" xr:uid="{01615EE4-00B5-40C2-BD34-B90AEA1117D6}"/>
    <cellStyle name="20% - Accent3 3 4" xfId="1044" xr:uid="{00000000-0005-0000-0000-0000AB010000}"/>
    <cellStyle name="20% - Accent3 3 4 2" xfId="3275" xr:uid="{00000000-0005-0000-0000-0000AC010000}"/>
    <cellStyle name="20% - Accent3 3 4 2 2" xfId="7497" xr:uid="{00000000-0005-0000-0000-0000AD010000}"/>
    <cellStyle name="20% - Accent3 3 4 2 2 2" xfId="20158" xr:uid="{D334AB9F-2CB5-4A10-90C8-97B5390EF58E}"/>
    <cellStyle name="20% - Accent3 3 4 2 3" xfId="11729" xr:uid="{C508A461-F106-4F34-9E53-5891A27C4300}"/>
    <cellStyle name="20% - Accent3 3 4 2 4" xfId="15940" xr:uid="{6749CD73-D3C4-43F3-8C18-369B7D4AC506}"/>
    <cellStyle name="20% - Accent3 3 4 3" xfId="5352" xr:uid="{00000000-0005-0000-0000-0000AE010000}"/>
    <cellStyle name="20% - Accent3 3 4 3 2" xfId="18013" xr:uid="{F0D99FED-CA66-4A91-BABD-4A0A44EC3883}"/>
    <cellStyle name="20% - Accent3 3 4 4" xfId="9584" xr:uid="{EB316433-75BD-454C-AA59-0566C12C4910}"/>
    <cellStyle name="20% - Accent3 3 4 5" xfId="13795" xr:uid="{15C68E90-52CC-45C6-BF80-9A97750F6475}"/>
    <cellStyle name="20% - Accent3 3 5" xfId="1458" xr:uid="{00000000-0005-0000-0000-0000AF010000}"/>
    <cellStyle name="20% - Accent3 3 5 2" xfId="3688" xr:uid="{00000000-0005-0000-0000-0000B0010000}"/>
    <cellStyle name="20% - Accent3 3 5 2 2" xfId="7910" xr:uid="{00000000-0005-0000-0000-0000B1010000}"/>
    <cellStyle name="20% - Accent3 3 5 2 2 2" xfId="20571" xr:uid="{F2DB9EC4-BFBD-4E3F-B008-2A3FE77AC173}"/>
    <cellStyle name="20% - Accent3 3 5 2 3" xfId="12142" xr:uid="{0378441B-A19C-4443-BA29-EC7284B71E23}"/>
    <cellStyle name="20% - Accent3 3 5 2 4" xfId="16353" xr:uid="{115E9877-A50B-408D-98E2-8D8D9B590114}"/>
    <cellStyle name="20% - Accent3 3 5 3" xfId="5765" xr:uid="{00000000-0005-0000-0000-0000B2010000}"/>
    <cellStyle name="20% - Accent3 3 5 3 2" xfId="18426" xr:uid="{7D7659A4-B47F-4240-8832-E7BFD8962071}"/>
    <cellStyle name="20% - Accent3 3 5 4" xfId="9997" xr:uid="{9F06BE67-1147-4A79-B293-84C9466C7915}"/>
    <cellStyle name="20% - Accent3 3 5 5" xfId="14208" xr:uid="{B9A1F293-8BFD-4942-A37B-273C13994FB0}"/>
    <cellStyle name="20% - Accent3 3 6" xfId="1872" xr:uid="{00000000-0005-0000-0000-0000B3010000}"/>
    <cellStyle name="20% - Accent3 3 6 2" xfId="4101" xr:uid="{00000000-0005-0000-0000-0000B4010000}"/>
    <cellStyle name="20% - Accent3 3 6 2 2" xfId="8323" xr:uid="{00000000-0005-0000-0000-0000B5010000}"/>
    <cellStyle name="20% - Accent3 3 6 2 2 2" xfId="20984" xr:uid="{2D38AF4E-CF59-4AFF-947D-5BA595462D6D}"/>
    <cellStyle name="20% - Accent3 3 6 2 3" xfId="12555" xr:uid="{91501152-C2DA-4A7B-A76F-AD6DD2CDACA5}"/>
    <cellStyle name="20% - Accent3 3 6 2 4" xfId="16766" xr:uid="{7C121642-F3BD-4DAD-80DB-DAF409788DA0}"/>
    <cellStyle name="20% - Accent3 3 6 3" xfId="6178" xr:uid="{00000000-0005-0000-0000-0000B6010000}"/>
    <cellStyle name="20% - Accent3 3 6 3 2" xfId="18839" xr:uid="{17D9352F-F70C-43BF-A363-A59DE4DE001E}"/>
    <cellStyle name="20% - Accent3 3 6 4" xfId="10410" xr:uid="{9D5AD8E6-4B9E-4120-B738-DF267259A8C4}"/>
    <cellStyle name="20% - Accent3 3 6 5" xfId="14621" xr:uid="{56B1775B-8401-4413-896D-DB87FC4EA044}"/>
    <cellStyle name="20% - Accent3 3 7" xfId="2285" xr:uid="{00000000-0005-0000-0000-0000B7010000}"/>
    <cellStyle name="20% - Accent3 3 7 2" xfId="6591" xr:uid="{00000000-0005-0000-0000-0000B8010000}"/>
    <cellStyle name="20% - Accent3 3 7 2 2" xfId="19252" xr:uid="{875D02C2-7B8C-4D68-B71B-E24D539F3680}"/>
    <cellStyle name="20% - Accent3 3 7 3" xfId="10823" xr:uid="{EE1293E3-D36D-4108-B713-D3C215F35840}"/>
    <cellStyle name="20% - Accent3 3 7 4" xfId="15034" xr:uid="{8C17FE97-904C-4903-A74C-99A64C067CCC}"/>
    <cellStyle name="20% - Accent3 3 8" xfId="4525" xr:uid="{00000000-0005-0000-0000-0000B9010000}"/>
    <cellStyle name="20% - Accent3 3 8 2" xfId="17186" xr:uid="{5D011865-34AF-4B9D-B8EC-C4756DF88B50}"/>
    <cellStyle name="20% - Accent3 3 9" xfId="8757" xr:uid="{C1777721-F5D8-494E-AE71-63FDD44DA0C4}"/>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9747" xr:uid="{B1D65568-07DF-4BF0-9A63-2E2022036012}"/>
    <cellStyle name="20% - Accent3 4 2 2 3" xfId="11318" xr:uid="{4839F4CB-3FD8-4CDD-9BAB-FA02DFE9870D}"/>
    <cellStyle name="20% - Accent3 4 2 2 4" xfId="15529" xr:uid="{D356EF62-C30C-4BE3-B757-8D54468F86BB}"/>
    <cellStyle name="20% - Accent3 4 2 3" xfId="4941" xr:uid="{00000000-0005-0000-0000-0000BE010000}"/>
    <cellStyle name="20% - Accent3 4 2 3 2" xfId="17602" xr:uid="{B3F10B4F-5C22-4DC7-9EF0-B462A36F04CE}"/>
    <cellStyle name="20% - Accent3 4 2 4" xfId="9173" xr:uid="{401591E1-9B77-476F-AC51-E5391AC4D90E}"/>
    <cellStyle name="20% - Accent3 4 2 5" xfId="13384" xr:uid="{5FF47E7D-DA06-4CB3-ADBB-ECA08CAD7194}"/>
    <cellStyle name="20% - Accent3 4 3" xfId="1046" xr:uid="{00000000-0005-0000-0000-0000BF010000}"/>
    <cellStyle name="20% - Accent3 4 3 2" xfId="3277" xr:uid="{00000000-0005-0000-0000-0000C0010000}"/>
    <cellStyle name="20% - Accent3 4 3 2 2" xfId="7499" xr:uid="{00000000-0005-0000-0000-0000C1010000}"/>
    <cellStyle name="20% - Accent3 4 3 2 2 2" xfId="20160" xr:uid="{82A38E8C-35E8-4799-852B-05999BBE4CDF}"/>
    <cellStyle name="20% - Accent3 4 3 2 3" xfId="11731" xr:uid="{06E034D4-F450-42A9-A00D-A76A787368FA}"/>
    <cellStyle name="20% - Accent3 4 3 2 4" xfId="15942" xr:uid="{E3571D86-A35F-4288-8217-F9D60B929352}"/>
    <cellStyle name="20% - Accent3 4 3 3" xfId="5354" xr:uid="{00000000-0005-0000-0000-0000C2010000}"/>
    <cellStyle name="20% - Accent3 4 3 3 2" xfId="18015" xr:uid="{EFC22689-EF73-4380-AEFD-B55D1D5FAEE9}"/>
    <cellStyle name="20% - Accent3 4 3 4" xfId="9586" xr:uid="{CDB42326-6B3F-4450-A633-F92AB973B702}"/>
    <cellStyle name="20% - Accent3 4 3 5" xfId="13797" xr:uid="{2A241FB6-1238-4AA4-AE3F-3AFFE6D19DE8}"/>
    <cellStyle name="20% - Accent3 4 4" xfId="1460" xr:uid="{00000000-0005-0000-0000-0000C3010000}"/>
    <cellStyle name="20% - Accent3 4 4 2" xfId="3690" xr:uid="{00000000-0005-0000-0000-0000C4010000}"/>
    <cellStyle name="20% - Accent3 4 4 2 2" xfId="7912" xr:uid="{00000000-0005-0000-0000-0000C5010000}"/>
    <cellStyle name="20% - Accent3 4 4 2 2 2" xfId="20573" xr:uid="{CB65C0BD-83AD-4917-AE72-88B66A6A41F2}"/>
    <cellStyle name="20% - Accent3 4 4 2 3" xfId="12144" xr:uid="{0D6347F9-118F-418E-8C4E-A44684626506}"/>
    <cellStyle name="20% - Accent3 4 4 2 4" xfId="16355" xr:uid="{204A9965-49F7-4165-BD1F-1FF91EEAF62F}"/>
    <cellStyle name="20% - Accent3 4 4 3" xfId="5767" xr:uid="{00000000-0005-0000-0000-0000C6010000}"/>
    <cellStyle name="20% - Accent3 4 4 3 2" xfId="18428" xr:uid="{0D16B092-5846-4920-AB62-1B7D5363D2D9}"/>
    <cellStyle name="20% - Accent3 4 4 4" xfId="9999" xr:uid="{48CBD454-DB39-47DC-8666-5C1B0D937D08}"/>
    <cellStyle name="20% - Accent3 4 4 5" xfId="14210" xr:uid="{5CBA35AF-8430-435B-A57F-AF1F00FFEB60}"/>
    <cellStyle name="20% - Accent3 4 5" xfId="1874" xr:uid="{00000000-0005-0000-0000-0000C7010000}"/>
    <cellStyle name="20% - Accent3 4 5 2" xfId="4103" xr:uid="{00000000-0005-0000-0000-0000C8010000}"/>
    <cellStyle name="20% - Accent3 4 5 2 2" xfId="8325" xr:uid="{00000000-0005-0000-0000-0000C9010000}"/>
    <cellStyle name="20% - Accent3 4 5 2 2 2" xfId="20986" xr:uid="{8C6D3CE0-64F7-42DD-950B-32ED47220871}"/>
    <cellStyle name="20% - Accent3 4 5 2 3" xfId="12557" xr:uid="{7DED5E48-B62F-4606-8D38-F3BBC06A5E1D}"/>
    <cellStyle name="20% - Accent3 4 5 2 4" xfId="16768" xr:uid="{1F33885E-E463-4515-B46C-234B63720868}"/>
    <cellStyle name="20% - Accent3 4 5 3" xfId="6180" xr:uid="{00000000-0005-0000-0000-0000CA010000}"/>
    <cellStyle name="20% - Accent3 4 5 3 2" xfId="18841" xr:uid="{981CB211-3143-4FD1-9B95-AF57FBF87DED}"/>
    <cellStyle name="20% - Accent3 4 5 4" xfId="10412" xr:uid="{C925FAEC-A3E4-46E4-8892-9B8F1DBC9FCE}"/>
    <cellStyle name="20% - Accent3 4 5 5" xfId="14623" xr:uid="{A2E4A45F-DFBF-4AD9-9232-E62BE0C75FD1}"/>
    <cellStyle name="20% - Accent3 4 6" xfId="2287" xr:uid="{00000000-0005-0000-0000-0000CB010000}"/>
    <cellStyle name="20% - Accent3 4 6 2" xfId="6593" xr:uid="{00000000-0005-0000-0000-0000CC010000}"/>
    <cellStyle name="20% - Accent3 4 6 2 2" xfId="19254" xr:uid="{2041799D-338A-45A8-9F86-D25085505AE9}"/>
    <cellStyle name="20% - Accent3 4 6 3" xfId="10825" xr:uid="{11DA6888-37E7-4F88-B8A9-0C0F35CF5526}"/>
    <cellStyle name="20% - Accent3 4 6 4" xfId="15036" xr:uid="{2A611384-A99F-4994-865F-599B47C9B679}"/>
    <cellStyle name="20% - Accent3 4 7" xfId="4527" xr:uid="{00000000-0005-0000-0000-0000CD010000}"/>
    <cellStyle name="20% - Accent3 4 7 2" xfId="17188" xr:uid="{478C1032-2878-4EA7-A4AC-67DAE16D4997}"/>
    <cellStyle name="20% - Accent3 4 8" xfId="8759" xr:uid="{93461A55-0ED8-40AE-A5ED-F59B382306A6}"/>
    <cellStyle name="20% - Accent3 4 9" xfId="12970" xr:uid="{A598D9ED-E75D-42B3-A317-CE9EE1FEBA8B}"/>
    <cellStyle name="20% - Accent3 5" xfId="586" xr:uid="{00000000-0005-0000-0000-0000CE010000}"/>
    <cellStyle name="20% - Accent3 5 2" xfId="2857" xr:uid="{00000000-0005-0000-0000-0000CF010000}"/>
    <cellStyle name="20% - Accent3 5 2 2" xfId="7079" xr:uid="{00000000-0005-0000-0000-0000D0010000}"/>
    <cellStyle name="20% - Accent3 5 2 2 2" xfId="19740" xr:uid="{EF560DE9-75E8-4543-BE9F-6B9EA620213D}"/>
    <cellStyle name="20% - Accent3 5 2 3" xfId="11311" xr:uid="{EDEE31A2-1E34-45F7-A51C-D279A7989398}"/>
    <cellStyle name="20% - Accent3 5 2 4" xfId="15522" xr:uid="{FAC96E12-9329-4C63-B3CF-0E1418238F11}"/>
    <cellStyle name="20% - Accent3 5 3" xfId="4934" xr:uid="{00000000-0005-0000-0000-0000D1010000}"/>
    <cellStyle name="20% - Accent3 5 3 2" xfId="17595" xr:uid="{B2F7E6F5-89E6-4EFF-B045-ED8BC37CBB48}"/>
    <cellStyle name="20% - Accent3 5 4" xfId="9166" xr:uid="{90DDC0BF-B1B6-46AA-AE43-08D054C0A47E}"/>
    <cellStyle name="20% - Accent3 5 5" xfId="13377" xr:uid="{D7709036-0547-4119-8E85-999ADF80E5D2}"/>
    <cellStyle name="20% - Accent3 6" xfId="1039" xr:uid="{00000000-0005-0000-0000-0000D2010000}"/>
    <cellStyle name="20% - Accent3 6 2" xfId="3270" xr:uid="{00000000-0005-0000-0000-0000D3010000}"/>
    <cellStyle name="20% - Accent3 6 2 2" xfId="7492" xr:uid="{00000000-0005-0000-0000-0000D4010000}"/>
    <cellStyle name="20% - Accent3 6 2 2 2" xfId="20153" xr:uid="{1D03F2CD-F6A1-424A-B615-F93F51EE39B7}"/>
    <cellStyle name="20% - Accent3 6 2 3" xfId="11724" xr:uid="{4B4A77E0-625A-4317-8046-8EDBD791A518}"/>
    <cellStyle name="20% - Accent3 6 2 4" xfId="15935" xr:uid="{5918379A-6AD1-49A5-A8B3-9B9CCB734944}"/>
    <cellStyle name="20% - Accent3 6 3" xfId="5347" xr:uid="{00000000-0005-0000-0000-0000D5010000}"/>
    <cellStyle name="20% - Accent3 6 3 2" xfId="18008" xr:uid="{686E60A4-DAED-408E-9420-F43FC202F9DB}"/>
    <cellStyle name="20% - Accent3 6 4" xfId="9579" xr:uid="{A7F7A4FA-1FA7-4879-AC04-24F76E48746E}"/>
    <cellStyle name="20% - Accent3 6 5" xfId="13790" xr:uid="{7AC7E8AD-D3B4-451C-A791-D04E204F83F1}"/>
    <cellStyle name="20% - Accent3 7" xfId="1453" xr:uid="{00000000-0005-0000-0000-0000D6010000}"/>
    <cellStyle name="20% - Accent3 7 2" xfId="3683" xr:uid="{00000000-0005-0000-0000-0000D7010000}"/>
    <cellStyle name="20% - Accent3 7 2 2" xfId="7905" xr:uid="{00000000-0005-0000-0000-0000D8010000}"/>
    <cellStyle name="20% - Accent3 7 2 2 2" xfId="20566" xr:uid="{9BFCF56B-0E46-4726-A11B-B4A33B4764C9}"/>
    <cellStyle name="20% - Accent3 7 2 3" xfId="12137" xr:uid="{E788E0F8-55EE-4320-AED2-65DEC839024D}"/>
    <cellStyle name="20% - Accent3 7 2 4" xfId="16348" xr:uid="{04B3A27C-229B-49C4-AE03-A988232CFEFE}"/>
    <cellStyle name="20% - Accent3 7 3" xfId="5760" xr:uid="{00000000-0005-0000-0000-0000D9010000}"/>
    <cellStyle name="20% - Accent3 7 3 2" xfId="18421" xr:uid="{09D258C0-473B-40F2-BC00-4BECD640FC5F}"/>
    <cellStyle name="20% - Accent3 7 4" xfId="9992" xr:uid="{81F42768-3415-47AB-ADE7-203DB8761EDF}"/>
    <cellStyle name="20% - Accent3 7 5" xfId="14203" xr:uid="{DEA889E5-2898-49C8-B33D-9642752400EE}"/>
    <cellStyle name="20% - Accent3 8" xfId="1867" xr:uid="{00000000-0005-0000-0000-0000DA010000}"/>
    <cellStyle name="20% - Accent3 8 2" xfId="4096" xr:uid="{00000000-0005-0000-0000-0000DB010000}"/>
    <cellStyle name="20% - Accent3 8 2 2" xfId="8318" xr:uid="{00000000-0005-0000-0000-0000DC010000}"/>
    <cellStyle name="20% - Accent3 8 2 2 2" xfId="20979" xr:uid="{54B1D2D5-9A2E-41C5-A23E-8FD6202547E7}"/>
    <cellStyle name="20% - Accent3 8 2 3" xfId="12550" xr:uid="{BD2E48FF-B0F1-4486-8E77-4A2C97D52EA8}"/>
    <cellStyle name="20% - Accent3 8 2 4" xfId="16761" xr:uid="{2F6EC760-ACF3-4767-8138-634273C9F722}"/>
    <cellStyle name="20% - Accent3 8 3" xfId="6173" xr:uid="{00000000-0005-0000-0000-0000DD010000}"/>
    <cellStyle name="20% - Accent3 8 3 2" xfId="18834" xr:uid="{561FEA61-4865-468A-AE91-5F2D42B3E38E}"/>
    <cellStyle name="20% - Accent3 8 4" xfId="10405" xr:uid="{6ED0CAEA-D310-4B8C-94AA-F4062D30A871}"/>
    <cellStyle name="20% - Accent3 8 5" xfId="14616" xr:uid="{2216D6C5-B087-482D-82C0-B074AF5C2738}"/>
    <cellStyle name="20% - Accent3 9" xfId="2280" xr:uid="{00000000-0005-0000-0000-0000DE010000}"/>
    <cellStyle name="20% - Accent3 9 2" xfId="6586" xr:uid="{00000000-0005-0000-0000-0000DF010000}"/>
    <cellStyle name="20% - Accent3 9 2 2" xfId="19247" xr:uid="{B9966E89-603D-4828-AC38-834C7D246E3F}"/>
    <cellStyle name="20% - Accent3 9 3" xfId="10818" xr:uid="{A8E8E0C4-D85B-4874-B4F5-16CEEAC69D16}"/>
    <cellStyle name="20% - Accent3 9 4" xfId="15029" xr:uid="{7A09E1A6-F664-4119-B82F-0AA49EEFE519}"/>
    <cellStyle name="20% - Accent4" xfId="25" builtinId="42" customBuiltin="1"/>
    <cellStyle name="20% - Accent4 10" xfId="4528" xr:uid="{00000000-0005-0000-0000-0000E1010000}"/>
    <cellStyle name="20% - Accent4 10 2" xfId="17189" xr:uid="{91D09C83-A79F-4218-8497-531E0942BAE1}"/>
    <cellStyle name="20% - Accent4 11" xfId="8760" xr:uid="{8AAB8985-5A65-446C-A6F5-5A8127E74EDE}"/>
    <cellStyle name="20% - Accent4 12" xfId="12971" xr:uid="{619EA496-593D-4D21-B58C-F6688B4ED569}"/>
    <cellStyle name="20% - Accent4 2" xfId="26" xr:uid="{00000000-0005-0000-0000-0000E2010000}"/>
    <cellStyle name="20% - Accent4 2 10" xfId="8761" xr:uid="{59A9BA62-CF45-4A32-9033-885E48C340D6}"/>
    <cellStyle name="20% - Accent4 2 11" xfId="12972" xr:uid="{242F7229-D9C8-4050-875B-70AC07B0DD80}"/>
    <cellStyle name="20% - Accent4 2 2" xfId="27" xr:uid="{00000000-0005-0000-0000-0000E3010000}"/>
    <cellStyle name="20% - Accent4 2 2 10" xfId="12973" xr:uid="{15B990DC-56AF-40FB-913B-29464CE3CD77}"/>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9751" xr:uid="{6DA67D44-91C9-4116-A1A7-8CCE95FE030A}"/>
    <cellStyle name="20% - Accent4 2 2 2 2 2 3" xfId="11322" xr:uid="{47B4E5D8-4299-40B3-AB24-10817A16C580}"/>
    <cellStyle name="20% - Accent4 2 2 2 2 2 4" xfId="15533" xr:uid="{697AD87E-3A27-42F6-94BE-99E44DFA64A3}"/>
    <cellStyle name="20% - Accent4 2 2 2 2 3" xfId="4945" xr:uid="{00000000-0005-0000-0000-0000E8010000}"/>
    <cellStyle name="20% - Accent4 2 2 2 2 3 2" xfId="17606" xr:uid="{3AC96D4B-788F-41C0-B0B4-4DCA65E0917A}"/>
    <cellStyle name="20% - Accent4 2 2 2 2 4" xfId="9177" xr:uid="{33A04C18-A504-402C-94D0-52FEB791FCC3}"/>
    <cellStyle name="20% - Accent4 2 2 2 2 5" xfId="13388" xr:uid="{33CAE459-248C-4A44-93DC-2BB29F656D4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20164" xr:uid="{16C1FF25-76D4-4468-ABCA-7F0B1BB86994}"/>
    <cellStyle name="20% - Accent4 2 2 2 3 2 3" xfId="11735" xr:uid="{79885745-A627-49F7-92FC-1774504C676D}"/>
    <cellStyle name="20% - Accent4 2 2 2 3 2 4" xfId="15946" xr:uid="{0AB89B7A-3864-4FEE-B838-27C1FAD327E4}"/>
    <cellStyle name="20% - Accent4 2 2 2 3 3" xfId="5358" xr:uid="{00000000-0005-0000-0000-0000EC010000}"/>
    <cellStyle name="20% - Accent4 2 2 2 3 3 2" xfId="18019" xr:uid="{F90FCBAB-DC27-4934-A9FD-3AB71E2EBB89}"/>
    <cellStyle name="20% - Accent4 2 2 2 3 4" xfId="9590" xr:uid="{26DA8E3D-4052-46FE-9127-B3C689B7FAE5}"/>
    <cellStyle name="20% - Accent4 2 2 2 3 5" xfId="13801" xr:uid="{378B4B8F-4A4E-4257-973B-778898A0B13D}"/>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20577" xr:uid="{E7F9E195-126A-45D9-94AA-C4200E58D38F}"/>
    <cellStyle name="20% - Accent4 2 2 2 4 2 3" xfId="12148" xr:uid="{BE10A47E-1E2F-4518-8A44-C523F232DB17}"/>
    <cellStyle name="20% - Accent4 2 2 2 4 2 4" xfId="16359" xr:uid="{EA8356D5-0913-4B6C-9AE3-9312E40BF603}"/>
    <cellStyle name="20% - Accent4 2 2 2 4 3" xfId="5771" xr:uid="{00000000-0005-0000-0000-0000F0010000}"/>
    <cellStyle name="20% - Accent4 2 2 2 4 3 2" xfId="18432" xr:uid="{E10F7FA2-4914-45F8-BCDE-6257A34A7E0A}"/>
    <cellStyle name="20% - Accent4 2 2 2 4 4" xfId="10003" xr:uid="{C0291811-E659-4B3E-8767-283AD7447A62}"/>
    <cellStyle name="20% - Accent4 2 2 2 4 5" xfId="14214" xr:uid="{D8717A93-79CA-4B0A-B94D-3B29E042D8A2}"/>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20990" xr:uid="{D6A40C2A-E150-44DB-BFB7-491D911A0CF0}"/>
    <cellStyle name="20% - Accent4 2 2 2 5 2 3" xfId="12561" xr:uid="{BE169505-466F-41CF-8A06-83290957D8DB}"/>
    <cellStyle name="20% - Accent4 2 2 2 5 2 4" xfId="16772" xr:uid="{6441042E-3A3A-44AB-B937-B690ED8C18CD}"/>
    <cellStyle name="20% - Accent4 2 2 2 5 3" xfId="6184" xr:uid="{00000000-0005-0000-0000-0000F4010000}"/>
    <cellStyle name="20% - Accent4 2 2 2 5 3 2" xfId="18845" xr:uid="{14E0F377-B4CA-4C95-A17B-C2BF1DDAA7D1}"/>
    <cellStyle name="20% - Accent4 2 2 2 5 4" xfId="10416" xr:uid="{A18C95F8-7196-47D2-8F10-6EC93BD0C4D2}"/>
    <cellStyle name="20% - Accent4 2 2 2 5 5" xfId="14627" xr:uid="{69F4F8A3-8E8A-478D-B9BA-A780368A729F}"/>
    <cellStyle name="20% - Accent4 2 2 2 6" xfId="2291" xr:uid="{00000000-0005-0000-0000-0000F5010000}"/>
    <cellStyle name="20% - Accent4 2 2 2 6 2" xfId="6597" xr:uid="{00000000-0005-0000-0000-0000F6010000}"/>
    <cellStyle name="20% - Accent4 2 2 2 6 2 2" xfId="19258" xr:uid="{2A0CC116-D029-4D8E-AD27-79AC12232469}"/>
    <cellStyle name="20% - Accent4 2 2 2 6 3" xfId="10829" xr:uid="{6E6B148B-DB7A-4991-9EBC-C9543C54E1E9}"/>
    <cellStyle name="20% - Accent4 2 2 2 6 4" xfId="15040" xr:uid="{B039980F-4170-431D-9B14-A910A8743FA0}"/>
    <cellStyle name="20% - Accent4 2 2 2 7" xfId="4531" xr:uid="{00000000-0005-0000-0000-0000F7010000}"/>
    <cellStyle name="20% - Accent4 2 2 2 7 2" xfId="17192" xr:uid="{0E417C8B-BF01-413F-A4DD-EC16353894AA}"/>
    <cellStyle name="20% - Accent4 2 2 2 8" xfId="8763" xr:uid="{28824C30-870C-46E0-8E9E-E4AA0DAF5DD2}"/>
    <cellStyle name="20% - Accent4 2 2 2 9" xfId="12974" xr:uid="{EA3232C6-8DAB-4115-A478-86BC5543D64B}"/>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9750" xr:uid="{612CD48D-EDB1-4251-906F-B1B927A8E6F4}"/>
    <cellStyle name="20% - Accent4 2 2 3 2 3" xfId="11321" xr:uid="{497B270A-055E-44AA-8F12-D48561919429}"/>
    <cellStyle name="20% - Accent4 2 2 3 2 4" xfId="15532" xr:uid="{F06F4A40-07BF-449A-9695-6C17BC19EA83}"/>
    <cellStyle name="20% - Accent4 2 2 3 3" xfId="4944" xr:uid="{00000000-0005-0000-0000-0000FB010000}"/>
    <cellStyle name="20% - Accent4 2 2 3 3 2" xfId="17605" xr:uid="{C812702A-31DF-430A-B5D1-93FEA654B6A6}"/>
    <cellStyle name="20% - Accent4 2 2 3 4" xfId="9176" xr:uid="{5794797B-2A70-4F28-8940-F9039B2CE18E}"/>
    <cellStyle name="20% - Accent4 2 2 3 5" xfId="13387" xr:uid="{CB4BD7E4-4F7C-4E94-AF91-F5D16900D87B}"/>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20163" xr:uid="{488BBC0E-9C6F-4E77-8263-31F45A126550}"/>
    <cellStyle name="20% - Accent4 2 2 4 2 3" xfId="11734" xr:uid="{ADA5EE17-3328-4BD5-BF18-1F11256D6BD9}"/>
    <cellStyle name="20% - Accent4 2 2 4 2 4" xfId="15945" xr:uid="{A1580F41-4A63-4832-9125-AE437920CD98}"/>
    <cellStyle name="20% - Accent4 2 2 4 3" xfId="5357" xr:uid="{00000000-0005-0000-0000-0000FF010000}"/>
    <cellStyle name="20% - Accent4 2 2 4 3 2" xfId="18018" xr:uid="{4BD6109D-724B-4534-ACAE-08D6847B28FF}"/>
    <cellStyle name="20% - Accent4 2 2 4 4" xfId="9589" xr:uid="{76A8F6B0-ABC1-49E3-84EB-0B46341E3A80}"/>
    <cellStyle name="20% - Accent4 2 2 4 5" xfId="13800" xr:uid="{066A5DED-5F2F-4A98-8EF5-1096B1DA7B48}"/>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20576" xr:uid="{4D4E292C-697D-48F2-8558-EAD231BF8BDD}"/>
    <cellStyle name="20% - Accent4 2 2 5 2 3" xfId="12147" xr:uid="{EF60FD84-60E8-4F5C-978E-383169318B35}"/>
    <cellStyle name="20% - Accent4 2 2 5 2 4" xfId="16358" xr:uid="{0FB53E82-533F-4007-A0A0-B38B9DC71849}"/>
    <cellStyle name="20% - Accent4 2 2 5 3" xfId="5770" xr:uid="{00000000-0005-0000-0000-000003020000}"/>
    <cellStyle name="20% - Accent4 2 2 5 3 2" xfId="18431" xr:uid="{7A13CFBB-F794-425A-90ED-6D804A55CC06}"/>
    <cellStyle name="20% - Accent4 2 2 5 4" xfId="10002" xr:uid="{B1A9027B-2BBA-4965-BE98-ED07E0E6DE81}"/>
    <cellStyle name="20% - Accent4 2 2 5 5" xfId="14213" xr:uid="{68CFA6DA-58A0-4E64-811C-8AAA4442CE56}"/>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20989" xr:uid="{F2DCC1C3-CE37-4B05-ABC7-8C19668DB197}"/>
    <cellStyle name="20% - Accent4 2 2 6 2 3" xfId="12560" xr:uid="{837D0A05-3D0E-4DED-90B2-84E9FCA539FF}"/>
    <cellStyle name="20% - Accent4 2 2 6 2 4" xfId="16771" xr:uid="{B1ADD61F-0AB5-42BA-9799-1AC402A15D98}"/>
    <cellStyle name="20% - Accent4 2 2 6 3" xfId="6183" xr:uid="{00000000-0005-0000-0000-000007020000}"/>
    <cellStyle name="20% - Accent4 2 2 6 3 2" xfId="18844" xr:uid="{BAAD7941-A39E-40CC-AAE5-5C1D70910040}"/>
    <cellStyle name="20% - Accent4 2 2 6 4" xfId="10415" xr:uid="{B34765BC-7D51-4759-B9BE-AEE08296F10B}"/>
    <cellStyle name="20% - Accent4 2 2 6 5" xfId="14626" xr:uid="{B7ED228C-2851-4746-ABB1-4F2841A47FF2}"/>
    <cellStyle name="20% - Accent4 2 2 7" xfId="2290" xr:uid="{00000000-0005-0000-0000-000008020000}"/>
    <cellStyle name="20% - Accent4 2 2 7 2" xfId="6596" xr:uid="{00000000-0005-0000-0000-000009020000}"/>
    <cellStyle name="20% - Accent4 2 2 7 2 2" xfId="19257" xr:uid="{944E75EA-5255-4B29-B273-2BF888B98958}"/>
    <cellStyle name="20% - Accent4 2 2 7 3" xfId="10828" xr:uid="{6F24F8B7-6C40-42FA-8744-CE99969C4B7B}"/>
    <cellStyle name="20% - Accent4 2 2 7 4" xfId="15039" xr:uid="{0808C9D4-6B72-4DE0-AD8E-72CFC637DA9C}"/>
    <cellStyle name="20% - Accent4 2 2 8" xfId="4530" xr:uid="{00000000-0005-0000-0000-00000A020000}"/>
    <cellStyle name="20% - Accent4 2 2 8 2" xfId="17191" xr:uid="{74E667F5-B22D-4475-8F9B-F781921620C0}"/>
    <cellStyle name="20% - Accent4 2 2 9" xfId="8762" xr:uid="{5D1D8FE8-4F59-42E8-B46F-F7E1E66040D4}"/>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9752" xr:uid="{D636CF06-60EE-471D-933D-01CD7699E898}"/>
    <cellStyle name="20% - Accent4 2 3 2 2 3" xfId="11323" xr:uid="{975ADE9C-E7B0-4430-8756-07BCEACF559F}"/>
    <cellStyle name="20% - Accent4 2 3 2 2 4" xfId="15534" xr:uid="{8B01337B-C25A-4B12-A7AB-2E62904ECB28}"/>
    <cellStyle name="20% - Accent4 2 3 2 3" xfId="4946" xr:uid="{00000000-0005-0000-0000-00000F020000}"/>
    <cellStyle name="20% - Accent4 2 3 2 3 2" xfId="17607" xr:uid="{162D044A-BEE8-482E-8090-A63D0FC6495D}"/>
    <cellStyle name="20% - Accent4 2 3 2 4" xfId="9178" xr:uid="{0867866C-FE71-4CD5-9E59-42B84B469A3E}"/>
    <cellStyle name="20% - Accent4 2 3 2 5" xfId="13389" xr:uid="{C4E93152-7510-4B06-9FD3-B4FAD5E740E6}"/>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20165" xr:uid="{D7FCD422-FCE1-4C33-85A8-689CBE9AB998}"/>
    <cellStyle name="20% - Accent4 2 3 3 2 3" xfId="11736" xr:uid="{55271190-0E8A-423F-A5A7-CF98DAEB7CAC}"/>
    <cellStyle name="20% - Accent4 2 3 3 2 4" xfId="15947" xr:uid="{D7F8920C-AC1C-4580-B607-ADE13A7F0A7C}"/>
    <cellStyle name="20% - Accent4 2 3 3 3" xfId="5359" xr:uid="{00000000-0005-0000-0000-000013020000}"/>
    <cellStyle name="20% - Accent4 2 3 3 3 2" xfId="18020" xr:uid="{C548C564-7583-4DBB-A853-065855BEABCE}"/>
    <cellStyle name="20% - Accent4 2 3 3 4" xfId="9591" xr:uid="{766EBD0B-B5A4-48D8-B052-A23798200C6B}"/>
    <cellStyle name="20% - Accent4 2 3 3 5" xfId="13802" xr:uid="{BAEB0B6E-225E-4806-8C13-EEC97354082E}"/>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20578" xr:uid="{B4671AD2-73A0-46B2-AF84-99E8346E0C07}"/>
    <cellStyle name="20% - Accent4 2 3 4 2 3" xfId="12149" xr:uid="{8A2FA512-3B74-4E05-A7F3-08F93A72DB57}"/>
    <cellStyle name="20% - Accent4 2 3 4 2 4" xfId="16360" xr:uid="{CBC57C12-0E7E-45DA-9690-F2466B5F5C63}"/>
    <cellStyle name="20% - Accent4 2 3 4 3" xfId="5772" xr:uid="{00000000-0005-0000-0000-000017020000}"/>
    <cellStyle name="20% - Accent4 2 3 4 3 2" xfId="18433" xr:uid="{919E42D0-FD8F-4C71-9628-5DAB005B35F0}"/>
    <cellStyle name="20% - Accent4 2 3 4 4" xfId="10004" xr:uid="{D03C3733-E80C-41BF-872F-E3A196D69D84}"/>
    <cellStyle name="20% - Accent4 2 3 4 5" xfId="14215" xr:uid="{759A403A-B7C3-47D3-957D-0672ECEE71AD}"/>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20991" xr:uid="{8B4AFEE1-41C6-4A33-96D3-98A4BFEB6EBA}"/>
    <cellStyle name="20% - Accent4 2 3 5 2 3" xfId="12562" xr:uid="{EA09D5D6-DCC1-4534-9F92-A837C0DC2AAF}"/>
    <cellStyle name="20% - Accent4 2 3 5 2 4" xfId="16773" xr:uid="{FD0621B2-4B2A-4310-B6A3-AAD993A9EAF6}"/>
    <cellStyle name="20% - Accent4 2 3 5 3" xfId="6185" xr:uid="{00000000-0005-0000-0000-00001B020000}"/>
    <cellStyle name="20% - Accent4 2 3 5 3 2" xfId="18846" xr:uid="{1688F151-337B-42F3-9125-EF4F7E645C5B}"/>
    <cellStyle name="20% - Accent4 2 3 5 4" xfId="10417" xr:uid="{6829CAC9-E938-4416-9A8A-B7E5416C6260}"/>
    <cellStyle name="20% - Accent4 2 3 5 5" xfId="14628" xr:uid="{029FDFCC-8335-4B50-8DDB-918F15E68C09}"/>
    <cellStyle name="20% - Accent4 2 3 6" xfId="2292" xr:uid="{00000000-0005-0000-0000-00001C020000}"/>
    <cellStyle name="20% - Accent4 2 3 6 2" xfId="6598" xr:uid="{00000000-0005-0000-0000-00001D020000}"/>
    <cellStyle name="20% - Accent4 2 3 6 2 2" xfId="19259" xr:uid="{977F67FE-C70A-43B5-ACDC-C5056FA2E7E0}"/>
    <cellStyle name="20% - Accent4 2 3 6 3" xfId="10830" xr:uid="{C374BE8E-4CC7-4B3B-8E85-A13CC96FA6EA}"/>
    <cellStyle name="20% - Accent4 2 3 6 4" xfId="15041" xr:uid="{23C8822E-470B-4D9C-90FC-C09CE5CB449C}"/>
    <cellStyle name="20% - Accent4 2 3 7" xfId="4532" xr:uid="{00000000-0005-0000-0000-00001E020000}"/>
    <cellStyle name="20% - Accent4 2 3 7 2" xfId="17193" xr:uid="{8C716E4A-B24E-4F91-B2CB-0E17520ECED8}"/>
    <cellStyle name="20% - Accent4 2 3 8" xfId="8764" xr:uid="{4AEC64EB-060C-4D49-8AFC-0A0C6895C0D2}"/>
    <cellStyle name="20% - Accent4 2 3 9" xfId="12975" xr:uid="{A1DED74F-D7E3-419F-AFE7-FCF66C9F7D68}"/>
    <cellStyle name="20% - Accent4 2 4" xfId="595" xr:uid="{00000000-0005-0000-0000-00001F020000}"/>
    <cellStyle name="20% - Accent4 2 4 2" xfId="2866" xr:uid="{00000000-0005-0000-0000-000020020000}"/>
    <cellStyle name="20% - Accent4 2 4 2 2" xfId="7088" xr:uid="{00000000-0005-0000-0000-000021020000}"/>
    <cellStyle name="20% - Accent4 2 4 2 2 2" xfId="19749" xr:uid="{6938D2C1-98B9-4C3E-868B-AC256913046F}"/>
    <cellStyle name="20% - Accent4 2 4 2 3" xfId="11320" xr:uid="{081BD9C8-1197-4EB6-B1B7-F12FEDCC121A}"/>
    <cellStyle name="20% - Accent4 2 4 2 4" xfId="15531" xr:uid="{59C16402-F15C-4CE0-A6CA-8C4035F6CEA9}"/>
    <cellStyle name="20% - Accent4 2 4 3" xfId="4943" xr:uid="{00000000-0005-0000-0000-000022020000}"/>
    <cellStyle name="20% - Accent4 2 4 3 2" xfId="17604" xr:uid="{F186DB8B-EAB5-4476-9F11-288D7810F005}"/>
    <cellStyle name="20% - Accent4 2 4 4" xfId="9175" xr:uid="{96344F13-7594-4284-A358-9FF26C34B743}"/>
    <cellStyle name="20% - Accent4 2 4 5" xfId="13386" xr:uid="{4D7C24E3-CB06-4D99-9E3A-DE05D10C1371}"/>
    <cellStyle name="20% - Accent4 2 5" xfId="1048" xr:uid="{00000000-0005-0000-0000-000023020000}"/>
    <cellStyle name="20% - Accent4 2 5 2" xfId="3279" xr:uid="{00000000-0005-0000-0000-000024020000}"/>
    <cellStyle name="20% - Accent4 2 5 2 2" xfId="7501" xr:uid="{00000000-0005-0000-0000-000025020000}"/>
    <cellStyle name="20% - Accent4 2 5 2 2 2" xfId="20162" xr:uid="{6B3CD862-3B78-423D-A99E-BC76D71A1C27}"/>
    <cellStyle name="20% - Accent4 2 5 2 3" xfId="11733" xr:uid="{B178A2D9-D49F-49D4-952C-49CE2473D219}"/>
    <cellStyle name="20% - Accent4 2 5 2 4" xfId="15944" xr:uid="{790D731A-8460-4519-B207-F2A02EBBEB13}"/>
    <cellStyle name="20% - Accent4 2 5 3" xfId="5356" xr:uid="{00000000-0005-0000-0000-000026020000}"/>
    <cellStyle name="20% - Accent4 2 5 3 2" xfId="18017" xr:uid="{51C1F70F-5912-4A3E-AEB0-05D6A0BC9238}"/>
    <cellStyle name="20% - Accent4 2 5 4" xfId="9588" xr:uid="{B6059A05-D96B-44FE-AF72-00F29DB399C5}"/>
    <cellStyle name="20% - Accent4 2 5 5" xfId="13799" xr:uid="{22C35275-A9C0-4641-9B35-BC6C1E9DFB21}"/>
    <cellStyle name="20% - Accent4 2 6" xfId="1462" xr:uid="{00000000-0005-0000-0000-000027020000}"/>
    <cellStyle name="20% - Accent4 2 6 2" xfId="3692" xr:uid="{00000000-0005-0000-0000-000028020000}"/>
    <cellStyle name="20% - Accent4 2 6 2 2" xfId="7914" xr:uid="{00000000-0005-0000-0000-000029020000}"/>
    <cellStyle name="20% - Accent4 2 6 2 2 2" xfId="20575" xr:uid="{F7651F3E-340D-41E7-B30B-9BCCE51D1798}"/>
    <cellStyle name="20% - Accent4 2 6 2 3" xfId="12146" xr:uid="{B08EE8E6-7C4F-471B-9FA8-B6232E7F60C1}"/>
    <cellStyle name="20% - Accent4 2 6 2 4" xfId="16357" xr:uid="{5D7E7EF9-C5BB-4A93-8C52-E8369333F767}"/>
    <cellStyle name="20% - Accent4 2 6 3" xfId="5769" xr:uid="{00000000-0005-0000-0000-00002A020000}"/>
    <cellStyle name="20% - Accent4 2 6 3 2" xfId="18430" xr:uid="{94159E69-27F8-4E9F-BBFE-62A7058F8426}"/>
    <cellStyle name="20% - Accent4 2 6 4" xfId="10001" xr:uid="{F1009873-A7C0-4E82-89C9-A401B64B0818}"/>
    <cellStyle name="20% - Accent4 2 6 5" xfId="14212" xr:uid="{60D596FB-C503-4183-ACCC-5889413FB27D}"/>
    <cellStyle name="20% - Accent4 2 7" xfId="1876" xr:uid="{00000000-0005-0000-0000-00002B020000}"/>
    <cellStyle name="20% - Accent4 2 7 2" xfId="4105" xr:uid="{00000000-0005-0000-0000-00002C020000}"/>
    <cellStyle name="20% - Accent4 2 7 2 2" xfId="8327" xr:uid="{00000000-0005-0000-0000-00002D020000}"/>
    <cellStyle name="20% - Accent4 2 7 2 2 2" xfId="20988" xr:uid="{70523ADC-606A-4D50-9625-710218D4C8AA}"/>
    <cellStyle name="20% - Accent4 2 7 2 3" xfId="12559" xr:uid="{076EFD26-CCE2-4972-92E5-CFDFC3A977BB}"/>
    <cellStyle name="20% - Accent4 2 7 2 4" xfId="16770" xr:uid="{26E0713E-3B4F-40C3-BF48-6755ABE4C826}"/>
    <cellStyle name="20% - Accent4 2 7 3" xfId="6182" xr:uid="{00000000-0005-0000-0000-00002E020000}"/>
    <cellStyle name="20% - Accent4 2 7 3 2" xfId="18843" xr:uid="{73911811-1997-4D5B-95C4-B4A78698AB06}"/>
    <cellStyle name="20% - Accent4 2 7 4" xfId="10414" xr:uid="{DB0CCBE4-57A9-40A5-B571-6419ED3B4919}"/>
    <cellStyle name="20% - Accent4 2 7 5" xfId="14625" xr:uid="{28063C4A-309F-4D39-8610-782178C2F465}"/>
    <cellStyle name="20% - Accent4 2 8" xfId="2289" xr:uid="{00000000-0005-0000-0000-00002F020000}"/>
    <cellStyle name="20% - Accent4 2 8 2" xfId="6595" xr:uid="{00000000-0005-0000-0000-000030020000}"/>
    <cellStyle name="20% - Accent4 2 8 2 2" xfId="19256" xr:uid="{1A6006E4-3010-41E6-8C84-1C8AA03BD2D3}"/>
    <cellStyle name="20% - Accent4 2 8 3" xfId="10827" xr:uid="{229F47DD-AC94-4F18-8A2B-7FC9049FF048}"/>
    <cellStyle name="20% - Accent4 2 8 4" xfId="15038" xr:uid="{0DBED4B3-C7BE-4839-BB96-3BD28384EDD9}"/>
    <cellStyle name="20% - Accent4 2 9" xfId="4529" xr:uid="{00000000-0005-0000-0000-000031020000}"/>
    <cellStyle name="20% - Accent4 2 9 2" xfId="17190" xr:uid="{03D03DE3-0BCE-44A7-8D55-F44CD090B8E1}"/>
    <cellStyle name="20% - Accent4 3" xfId="30" xr:uid="{00000000-0005-0000-0000-000032020000}"/>
    <cellStyle name="20% - Accent4 3 10" xfId="12976" xr:uid="{1FB6B3B5-E377-42B9-A74E-4633F0982536}"/>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9754" xr:uid="{DE88E300-8DA1-4724-97FE-6138831AD6FB}"/>
    <cellStyle name="20% - Accent4 3 2 2 2 3" xfId="11325" xr:uid="{CE47B67A-E763-442B-B73C-04052E8DD3E2}"/>
    <cellStyle name="20% - Accent4 3 2 2 2 4" xfId="15536" xr:uid="{FFA2E59E-553E-4C1C-B013-725687D88771}"/>
    <cellStyle name="20% - Accent4 3 2 2 3" xfId="4948" xr:uid="{00000000-0005-0000-0000-000037020000}"/>
    <cellStyle name="20% - Accent4 3 2 2 3 2" xfId="17609" xr:uid="{718DDD4E-B0B7-4BC0-80C4-3A4A02407FE6}"/>
    <cellStyle name="20% - Accent4 3 2 2 4" xfId="9180" xr:uid="{072048CB-E20A-44D4-8A70-A31A02F5CD94}"/>
    <cellStyle name="20% - Accent4 3 2 2 5" xfId="13391" xr:uid="{1119DCD0-7AD6-47E1-9D28-FE32554749E2}"/>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20167" xr:uid="{F914052B-60EB-4550-BA21-8E10A43C5A39}"/>
    <cellStyle name="20% - Accent4 3 2 3 2 3" xfId="11738" xr:uid="{C1AB65C6-0739-427E-8267-67E332E5E75B}"/>
    <cellStyle name="20% - Accent4 3 2 3 2 4" xfId="15949" xr:uid="{1A075753-9675-4CF6-AFA6-BCCD591EB7E9}"/>
    <cellStyle name="20% - Accent4 3 2 3 3" xfId="5361" xr:uid="{00000000-0005-0000-0000-00003B020000}"/>
    <cellStyle name="20% - Accent4 3 2 3 3 2" xfId="18022" xr:uid="{C814B41F-4372-4569-B93B-6F92B0857D85}"/>
    <cellStyle name="20% - Accent4 3 2 3 4" xfId="9593" xr:uid="{5B034D7E-9338-4664-AB18-561D910491AA}"/>
    <cellStyle name="20% - Accent4 3 2 3 5" xfId="13804" xr:uid="{675ABBE3-FD7A-4D40-8A24-B3A302C6C081}"/>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20580" xr:uid="{AB9818C0-5251-49A1-A0C7-05CC3368F3F8}"/>
    <cellStyle name="20% - Accent4 3 2 4 2 3" xfId="12151" xr:uid="{8D777ED6-2372-4C68-A0CC-07EE940FDA05}"/>
    <cellStyle name="20% - Accent4 3 2 4 2 4" xfId="16362" xr:uid="{FB67216E-0FDC-4A4E-B4D8-2921FADDA4CD}"/>
    <cellStyle name="20% - Accent4 3 2 4 3" xfId="5774" xr:uid="{00000000-0005-0000-0000-00003F020000}"/>
    <cellStyle name="20% - Accent4 3 2 4 3 2" xfId="18435" xr:uid="{5EFE5582-07CE-4DF2-BC7E-2F87F328BD61}"/>
    <cellStyle name="20% - Accent4 3 2 4 4" xfId="10006" xr:uid="{4D9A5E96-2121-4D18-AB1F-78C293C920C3}"/>
    <cellStyle name="20% - Accent4 3 2 4 5" xfId="14217" xr:uid="{FE6E4413-D18C-45BB-AB63-B4222D00CFDD}"/>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20993" xr:uid="{23E879D2-3968-4599-95D4-C401A9DE1273}"/>
    <cellStyle name="20% - Accent4 3 2 5 2 3" xfId="12564" xr:uid="{64EAC689-B1C9-46A8-A7A0-024A353961B8}"/>
    <cellStyle name="20% - Accent4 3 2 5 2 4" xfId="16775" xr:uid="{55448DFC-BE72-4DE1-99C3-670816FD30D9}"/>
    <cellStyle name="20% - Accent4 3 2 5 3" xfId="6187" xr:uid="{00000000-0005-0000-0000-000043020000}"/>
    <cellStyle name="20% - Accent4 3 2 5 3 2" xfId="18848" xr:uid="{0CB6BEC2-CA99-44A4-8582-47309D0E9922}"/>
    <cellStyle name="20% - Accent4 3 2 5 4" xfId="10419" xr:uid="{C4712E17-5E27-44B1-A21B-924DAA8A8722}"/>
    <cellStyle name="20% - Accent4 3 2 5 5" xfId="14630" xr:uid="{B3826638-91B6-4CDA-947E-792CFEB7B207}"/>
    <cellStyle name="20% - Accent4 3 2 6" xfId="2294" xr:uid="{00000000-0005-0000-0000-000044020000}"/>
    <cellStyle name="20% - Accent4 3 2 6 2" xfId="6600" xr:uid="{00000000-0005-0000-0000-000045020000}"/>
    <cellStyle name="20% - Accent4 3 2 6 2 2" xfId="19261" xr:uid="{AF52F130-66BD-48C1-98BD-2F5B4F80FB75}"/>
    <cellStyle name="20% - Accent4 3 2 6 3" xfId="10832" xr:uid="{4458CC0A-8E85-4CAE-9D56-CFD2F9A8F010}"/>
    <cellStyle name="20% - Accent4 3 2 6 4" xfId="15043" xr:uid="{A2C40081-24F3-4066-8108-8E6E4068667C}"/>
    <cellStyle name="20% - Accent4 3 2 7" xfId="4534" xr:uid="{00000000-0005-0000-0000-000046020000}"/>
    <cellStyle name="20% - Accent4 3 2 7 2" xfId="17195" xr:uid="{EE74772F-0E2D-4E5A-AC5C-EA58864BB585}"/>
    <cellStyle name="20% - Accent4 3 2 8" xfId="8766" xr:uid="{998647FE-35A3-4941-9744-00C490776A2D}"/>
    <cellStyle name="20% - Accent4 3 2 9" xfId="12977" xr:uid="{7BB39997-ABF2-420C-85A7-EF133BFF39E2}"/>
    <cellStyle name="20% - Accent4 3 3" xfId="599" xr:uid="{00000000-0005-0000-0000-000047020000}"/>
    <cellStyle name="20% - Accent4 3 3 2" xfId="2870" xr:uid="{00000000-0005-0000-0000-000048020000}"/>
    <cellStyle name="20% - Accent4 3 3 2 2" xfId="7092" xr:uid="{00000000-0005-0000-0000-000049020000}"/>
    <cellStyle name="20% - Accent4 3 3 2 2 2" xfId="19753" xr:uid="{FC88EE26-7B8E-4F13-AF95-D05ABB6D0F40}"/>
    <cellStyle name="20% - Accent4 3 3 2 3" xfId="11324" xr:uid="{828EA8D9-EF4B-460B-B0DB-AEECA4D2E9BA}"/>
    <cellStyle name="20% - Accent4 3 3 2 4" xfId="15535" xr:uid="{88E7788C-8D63-4212-A8A1-50CE08FBCA9B}"/>
    <cellStyle name="20% - Accent4 3 3 3" xfId="4947" xr:uid="{00000000-0005-0000-0000-00004A020000}"/>
    <cellStyle name="20% - Accent4 3 3 3 2" xfId="17608" xr:uid="{430F8121-9B63-4172-90B3-641E03A605CE}"/>
    <cellStyle name="20% - Accent4 3 3 4" xfId="9179" xr:uid="{7F50F49F-DC1B-4EBF-B386-98E3DAF845CD}"/>
    <cellStyle name="20% - Accent4 3 3 5" xfId="13390" xr:uid="{DE650BB5-12D6-4F05-B28C-5372FEB2B044}"/>
    <cellStyle name="20% - Accent4 3 4" xfId="1052" xr:uid="{00000000-0005-0000-0000-00004B020000}"/>
    <cellStyle name="20% - Accent4 3 4 2" xfId="3283" xr:uid="{00000000-0005-0000-0000-00004C020000}"/>
    <cellStyle name="20% - Accent4 3 4 2 2" xfId="7505" xr:uid="{00000000-0005-0000-0000-00004D020000}"/>
    <cellStyle name="20% - Accent4 3 4 2 2 2" xfId="20166" xr:uid="{0976482C-4D02-4AC4-84EF-D7FF937D2FE5}"/>
    <cellStyle name="20% - Accent4 3 4 2 3" xfId="11737" xr:uid="{244ECBE6-49CF-4ED8-892B-4C4824F48FA4}"/>
    <cellStyle name="20% - Accent4 3 4 2 4" xfId="15948" xr:uid="{DD0275EF-3B7F-456E-B46E-7A0E9B1713EF}"/>
    <cellStyle name="20% - Accent4 3 4 3" xfId="5360" xr:uid="{00000000-0005-0000-0000-00004E020000}"/>
    <cellStyle name="20% - Accent4 3 4 3 2" xfId="18021" xr:uid="{8480A0DD-DB2B-4BD6-B2F1-E9A2939777FD}"/>
    <cellStyle name="20% - Accent4 3 4 4" xfId="9592" xr:uid="{5465F528-899E-44EA-95F3-413DFF5D616E}"/>
    <cellStyle name="20% - Accent4 3 4 5" xfId="13803" xr:uid="{BBEA9E34-8D21-424D-95FE-42F7D97EBDBD}"/>
    <cellStyle name="20% - Accent4 3 5" xfId="1466" xr:uid="{00000000-0005-0000-0000-00004F020000}"/>
    <cellStyle name="20% - Accent4 3 5 2" xfId="3696" xr:uid="{00000000-0005-0000-0000-000050020000}"/>
    <cellStyle name="20% - Accent4 3 5 2 2" xfId="7918" xr:uid="{00000000-0005-0000-0000-000051020000}"/>
    <cellStyle name="20% - Accent4 3 5 2 2 2" xfId="20579" xr:uid="{0FED8EAD-E603-403B-BF70-66411DCC185B}"/>
    <cellStyle name="20% - Accent4 3 5 2 3" xfId="12150" xr:uid="{DE18AEE3-0942-4139-86F5-376276184F46}"/>
    <cellStyle name="20% - Accent4 3 5 2 4" xfId="16361" xr:uid="{21B2047D-60C1-4698-9CC5-2615A5283366}"/>
    <cellStyle name="20% - Accent4 3 5 3" xfId="5773" xr:uid="{00000000-0005-0000-0000-000052020000}"/>
    <cellStyle name="20% - Accent4 3 5 3 2" xfId="18434" xr:uid="{2ABF9416-3927-4C91-B8EE-6A1858D6D963}"/>
    <cellStyle name="20% - Accent4 3 5 4" xfId="10005" xr:uid="{4D0A194F-78F9-41D0-BF8D-75E4F970425A}"/>
    <cellStyle name="20% - Accent4 3 5 5" xfId="14216" xr:uid="{258253D3-0DA7-4DCE-9E37-1EE116C50F7B}"/>
    <cellStyle name="20% - Accent4 3 6" xfId="1880" xr:uid="{00000000-0005-0000-0000-000053020000}"/>
    <cellStyle name="20% - Accent4 3 6 2" xfId="4109" xr:uid="{00000000-0005-0000-0000-000054020000}"/>
    <cellStyle name="20% - Accent4 3 6 2 2" xfId="8331" xr:uid="{00000000-0005-0000-0000-000055020000}"/>
    <cellStyle name="20% - Accent4 3 6 2 2 2" xfId="20992" xr:uid="{BF3B1D7F-8629-4CD4-9D91-12C074AF320F}"/>
    <cellStyle name="20% - Accent4 3 6 2 3" xfId="12563" xr:uid="{9E0CD39F-EC2A-43A1-B8B5-A366E4C4A422}"/>
    <cellStyle name="20% - Accent4 3 6 2 4" xfId="16774" xr:uid="{253FE4E7-5599-4991-AEB0-D03AF785480F}"/>
    <cellStyle name="20% - Accent4 3 6 3" xfId="6186" xr:uid="{00000000-0005-0000-0000-000056020000}"/>
    <cellStyle name="20% - Accent4 3 6 3 2" xfId="18847" xr:uid="{BB40C71F-435C-4A8C-82CD-5AE9C8AC9DF8}"/>
    <cellStyle name="20% - Accent4 3 6 4" xfId="10418" xr:uid="{417739A6-A00B-4466-9657-9987D9B59407}"/>
    <cellStyle name="20% - Accent4 3 6 5" xfId="14629" xr:uid="{D918DFE9-FA53-4693-8C3F-8088E4C8A352}"/>
    <cellStyle name="20% - Accent4 3 7" xfId="2293" xr:uid="{00000000-0005-0000-0000-000057020000}"/>
    <cellStyle name="20% - Accent4 3 7 2" xfId="6599" xr:uid="{00000000-0005-0000-0000-000058020000}"/>
    <cellStyle name="20% - Accent4 3 7 2 2" xfId="19260" xr:uid="{4FCAB6DB-6578-4FC4-B179-9A96AB7E5C6A}"/>
    <cellStyle name="20% - Accent4 3 7 3" xfId="10831" xr:uid="{35CE5104-7F17-4011-9B60-89BF063F0852}"/>
    <cellStyle name="20% - Accent4 3 7 4" xfId="15042" xr:uid="{2957F70B-74F0-42B4-A810-04724C0750C3}"/>
    <cellStyle name="20% - Accent4 3 8" xfId="4533" xr:uid="{00000000-0005-0000-0000-000059020000}"/>
    <cellStyle name="20% - Accent4 3 8 2" xfId="17194" xr:uid="{C384F0CA-78EC-48E6-A064-909A1E6D469A}"/>
    <cellStyle name="20% - Accent4 3 9" xfId="8765" xr:uid="{8B87F5D1-32A3-44C1-ACB6-237656D93DB7}"/>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9755" xr:uid="{DBBA9A30-B567-4044-B913-8B11D5183E22}"/>
    <cellStyle name="20% - Accent4 4 2 2 3" xfId="11326" xr:uid="{F16E3038-66A9-4040-9838-6A4977370E61}"/>
    <cellStyle name="20% - Accent4 4 2 2 4" xfId="15537" xr:uid="{FFB4DC07-BA25-410D-8484-03B6F801F866}"/>
    <cellStyle name="20% - Accent4 4 2 3" xfId="4949" xr:uid="{00000000-0005-0000-0000-00005E020000}"/>
    <cellStyle name="20% - Accent4 4 2 3 2" xfId="17610" xr:uid="{F3A0471E-DEB4-4FA9-8B19-BEE9604FD1C4}"/>
    <cellStyle name="20% - Accent4 4 2 4" xfId="9181" xr:uid="{D54CB7A3-7B08-424D-90E9-205028B8AD2B}"/>
    <cellStyle name="20% - Accent4 4 2 5" xfId="13392" xr:uid="{EF490E3D-2576-47CC-8F30-437BA2F84839}"/>
    <cellStyle name="20% - Accent4 4 3" xfId="1054" xr:uid="{00000000-0005-0000-0000-00005F020000}"/>
    <cellStyle name="20% - Accent4 4 3 2" xfId="3285" xr:uid="{00000000-0005-0000-0000-000060020000}"/>
    <cellStyle name="20% - Accent4 4 3 2 2" xfId="7507" xr:uid="{00000000-0005-0000-0000-000061020000}"/>
    <cellStyle name="20% - Accent4 4 3 2 2 2" xfId="20168" xr:uid="{D4911444-86FE-4765-9FDD-22705FA4A928}"/>
    <cellStyle name="20% - Accent4 4 3 2 3" xfId="11739" xr:uid="{A6DCD145-ECE0-481F-8901-A8B3948B104E}"/>
    <cellStyle name="20% - Accent4 4 3 2 4" xfId="15950" xr:uid="{73669990-33AE-4D71-B1BC-E45D2BE10021}"/>
    <cellStyle name="20% - Accent4 4 3 3" xfId="5362" xr:uid="{00000000-0005-0000-0000-000062020000}"/>
    <cellStyle name="20% - Accent4 4 3 3 2" xfId="18023" xr:uid="{C5825EAD-3107-40EC-9B02-2077B9B2CA66}"/>
    <cellStyle name="20% - Accent4 4 3 4" xfId="9594" xr:uid="{915CE861-B78E-466A-BCA0-02DD619DEAED}"/>
    <cellStyle name="20% - Accent4 4 3 5" xfId="13805" xr:uid="{0E1E05D6-051E-43A7-8F0D-85D5506EF87A}"/>
    <cellStyle name="20% - Accent4 4 4" xfId="1468" xr:uid="{00000000-0005-0000-0000-000063020000}"/>
    <cellStyle name="20% - Accent4 4 4 2" xfId="3698" xr:uid="{00000000-0005-0000-0000-000064020000}"/>
    <cellStyle name="20% - Accent4 4 4 2 2" xfId="7920" xr:uid="{00000000-0005-0000-0000-000065020000}"/>
    <cellStyle name="20% - Accent4 4 4 2 2 2" xfId="20581" xr:uid="{541B4CAE-A060-4B97-BD52-D177E7B63D1C}"/>
    <cellStyle name="20% - Accent4 4 4 2 3" xfId="12152" xr:uid="{946B1AB4-8BF8-4D26-9C25-373D463BAAC3}"/>
    <cellStyle name="20% - Accent4 4 4 2 4" xfId="16363" xr:uid="{733033B2-7C0B-4FF6-BF66-D7C3D1296F94}"/>
    <cellStyle name="20% - Accent4 4 4 3" xfId="5775" xr:uid="{00000000-0005-0000-0000-000066020000}"/>
    <cellStyle name="20% - Accent4 4 4 3 2" xfId="18436" xr:uid="{22A33CE4-70A2-4310-B121-488DF7EC6609}"/>
    <cellStyle name="20% - Accent4 4 4 4" xfId="10007" xr:uid="{DC70C187-D957-424B-A123-A1A2622FFAF9}"/>
    <cellStyle name="20% - Accent4 4 4 5" xfId="14218" xr:uid="{9323E7FD-540E-49A7-A4EF-831F818D6238}"/>
    <cellStyle name="20% - Accent4 4 5" xfId="1882" xr:uid="{00000000-0005-0000-0000-000067020000}"/>
    <cellStyle name="20% - Accent4 4 5 2" xfId="4111" xr:uid="{00000000-0005-0000-0000-000068020000}"/>
    <cellStyle name="20% - Accent4 4 5 2 2" xfId="8333" xr:uid="{00000000-0005-0000-0000-000069020000}"/>
    <cellStyle name="20% - Accent4 4 5 2 2 2" xfId="20994" xr:uid="{4C8AEFB3-65D0-4078-89BA-40C90EC105F1}"/>
    <cellStyle name="20% - Accent4 4 5 2 3" xfId="12565" xr:uid="{B3494A25-0410-493A-97CC-E385365F90F0}"/>
    <cellStyle name="20% - Accent4 4 5 2 4" xfId="16776" xr:uid="{05A3F8BB-B353-424F-A7D2-D5C9E3DC6279}"/>
    <cellStyle name="20% - Accent4 4 5 3" xfId="6188" xr:uid="{00000000-0005-0000-0000-00006A020000}"/>
    <cellStyle name="20% - Accent4 4 5 3 2" xfId="18849" xr:uid="{B6FEC691-8A50-4AE1-BE85-57487ACA778F}"/>
    <cellStyle name="20% - Accent4 4 5 4" xfId="10420" xr:uid="{8717790F-C11C-4849-9D35-8D1C7282A828}"/>
    <cellStyle name="20% - Accent4 4 5 5" xfId="14631" xr:uid="{1D743A07-E74C-4521-8D17-3C3B2B84BD03}"/>
    <cellStyle name="20% - Accent4 4 6" xfId="2295" xr:uid="{00000000-0005-0000-0000-00006B020000}"/>
    <cellStyle name="20% - Accent4 4 6 2" xfId="6601" xr:uid="{00000000-0005-0000-0000-00006C020000}"/>
    <cellStyle name="20% - Accent4 4 6 2 2" xfId="19262" xr:uid="{6C6A9436-38F0-43D9-B406-579AEDCE01D5}"/>
    <cellStyle name="20% - Accent4 4 6 3" xfId="10833" xr:uid="{ABD149D6-27B9-4428-A315-DC695A6F826C}"/>
    <cellStyle name="20% - Accent4 4 6 4" xfId="15044" xr:uid="{140AA344-2232-4BEC-AF9A-4F1349E28C22}"/>
    <cellStyle name="20% - Accent4 4 7" xfId="4535" xr:uid="{00000000-0005-0000-0000-00006D020000}"/>
    <cellStyle name="20% - Accent4 4 7 2" xfId="17196" xr:uid="{A7B06505-21B1-474D-B985-5FC4FE1D02B2}"/>
    <cellStyle name="20% - Accent4 4 8" xfId="8767" xr:uid="{0F241915-4525-409F-975C-C89539A1D550}"/>
    <cellStyle name="20% - Accent4 4 9" xfId="12978" xr:uid="{DE698F86-21BD-4ACF-8410-87F6BBF492DD}"/>
    <cellStyle name="20% - Accent4 5" xfId="594" xr:uid="{00000000-0005-0000-0000-00006E020000}"/>
    <cellStyle name="20% - Accent4 5 2" xfId="2865" xr:uid="{00000000-0005-0000-0000-00006F020000}"/>
    <cellStyle name="20% - Accent4 5 2 2" xfId="7087" xr:uid="{00000000-0005-0000-0000-000070020000}"/>
    <cellStyle name="20% - Accent4 5 2 2 2" xfId="19748" xr:uid="{773B7EDF-C6D1-45F2-9FC7-4C8BC9B06805}"/>
    <cellStyle name="20% - Accent4 5 2 3" xfId="11319" xr:uid="{ED3950E9-524C-47A2-B454-703D0CB478D7}"/>
    <cellStyle name="20% - Accent4 5 2 4" xfId="15530" xr:uid="{E16B17C2-F940-4F43-813A-D9466D041BD3}"/>
    <cellStyle name="20% - Accent4 5 3" xfId="4942" xr:uid="{00000000-0005-0000-0000-000071020000}"/>
    <cellStyle name="20% - Accent4 5 3 2" xfId="17603" xr:uid="{C6123AEF-0768-4030-97F3-FA779306DF78}"/>
    <cellStyle name="20% - Accent4 5 4" xfId="9174" xr:uid="{6228AAF9-214A-40B7-8FD1-840382549C5B}"/>
    <cellStyle name="20% - Accent4 5 5" xfId="13385" xr:uid="{D89CAE22-AA72-470A-9F35-AD34D0E7C8ED}"/>
    <cellStyle name="20% - Accent4 6" xfId="1047" xr:uid="{00000000-0005-0000-0000-000072020000}"/>
    <cellStyle name="20% - Accent4 6 2" xfId="3278" xr:uid="{00000000-0005-0000-0000-000073020000}"/>
    <cellStyle name="20% - Accent4 6 2 2" xfId="7500" xr:uid="{00000000-0005-0000-0000-000074020000}"/>
    <cellStyle name="20% - Accent4 6 2 2 2" xfId="20161" xr:uid="{C1C2B313-55B2-46DA-A365-D266E9AAA914}"/>
    <cellStyle name="20% - Accent4 6 2 3" xfId="11732" xr:uid="{57C16822-AC13-48FA-97AA-27933A9F5311}"/>
    <cellStyle name="20% - Accent4 6 2 4" xfId="15943" xr:uid="{0E652E0B-22EF-4662-A0C9-74DF77BC2B44}"/>
    <cellStyle name="20% - Accent4 6 3" xfId="5355" xr:uid="{00000000-0005-0000-0000-000075020000}"/>
    <cellStyle name="20% - Accent4 6 3 2" xfId="18016" xr:uid="{39DC26A3-F6AF-4744-B533-D8B6EA6C3642}"/>
    <cellStyle name="20% - Accent4 6 4" xfId="9587" xr:uid="{BE832EDF-BBA4-426A-9157-C28570DB4AE2}"/>
    <cellStyle name="20% - Accent4 6 5" xfId="13798" xr:uid="{577A9913-277E-44BE-AA46-9B3D1D980C1C}"/>
    <cellStyle name="20% - Accent4 7" xfId="1461" xr:uid="{00000000-0005-0000-0000-000076020000}"/>
    <cellStyle name="20% - Accent4 7 2" xfId="3691" xr:uid="{00000000-0005-0000-0000-000077020000}"/>
    <cellStyle name="20% - Accent4 7 2 2" xfId="7913" xr:uid="{00000000-0005-0000-0000-000078020000}"/>
    <cellStyle name="20% - Accent4 7 2 2 2" xfId="20574" xr:uid="{84698493-03B6-4F5C-8061-54CB2F09BF3C}"/>
    <cellStyle name="20% - Accent4 7 2 3" xfId="12145" xr:uid="{F05B0566-901E-481A-A73F-A7785BDC838B}"/>
    <cellStyle name="20% - Accent4 7 2 4" xfId="16356" xr:uid="{A43FBED1-8D6F-4A4F-B962-20F2D32AFE53}"/>
    <cellStyle name="20% - Accent4 7 3" xfId="5768" xr:uid="{00000000-0005-0000-0000-000079020000}"/>
    <cellStyle name="20% - Accent4 7 3 2" xfId="18429" xr:uid="{88D945C7-D7C4-42D8-87F1-843F3427776A}"/>
    <cellStyle name="20% - Accent4 7 4" xfId="10000" xr:uid="{4AED0FBC-E3FC-4F4A-89DE-C534A9373343}"/>
    <cellStyle name="20% - Accent4 7 5" xfId="14211" xr:uid="{C726A986-BDA8-4B56-9205-6E44FB5FC66C}"/>
    <cellStyle name="20% - Accent4 8" xfId="1875" xr:uid="{00000000-0005-0000-0000-00007A020000}"/>
    <cellStyle name="20% - Accent4 8 2" xfId="4104" xr:uid="{00000000-0005-0000-0000-00007B020000}"/>
    <cellStyle name="20% - Accent4 8 2 2" xfId="8326" xr:uid="{00000000-0005-0000-0000-00007C020000}"/>
    <cellStyle name="20% - Accent4 8 2 2 2" xfId="20987" xr:uid="{71E0F348-4B99-481E-B479-6BC0CA3C3BFA}"/>
    <cellStyle name="20% - Accent4 8 2 3" xfId="12558" xr:uid="{057C4BA8-B8A0-4D74-9A05-D88035C5E779}"/>
    <cellStyle name="20% - Accent4 8 2 4" xfId="16769" xr:uid="{410DA0D2-B711-4A00-98AD-5AADD5186AD9}"/>
    <cellStyle name="20% - Accent4 8 3" xfId="6181" xr:uid="{00000000-0005-0000-0000-00007D020000}"/>
    <cellStyle name="20% - Accent4 8 3 2" xfId="18842" xr:uid="{29B192B9-1C24-47E3-AEFC-29F0C7B6C343}"/>
    <cellStyle name="20% - Accent4 8 4" xfId="10413" xr:uid="{2F8EC2A9-0817-4D68-BD9D-9D1DC414CB1C}"/>
    <cellStyle name="20% - Accent4 8 5" xfId="14624" xr:uid="{39F51B84-3630-4BC9-AA70-78704EE8CD72}"/>
    <cellStyle name="20% - Accent4 9" xfId="2288" xr:uid="{00000000-0005-0000-0000-00007E020000}"/>
    <cellStyle name="20% - Accent4 9 2" xfId="6594" xr:uid="{00000000-0005-0000-0000-00007F020000}"/>
    <cellStyle name="20% - Accent4 9 2 2" xfId="19255" xr:uid="{DE4CA367-FC3C-40B8-BAD0-E98896AED02C}"/>
    <cellStyle name="20% - Accent4 9 3" xfId="10826" xr:uid="{027D73EC-C58F-4AE2-A9AF-D52B6273C199}"/>
    <cellStyle name="20% - Accent4 9 4" xfId="15037" xr:uid="{12C47870-B5D1-4595-B10E-AB2ADB477A54}"/>
    <cellStyle name="20% - Accent5" xfId="33" builtinId="46" customBuiltin="1"/>
    <cellStyle name="20% - Accent5 10" xfId="4536" xr:uid="{00000000-0005-0000-0000-000081020000}"/>
    <cellStyle name="20% - Accent5 10 2" xfId="17197" xr:uid="{4192C2DE-BD6A-4987-B5B5-3522FC1B07E1}"/>
    <cellStyle name="20% - Accent5 11" xfId="8768" xr:uid="{D6F435B9-C59D-4455-8DF0-245610A8692E}"/>
    <cellStyle name="20% - Accent5 12" xfId="12979" xr:uid="{1D9568B9-358E-48BC-AA29-FFB6432160A2}"/>
    <cellStyle name="20% - Accent5 2" xfId="34" xr:uid="{00000000-0005-0000-0000-000082020000}"/>
    <cellStyle name="20% - Accent5 2 10" xfId="8769" xr:uid="{AA4CDA99-F9D4-4E1E-B6FC-DE37AC78CF89}"/>
    <cellStyle name="20% - Accent5 2 11" xfId="12980" xr:uid="{71CF2F51-6A1C-43B4-BD06-6B9E43412D43}"/>
    <cellStyle name="20% - Accent5 2 2" xfId="35" xr:uid="{00000000-0005-0000-0000-000083020000}"/>
    <cellStyle name="20% - Accent5 2 2 10" xfId="12981" xr:uid="{8FB1323E-5FB1-4B69-A4D6-08E6192D39C2}"/>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9759" xr:uid="{B7BA575F-3303-4267-96E0-19E975E43CCB}"/>
    <cellStyle name="20% - Accent5 2 2 2 2 2 3" xfId="11330" xr:uid="{5EABC133-4682-4355-9337-F62C370CA1B5}"/>
    <cellStyle name="20% - Accent5 2 2 2 2 2 4" xfId="15541" xr:uid="{8BEEBB1F-D076-47BA-8F65-20F4418BDE94}"/>
    <cellStyle name="20% - Accent5 2 2 2 2 3" xfId="4953" xr:uid="{00000000-0005-0000-0000-000088020000}"/>
    <cellStyle name="20% - Accent5 2 2 2 2 3 2" xfId="17614" xr:uid="{D33A643A-B0A2-4C62-B82A-FEDB02D4B1D0}"/>
    <cellStyle name="20% - Accent5 2 2 2 2 4" xfId="9185" xr:uid="{07CC775C-40A5-445E-96F0-B07E8F669F7E}"/>
    <cellStyle name="20% - Accent5 2 2 2 2 5" xfId="13396" xr:uid="{84FA82EF-C8BC-47A1-A270-2B2B49A476B1}"/>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20172" xr:uid="{6B8FC39F-8069-4B42-82B4-41C0CD424443}"/>
    <cellStyle name="20% - Accent5 2 2 2 3 2 3" xfId="11743" xr:uid="{7E922791-B38E-46AF-A7E0-310BCF896FFB}"/>
    <cellStyle name="20% - Accent5 2 2 2 3 2 4" xfId="15954" xr:uid="{90982D26-AF30-4BE3-8365-C8BDA65D6CD0}"/>
    <cellStyle name="20% - Accent5 2 2 2 3 3" xfId="5366" xr:uid="{00000000-0005-0000-0000-00008C020000}"/>
    <cellStyle name="20% - Accent5 2 2 2 3 3 2" xfId="18027" xr:uid="{17A8CAE6-B998-4C4E-8418-BD5838411F1D}"/>
    <cellStyle name="20% - Accent5 2 2 2 3 4" xfId="9598" xr:uid="{DFA0B784-606C-4053-B8BB-FD5BCA32BAD8}"/>
    <cellStyle name="20% - Accent5 2 2 2 3 5" xfId="13809" xr:uid="{AC9A15F3-2CDD-449E-813D-8244AB46BF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20585" xr:uid="{F3FF34CB-A17B-4A24-9943-7964F47161BD}"/>
    <cellStyle name="20% - Accent5 2 2 2 4 2 3" xfId="12156" xr:uid="{69C3C107-9C36-43DF-B5DB-F6B710CE119E}"/>
    <cellStyle name="20% - Accent5 2 2 2 4 2 4" xfId="16367" xr:uid="{294F0E23-6010-42B4-A578-94F00137A84A}"/>
    <cellStyle name="20% - Accent5 2 2 2 4 3" xfId="5779" xr:uid="{00000000-0005-0000-0000-000090020000}"/>
    <cellStyle name="20% - Accent5 2 2 2 4 3 2" xfId="18440" xr:uid="{5D94A5AC-6BAC-4533-87E1-6EEADB98D1FF}"/>
    <cellStyle name="20% - Accent5 2 2 2 4 4" xfId="10011" xr:uid="{4543894C-E49B-4A8C-90B5-229A28B1A9CD}"/>
    <cellStyle name="20% - Accent5 2 2 2 4 5" xfId="14222" xr:uid="{2A3CCF7F-A371-435E-A675-5F2ED1DD247A}"/>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20998" xr:uid="{29AF061B-3FD7-4F24-8258-CA8E0BD70F4E}"/>
    <cellStyle name="20% - Accent5 2 2 2 5 2 3" xfId="12569" xr:uid="{3DF75B68-A4FF-42B4-8E54-E4D0C5725141}"/>
    <cellStyle name="20% - Accent5 2 2 2 5 2 4" xfId="16780" xr:uid="{09BD77F0-DB62-453B-BD3B-D0329DA6129D}"/>
    <cellStyle name="20% - Accent5 2 2 2 5 3" xfId="6192" xr:uid="{00000000-0005-0000-0000-000094020000}"/>
    <cellStyle name="20% - Accent5 2 2 2 5 3 2" xfId="18853" xr:uid="{766D50FB-8463-4DDE-8562-215B9B9647B6}"/>
    <cellStyle name="20% - Accent5 2 2 2 5 4" xfId="10424" xr:uid="{6E379121-EF7C-4C0E-B36C-4A87E371DAD3}"/>
    <cellStyle name="20% - Accent5 2 2 2 5 5" xfId="14635" xr:uid="{4C93471D-808D-435B-9D2C-31ECDC5D848B}"/>
    <cellStyle name="20% - Accent5 2 2 2 6" xfId="2299" xr:uid="{00000000-0005-0000-0000-000095020000}"/>
    <cellStyle name="20% - Accent5 2 2 2 6 2" xfId="6605" xr:uid="{00000000-0005-0000-0000-000096020000}"/>
    <cellStyle name="20% - Accent5 2 2 2 6 2 2" xfId="19266" xr:uid="{145BD1B6-37A0-43F2-AC21-726F306C0FCF}"/>
    <cellStyle name="20% - Accent5 2 2 2 6 3" xfId="10837" xr:uid="{70E1F3BB-DA7F-4FEE-8FB9-561821E8A945}"/>
    <cellStyle name="20% - Accent5 2 2 2 6 4" xfId="15048" xr:uid="{F3227B31-3560-478B-9DDA-7DE5AB88A1CC}"/>
    <cellStyle name="20% - Accent5 2 2 2 7" xfId="4539" xr:uid="{00000000-0005-0000-0000-000097020000}"/>
    <cellStyle name="20% - Accent5 2 2 2 7 2" xfId="17200" xr:uid="{8B195268-1842-4A70-B6D0-F64C86B78701}"/>
    <cellStyle name="20% - Accent5 2 2 2 8" xfId="8771" xr:uid="{F244FA63-6FF2-4550-B5C1-D2A2ED34B701}"/>
    <cellStyle name="20% - Accent5 2 2 2 9" xfId="12982" xr:uid="{6DE64705-BF57-4CBA-B40B-297545AAA337}"/>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9758" xr:uid="{6BE449E8-09E4-4D9B-BE8E-BF3576727AA6}"/>
    <cellStyle name="20% - Accent5 2 2 3 2 3" xfId="11329" xr:uid="{3A932C87-9A3D-4EA8-89E1-BC29DF661805}"/>
    <cellStyle name="20% - Accent5 2 2 3 2 4" xfId="15540" xr:uid="{3A560DA5-5ECE-43C3-9CBA-C8198EC4F55D}"/>
    <cellStyle name="20% - Accent5 2 2 3 3" xfId="4952" xr:uid="{00000000-0005-0000-0000-00009B020000}"/>
    <cellStyle name="20% - Accent5 2 2 3 3 2" xfId="17613" xr:uid="{56B95536-0DA0-458A-9B6B-F755EBD487DF}"/>
    <cellStyle name="20% - Accent5 2 2 3 4" xfId="9184" xr:uid="{C9B92C28-4EC0-4C7D-B450-EDECF5527A3D}"/>
    <cellStyle name="20% - Accent5 2 2 3 5" xfId="13395" xr:uid="{71CE06A6-80C4-4949-B31A-734041102ECF}"/>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20171" xr:uid="{2875FAC3-1F2B-4C18-9A26-CCC7AF528676}"/>
    <cellStyle name="20% - Accent5 2 2 4 2 3" xfId="11742" xr:uid="{DAF3E8B1-60FD-42F7-AF35-5B15AEB28ED8}"/>
    <cellStyle name="20% - Accent5 2 2 4 2 4" xfId="15953" xr:uid="{80B9D535-1120-4E69-B24F-5A603A385CEC}"/>
    <cellStyle name="20% - Accent5 2 2 4 3" xfId="5365" xr:uid="{00000000-0005-0000-0000-00009F020000}"/>
    <cellStyle name="20% - Accent5 2 2 4 3 2" xfId="18026" xr:uid="{08E71073-BD24-4826-9997-4552840D2BF1}"/>
    <cellStyle name="20% - Accent5 2 2 4 4" xfId="9597" xr:uid="{E824877F-2F90-4706-9077-6C4B97B259E0}"/>
    <cellStyle name="20% - Accent5 2 2 4 5" xfId="13808" xr:uid="{321E1927-C8CA-454F-A818-282116DD040D}"/>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20584" xr:uid="{B0C799B7-EAF9-444A-A88F-7C2D62DFBD96}"/>
    <cellStyle name="20% - Accent5 2 2 5 2 3" xfId="12155" xr:uid="{78C75932-3BDD-4AEB-9915-C7D4BB08B33B}"/>
    <cellStyle name="20% - Accent5 2 2 5 2 4" xfId="16366" xr:uid="{164BC1A5-88C3-42EF-8532-1C059EDF9880}"/>
    <cellStyle name="20% - Accent5 2 2 5 3" xfId="5778" xr:uid="{00000000-0005-0000-0000-0000A3020000}"/>
    <cellStyle name="20% - Accent5 2 2 5 3 2" xfId="18439" xr:uid="{6F800ED9-4559-4972-A552-7D14FFE50759}"/>
    <cellStyle name="20% - Accent5 2 2 5 4" xfId="10010" xr:uid="{F43D0930-CBED-47AE-A888-EB01ACF8BE67}"/>
    <cellStyle name="20% - Accent5 2 2 5 5" xfId="14221" xr:uid="{F5EEE53D-FF49-477D-8778-7A7AB305701C}"/>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20997" xr:uid="{2CAEB56E-B8B7-4126-A5FE-63DA0FAE7F30}"/>
    <cellStyle name="20% - Accent5 2 2 6 2 3" xfId="12568" xr:uid="{D15D973F-74EE-4010-B79F-8315DD0DC91C}"/>
    <cellStyle name="20% - Accent5 2 2 6 2 4" xfId="16779" xr:uid="{46D72309-698F-4DB4-9387-7898F85B9738}"/>
    <cellStyle name="20% - Accent5 2 2 6 3" xfId="6191" xr:uid="{00000000-0005-0000-0000-0000A7020000}"/>
    <cellStyle name="20% - Accent5 2 2 6 3 2" xfId="18852" xr:uid="{120338F4-FB5E-4444-AF6E-F027E5BFC37B}"/>
    <cellStyle name="20% - Accent5 2 2 6 4" xfId="10423" xr:uid="{4DC2D658-35D2-4FED-856D-4F9CEA6B00BA}"/>
    <cellStyle name="20% - Accent5 2 2 6 5" xfId="14634" xr:uid="{B2DDCD27-4444-44F3-9EB7-F89985C95D87}"/>
    <cellStyle name="20% - Accent5 2 2 7" xfId="2298" xr:uid="{00000000-0005-0000-0000-0000A8020000}"/>
    <cellStyle name="20% - Accent5 2 2 7 2" xfId="6604" xr:uid="{00000000-0005-0000-0000-0000A9020000}"/>
    <cellStyle name="20% - Accent5 2 2 7 2 2" xfId="19265" xr:uid="{6B8C53C5-044A-4554-B1CF-28875E545008}"/>
    <cellStyle name="20% - Accent5 2 2 7 3" xfId="10836" xr:uid="{0A6D33B6-CBCE-40D8-AA5B-00063F431CA1}"/>
    <cellStyle name="20% - Accent5 2 2 7 4" xfId="15047" xr:uid="{3061F52E-0C15-45ED-8F47-4BA05E096DA1}"/>
    <cellStyle name="20% - Accent5 2 2 8" xfId="4538" xr:uid="{00000000-0005-0000-0000-0000AA020000}"/>
    <cellStyle name="20% - Accent5 2 2 8 2" xfId="17199" xr:uid="{4990F2C3-6CFB-41F0-A7B8-44A265481072}"/>
    <cellStyle name="20% - Accent5 2 2 9" xfId="8770" xr:uid="{54C7FC71-F287-4F32-9ED3-8C23123821E8}"/>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9760" xr:uid="{FBCF124E-B445-48AC-9A8D-635422613EDA}"/>
    <cellStyle name="20% - Accent5 2 3 2 2 3" xfId="11331" xr:uid="{CFE9A4DF-CC07-4E67-B7E5-5473D8888266}"/>
    <cellStyle name="20% - Accent5 2 3 2 2 4" xfId="15542" xr:uid="{3101CBDD-6608-411B-A947-4DAE1E97A623}"/>
    <cellStyle name="20% - Accent5 2 3 2 3" xfId="4954" xr:uid="{00000000-0005-0000-0000-0000AF020000}"/>
    <cellStyle name="20% - Accent5 2 3 2 3 2" xfId="17615" xr:uid="{F7384A9D-5254-456A-896D-B500531BFE1B}"/>
    <cellStyle name="20% - Accent5 2 3 2 4" xfId="9186" xr:uid="{EFB2DDCB-D8D2-478B-B099-F2B0B1838CB3}"/>
    <cellStyle name="20% - Accent5 2 3 2 5" xfId="13397" xr:uid="{B9020DA8-CB49-49AC-88F3-00C70E415A4E}"/>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20173" xr:uid="{7087A66A-35C2-4A4C-8CA4-472CE5A38030}"/>
    <cellStyle name="20% - Accent5 2 3 3 2 3" xfId="11744" xr:uid="{D569976C-2FC2-4F51-A59C-6B04AF607E77}"/>
    <cellStyle name="20% - Accent5 2 3 3 2 4" xfId="15955" xr:uid="{824E686E-AF77-4A2B-A312-B9746FCEC8EA}"/>
    <cellStyle name="20% - Accent5 2 3 3 3" xfId="5367" xr:uid="{00000000-0005-0000-0000-0000B3020000}"/>
    <cellStyle name="20% - Accent5 2 3 3 3 2" xfId="18028" xr:uid="{980726E1-70FA-4D09-B9D4-543E9E7DD793}"/>
    <cellStyle name="20% - Accent5 2 3 3 4" xfId="9599" xr:uid="{85B0807E-23AB-4DA2-B98C-9BF890CBD277}"/>
    <cellStyle name="20% - Accent5 2 3 3 5" xfId="13810" xr:uid="{8E159E40-50EA-4574-BB3D-BE6AD4A25152}"/>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20586" xr:uid="{469C1A5C-A256-4F5C-A84D-344EC21BCAC2}"/>
    <cellStyle name="20% - Accent5 2 3 4 2 3" xfId="12157" xr:uid="{A45BA5F8-074D-4C72-9027-5D702002A9B7}"/>
    <cellStyle name="20% - Accent5 2 3 4 2 4" xfId="16368" xr:uid="{2EE97519-959F-42A3-AACA-9F5B732FDB4A}"/>
    <cellStyle name="20% - Accent5 2 3 4 3" xfId="5780" xr:uid="{00000000-0005-0000-0000-0000B7020000}"/>
    <cellStyle name="20% - Accent5 2 3 4 3 2" xfId="18441" xr:uid="{706C0813-6C67-447A-A79B-01D7D472146F}"/>
    <cellStyle name="20% - Accent5 2 3 4 4" xfId="10012" xr:uid="{D9E5CF0F-566A-43CE-B9C1-F81D480DC5F5}"/>
    <cellStyle name="20% - Accent5 2 3 4 5" xfId="14223" xr:uid="{3CE7CB03-54D2-4E09-9A81-9B06A77A70EE}"/>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20999" xr:uid="{2518A77A-180F-4667-87F4-E78F1FECA391}"/>
    <cellStyle name="20% - Accent5 2 3 5 2 3" xfId="12570" xr:uid="{C6F14DA4-01DF-4FD0-8D73-8DCF55400DC0}"/>
    <cellStyle name="20% - Accent5 2 3 5 2 4" xfId="16781" xr:uid="{66860452-D22B-4F96-934D-04298FE1362F}"/>
    <cellStyle name="20% - Accent5 2 3 5 3" xfId="6193" xr:uid="{00000000-0005-0000-0000-0000BB020000}"/>
    <cellStyle name="20% - Accent5 2 3 5 3 2" xfId="18854" xr:uid="{095D8BA1-32C2-4B53-9706-4D8EDCECA148}"/>
    <cellStyle name="20% - Accent5 2 3 5 4" xfId="10425" xr:uid="{31232B3D-F81A-448A-824D-1494A004755B}"/>
    <cellStyle name="20% - Accent5 2 3 5 5" xfId="14636" xr:uid="{75C141EB-3E43-4CB7-A1C6-143888C503D2}"/>
    <cellStyle name="20% - Accent5 2 3 6" xfId="2300" xr:uid="{00000000-0005-0000-0000-0000BC020000}"/>
    <cellStyle name="20% - Accent5 2 3 6 2" xfId="6606" xr:uid="{00000000-0005-0000-0000-0000BD020000}"/>
    <cellStyle name="20% - Accent5 2 3 6 2 2" xfId="19267" xr:uid="{BD5B8F55-4219-457C-A05C-2C667406AC31}"/>
    <cellStyle name="20% - Accent5 2 3 6 3" xfId="10838" xr:uid="{857B2583-E1B3-4A9C-AD82-0AE5EDC53553}"/>
    <cellStyle name="20% - Accent5 2 3 6 4" xfId="15049" xr:uid="{5AF0E6C8-6A26-42FC-A0F2-82B706163560}"/>
    <cellStyle name="20% - Accent5 2 3 7" xfId="4540" xr:uid="{00000000-0005-0000-0000-0000BE020000}"/>
    <cellStyle name="20% - Accent5 2 3 7 2" xfId="17201" xr:uid="{9FA21AD1-5D84-4938-AF23-FF2DA9C19EA7}"/>
    <cellStyle name="20% - Accent5 2 3 8" xfId="8772" xr:uid="{8AC14803-0092-4307-B69F-1D7D4E8C8B5E}"/>
    <cellStyle name="20% - Accent5 2 3 9" xfId="12983" xr:uid="{178C4779-50AF-4A81-82D8-620E4AD1BC4E}"/>
    <cellStyle name="20% - Accent5 2 4" xfId="603" xr:uid="{00000000-0005-0000-0000-0000BF020000}"/>
    <cellStyle name="20% - Accent5 2 4 2" xfId="2874" xr:uid="{00000000-0005-0000-0000-0000C0020000}"/>
    <cellStyle name="20% - Accent5 2 4 2 2" xfId="7096" xr:uid="{00000000-0005-0000-0000-0000C1020000}"/>
    <cellStyle name="20% - Accent5 2 4 2 2 2" xfId="19757" xr:uid="{679A3307-FE5F-4591-B0FA-EEA65DEA2F0C}"/>
    <cellStyle name="20% - Accent5 2 4 2 3" xfId="11328" xr:uid="{B8506978-5196-4689-AC11-704D567B8E62}"/>
    <cellStyle name="20% - Accent5 2 4 2 4" xfId="15539" xr:uid="{88D76513-2718-47D7-A007-EED746B9F111}"/>
    <cellStyle name="20% - Accent5 2 4 3" xfId="4951" xr:uid="{00000000-0005-0000-0000-0000C2020000}"/>
    <cellStyle name="20% - Accent5 2 4 3 2" xfId="17612" xr:uid="{1835FF23-AE84-4355-8CBA-E68988527D4B}"/>
    <cellStyle name="20% - Accent5 2 4 4" xfId="9183" xr:uid="{62732BE7-54BB-44F7-B6A5-7110E2E61315}"/>
    <cellStyle name="20% - Accent5 2 4 5" xfId="13394" xr:uid="{32D04028-04C8-4E7C-812A-5E352FBC9A1B}"/>
    <cellStyle name="20% - Accent5 2 5" xfId="1056" xr:uid="{00000000-0005-0000-0000-0000C3020000}"/>
    <cellStyle name="20% - Accent5 2 5 2" xfId="3287" xr:uid="{00000000-0005-0000-0000-0000C4020000}"/>
    <cellStyle name="20% - Accent5 2 5 2 2" xfId="7509" xr:uid="{00000000-0005-0000-0000-0000C5020000}"/>
    <cellStyle name="20% - Accent5 2 5 2 2 2" xfId="20170" xr:uid="{3EB2D26B-2A45-4F3D-997D-219A21C6C4C1}"/>
    <cellStyle name="20% - Accent5 2 5 2 3" xfId="11741" xr:uid="{1009D888-B82D-4519-8ADE-4433305EF815}"/>
    <cellStyle name="20% - Accent5 2 5 2 4" xfId="15952" xr:uid="{FC4D130E-B741-48CC-A309-214D162EFA2F}"/>
    <cellStyle name="20% - Accent5 2 5 3" xfId="5364" xr:uid="{00000000-0005-0000-0000-0000C6020000}"/>
    <cellStyle name="20% - Accent5 2 5 3 2" xfId="18025" xr:uid="{7C01C167-2F34-4CF8-8537-25B95E0E6298}"/>
    <cellStyle name="20% - Accent5 2 5 4" xfId="9596" xr:uid="{C72AFFB7-87DD-441B-8347-2D33A4C1A711}"/>
    <cellStyle name="20% - Accent5 2 5 5" xfId="13807" xr:uid="{88529558-012F-4240-8299-ABAC9312D070}"/>
    <cellStyle name="20% - Accent5 2 6" xfId="1470" xr:uid="{00000000-0005-0000-0000-0000C7020000}"/>
    <cellStyle name="20% - Accent5 2 6 2" xfId="3700" xr:uid="{00000000-0005-0000-0000-0000C8020000}"/>
    <cellStyle name="20% - Accent5 2 6 2 2" xfId="7922" xr:uid="{00000000-0005-0000-0000-0000C9020000}"/>
    <cellStyle name="20% - Accent5 2 6 2 2 2" xfId="20583" xr:uid="{50E3B258-795E-4153-89FF-F2571D1E0A40}"/>
    <cellStyle name="20% - Accent5 2 6 2 3" xfId="12154" xr:uid="{71250158-B5A6-4946-A0B7-0408C4A6921A}"/>
    <cellStyle name="20% - Accent5 2 6 2 4" xfId="16365" xr:uid="{82349761-D92B-4025-ACBF-7BE2DC8123F4}"/>
    <cellStyle name="20% - Accent5 2 6 3" xfId="5777" xr:uid="{00000000-0005-0000-0000-0000CA020000}"/>
    <cellStyle name="20% - Accent5 2 6 3 2" xfId="18438" xr:uid="{79D4597A-9A9A-4E84-AE78-0A126A009BB4}"/>
    <cellStyle name="20% - Accent5 2 6 4" xfId="10009" xr:uid="{53BC7249-1BD2-4CA6-BFEF-F329416FE5A5}"/>
    <cellStyle name="20% - Accent5 2 6 5" xfId="14220" xr:uid="{18F8A273-BC2E-475A-B983-977E9D5DD442}"/>
    <cellStyle name="20% - Accent5 2 7" xfId="1884" xr:uid="{00000000-0005-0000-0000-0000CB020000}"/>
    <cellStyle name="20% - Accent5 2 7 2" xfId="4113" xr:uid="{00000000-0005-0000-0000-0000CC020000}"/>
    <cellStyle name="20% - Accent5 2 7 2 2" xfId="8335" xr:uid="{00000000-0005-0000-0000-0000CD020000}"/>
    <cellStyle name="20% - Accent5 2 7 2 2 2" xfId="20996" xr:uid="{6D7144DC-2C6F-433A-A194-0BE1FC5D0FE9}"/>
    <cellStyle name="20% - Accent5 2 7 2 3" xfId="12567" xr:uid="{061A1031-6B5B-4A2F-B1C6-C00337EE2802}"/>
    <cellStyle name="20% - Accent5 2 7 2 4" xfId="16778" xr:uid="{58FC720E-87D9-46C0-9721-A7A44BFCE817}"/>
    <cellStyle name="20% - Accent5 2 7 3" xfId="6190" xr:uid="{00000000-0005-0000-0000-0000CE020000}"/>
    <cellStyle name="20% - Accent5 2 7 3 2" xfId="18851" xr:uid="{88C4C9BE-71AC-49AE-B21F-5066805B5C63}"/>
    <cellStyle name="20% - Accent5 2 7 4" xfId="10422" xr:uid="{C2D77E61-88CF-4CEE-AB36-84F26C3AE413}"/>
    <cellStyle name="20% - Accent5 2 7 5" xfId="14633" xr:uid="{DDD17BD4-6CF5-4FA0-B3C0-C6D5E4C2C464}"/>
    <cellStyle name="20% - Accent5 2 8" xfId="2297" xr:uid="{00000000-0005-0000-0000-0000CF020000}"/>
    <cellStyle name="20% - Accent5 2 8 2" xfId="6603" xr:uid="{00000000-0005-0000-0000-0000D0020000}"/>
    <cellStyle name="20% - Accent5 2 8 2 2" xfId="19264" xr:uid="{596EE311-994A-45E7-AD34-FA301A8409F4}"/>
    <cellStyle name="20% - Accent5 2 8 3" xfId="10835" xr:uid="{D2B4E8CC-8B4E-4025-A2E4-0E92B5C70E7B}"/>
    <cellStyle name="20% - Accent5 2 8 4" xfId="15046" xr:uid="{50C0CEB8-0F72-4805-B9BC-89CD383913C2}"/>
    <cellStyle name="20% - Accent5 2 9" xfId="4537" xr:uid="{00000000-0005-0000-0000-0000D1020000}"/>
    <cellStyle name="20% - Accent5 2 9 2" xfId="17198" xr:uid="{04792635-2C4B-4CC2-9009-C07867148DAB}"/>
    <cellStyle name="20% - Accent5 3" xfId="38" xr:uid="{00000000-0005-0000-0000-0000D2020000}"/>
    <cellStyle name="20% - Accent5 3 10" xfId="12984" xr:uid="{901985D1-FA68-4EE8-A4EF-EE7618E1BA8D}"/>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9762" xr:uid="{FE17459A-B371-4C80-8FC5-9C5EC50A40AB}"/>
    <cellStyle name="20% - Accent5 3 2 2 2 3" xfId="11333" xr:uid="{AF252B97-EC65-4877-ABEB-9D31D74078F5}"/>
    <cellStyle name="20% - Accent5 3 2 2 2 4" xfId="15544" xr:uid="{5208ADB9-46FA-4CD5-9D98-0C4FA61A9B45}"/>
    <cellStyle name="20% - Accent5 3 2 2 3" xfId="4956" xr:uid="{00000000-0005-0000-0000-0000D7020000}"/>
    <cellStyle name="20% - Accent5 3 2 2 3 2" xfId="17617" xr:uid="{72FC09FC-245C-416F-AF4E-C7DA320B6D3E}"/>
    <cellStyle name="20% - Accent5 3 2 2 4" xfId="9188" xr:uid="{F390D9A8-9C2C-461E-9B3E-8F769858B3D2}"/>
    <cellStyle name="20% - Accent5 3 2 2 5" xfId="13399" xr:uid="{2BC22355-97E2-4CF8-A727-B19069DA18B0}"/>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20175" xr:uid="{704534D7-F259-4D95-B461-F1BC411E8777}"/>
    <cellStyle name="20% - Accent5 3 2 3 2 3" xfId="11746" xr:uid="{39C30540-3411-45D2-8798-5B18E5D528C8}"/>
    <cellStyle name="20% - Accent5 3 2 3 2 4" xfId="15957" xr:uid="{238F3FB3-91D3-4E81-966E-899F9DD16263}"/>
    <cellStyle name="20% - Accent5 3 2 3 3" xfId="5369" xr:uid="{00000000-0005-0000-0000-0000DB020000}"/>
    <cellStyle name="20% - Accent5 3 2 3 3 2" xfId="18030" xr:uid="{61A3EFD0-A844-4D2F-97E3-161F39D291A1}"/>
    <cellStyle name="20% - Accent5 3 2 3 4" xfId="9601" xr:uid="{AA3CAC74-DC64-4BEF-A5B2-A6F5C7EA9CFD}"/>
    <cellStyle name="20% - Accent5 3 2 3 5" xfId="13812" xr:uid="{2A648CF5-AB8F-4DD3-92B9-8F7D04F8AF9B}"/>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20588" xr:uid="{B52172BC-D98D-40B6-969B-457A74DAEE46}"/>
    <cellStyle name="20% - Accent5 3 2 4 2 3" xfId="12159" xr:uid="{77B3050C-127F-424D-BB18-5C8889156816}"/>
    <cellStyle name="20% - Accent5 3 2 4 2 4" xfId="16370" xr:uid="{E3D462B3-6458-4258-A13D-2FCEB431077C}"/>
    <cellStyle name="20% - Accent5 3 2 4 3" xfId="5782" xr:uid="{00000000-0005-0000-0000-0000DF020000}"/>
    <cellStyle name="20% - Accent5 3 2 4 3 2" xfId="18443" xr:uid="{F9D0FC2C-2002-4E3A-ACAE-9A11705B69D1}"/>
    <cellStyle name="20% - Accent5 3 2 4 4" xfId="10014" xr:uid="{4E778B45-5785-4B73-BC9A-BC3980397BD5}"/>
    <cellStyle name="20% - Accent5 3 2 4 5" xfId="14225" xr:uid="{9E3349EA-89DA-4D1E-886F-E24DF2AD701A}"/>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21001" xr:uid="{4FE4FF96-3B01-4BBF-8E0E-10DF8A0B81F6}"/>
    <cellStyle name="20% - Accent5 3 2 5 2 3" xfId="12572" xr:uid="{C851B7D7-AE7A-451F-B479-9C6CFED88363}"/>
    <cellStyle name="20% - Accent5 3 2 5 2 4" xfId="16783" xr:uid="{DD5628B3-ED4C-4D0C-AF95-8C07443142AF}"/>
    <cellStyle name="20% - Accent5 3 2 5 3" xfId="6195" xr:uid="{00000000-0005-0000-0000-0000E3020000}"/>
    <cellStyle name="20% - Accent5 3 2 5 3 2" xfId="18856" xr:uid="{008634FE-BD29-4143-BF14-36F0CC3E943F}"/>
    <cellStyle name="20% - Accent5 3 2 5 4" xfId="10427" xr:uid="{05A94E70-5296-44D5-BF06-4F613DAC259E}"/>
    <cellStyle name="20% - Accent5 3 2 5 5" xfId="14638" xr:uid="{5B0EFFA7-1771-45D0-BE4E-094E9E81DC78}"/>
    <cellStyle name="20% - Accent5 3 2 6" xfId="2302" xr:uid="{00000000-0005-0000-0000-0000E4020000}"/>
    <cellStyle name="20% - Accent5 3 2 6 2" xfId="6608" xr:uid="{00000000-0005-0000-0000-0000E5020000}"/>
    <cellStyle name="20% - Accent5 3 2 6 2 2" xfId="19269" xr:uid="{9D970BA0-89BF-401C-9CB0-32705B938D07}"/>
    <cellStyle name="20% - Accent5 3 2 6 3" xfId="10840" xr:uid="{2C445F2F-EAC8-4249-BF4A-091B021192E4}"/>
    <cellStyle name="20% - Accent5 3 2 6 4" xfId="15051" xr:uid="{4768F8B3-ADA4-4B42-B8A0-7605D51FADFE}"/>
    <cellStyle name="20% - Accent5 3 2 7" xfId="4542" xr:uid="{00000000-0005-0000-0000-0000E6020000}"/>
    <cellStyle name="20% - Accent5 3 2 7 2" xfId="17203" xr:uid="{2C33A53B-2B2E-4A0E-B7DA-60B1A6BF3773}"/>
    <cellStyle name="20% - Accent5 3 2 8" xfId="8774" xr:uid="{7F041373-7AC1-4BAB-B18D-578094D725EB}"/>
    <cellStyle name="20% - Accent5 3 2 9" xfId="12985" xr:uid="{0D3B67D4-6B52-4400-91BA-5006DC2E58C5}"/>
    <cellStyle name="20% - Accent5 3 3" xfId="607" xr:uid="{00000000-0005-0000-0000-0000E7020000}"/>
    <cellStyle name="20% - Accent5 3 3 2" xfId="2878" xr:uid="{00000000-0005-0000-0000-0000E8020000}"/>
    <cellStyle name="20% - Accent5 3 3 2 2" xfId="7100" xr:uid="{00000000-0005-0000-0000-0000E9020000}"/>
    <cellStyle name="20% - Accent5 3 3 2 2 2" xfId="19761" xr:uid="{732AC9CB-7A02-40AD-BA20-8A8945BEAF9D}"/>
    <cellStyle name="20% - Accent5 3 3 2 3" xfId="11332" xr:uid="{CF277E78-D34C-4D8D-A18F-1E54CA07D166}"/>
    <cellStyle name="20% - Accent5 3 3 2 4" xfId="15543" xr:uid="{A9FEA5B2-598C-434C-9B78-47B4DE1365B8}"/>
    <cellStyle name="20% - Accent5 3 3 3" xfId="4955" xr:uid="{00000000-0005-0000-0000-0000EA020000}"/>
    <cellStyle name="20% - Accent5 3 3 3 2" xfId="17616" xr:uid="{BC9833E3-2A18-4AFC-BD55-B576CD10B179}"/>
    <cellStyle name="20% - Accent5 3 3 4" xfId="9187" xr:uid="{BBC04D01-DC83-4FCC-A3F1-33A8E9E5F942}"/>
    <cellStyle name="20% - Accent5 3 3 5" xfId="13398" xr:uid="{C19516DD-0E72-422F-B12B-71DD1F2F0730}"/>
    <cellStyle name="20% - Accent5 3 4" xfId="1060" xr:uid="{00000000-0005-0000-0000-0000EB020000}"/>
    <cellStyle name="20% - Accent5 3 4 2" xfId="3291" xr:uid="{00000000-0005-0000-0000-0000EC020000}"/>
    <cellStyle name="20% - Accent5 3 4 2 2" xfId="7513" xr:uid="{00000000-0005-0000-0000-0000ED020000}"/>
    <cellStyle name="20% - Accent5 3 4 2 2 2" xfId="20174" xr:uid="{824E7901-E9DE-44EE-8234-3C5A4BF33AE2}"/>
    <cellStyle name="20% - Accent5 3 4 2 3" xfId="11745" xr:uid="{5575F350-3BE0-438E-8172-41D7A1BA49AF}"/>
    <cellStyle name="20% - Accent5 3 4 2 4" xfId="15956" xr:uid="{2C7C56E5-F549-4C0C-B421-3A9AB80682F1}"/>
    <cellStyle name="20% - Accent5 3 4 3" xfId="5368" xr:uid="{00000000-0005-0000-0000-0000EE020000}"/>
    <cellStyle name="20% - Accent5 3 4 3 2" xfId="18029" xr:uid="{10868ACB-111A-4335-8CF3-E1C3C0B20536}"/>
    <cellStyle name="20% - Accent5 3 4 4" xfId="9600" xr:uid="{B6E6766A-4246-4100-8ED8-60BCBA633137}"/>
    <cellStyle name="20% - Accent5 3 4 5" xfId="13811" xr:uid="{4EAD049C-E119-4D1A-BF14-5D6D597AB50A}"/>
    <cellStyle name="20% - Accent5 3 5" xfId="1474" xr:uid="{00000000-0005-0000-0000-0000EF020000}"/>
    <cellStyle name="20% - Accent5 3 5 2" xfId="3704" xr:uid="{00000000-0005-0000-0000-0000F0020000}"/>
    <cellStyle name="20% - Accent5 3 5 2 2" xfId="7926" xr:uid="{00000000-0005-0000-0000-0000F1020000}"/>
    <cellStyle name="20% - Accent5 3 5 2 2 2" xfId="20587" xr:uid="{6697594F-FC42-45FB-919D-B0D322044F8A}"/>
    <cellStyle name="20% - Accent5 3 5 2 3" xfId="12158" xr:uid="{ACD9BAF7-DD56-469B-AB3B-46901AC448F0}"/>
    <cellStyle name="20% - Accent5 3 5 2 4" xfId="16369" xr:uid="{12E7F9F4-7913-4DE6-B29A-0BA02CF05C31}"/>
    <cellStyle name="20% - Accent5 3 5 3" xfId="5781" xr:uid="{00000000-0005-0000-0000-0000F2020000}"/>
    <cellStyle name="20% - Accent5 3 5 3 2" xfId="18442" xr:uid="{8100FE67-466F-456B-A9A7-61C2379C99FB}"/>
    <cellStyle name="20% - Accent5 3 5 4" xfId="10013" xr:uid="{28C6B05C-1C70-44AC-A639-327405ACAFCF}"/>
    <cellStyle name="20% - Accent5 3 5 5" xfId="14224" xr:uid="{81657C35-7EFD-4047-A36F-E39E5024A855}"/>
    <cellStyle name="20% - Accent5 3 6" xfId="1888" xr:uid="{00000000-0005-0000-0000-0000F3020000}"/>
    <cellStyle name="20% - Accent5 3 6 2" xfId="4117" xr:uid="{00000000-0005-0000-0000-0000F4020000}"/>
    <cellStyle name="20% - Accent5 3 6 2 2" xfId="8339" xr:uid="{00000000-0005-0000-0000-0000F5020000}"/>
    <cellStyle name="20% - Accent5 3 6 2 2 2" xfId="21000" xr:uid="{08160A99-51F9-4E15-A428-96C85C76763E}"/>
    <cellStyle name="20% - Accent5 3 6 2 3" xfId="12571" xr:uid="{A01DD671-8235-40EA-A509-68013A3F19B0}"/>
    <cellStyle name="20% - Accent5 3 6 2 4" xfId="16782" xr:uid="{31147D86-64B9-44C5-854F-CB3C6D0DAA1F}"/>
    <cellStyle name="20% - Accent5 3 6 3" xfId="6194" xr:uid="{00000000-0005-0000-0000-0000F6020000}"/>
    <cellStyle name="20% - Accent5 3 6 3 2" xfId="18855" xr:uid="{D2F8BD76-2564-4B30-B179-1188850C89D8}"/>
    <cellStyle name="20% - Accent5 3 6 4" xfId="10426" xr:uid="{8CB0B31B-1CDB-47F8-9FA7-D517F223A2E9}"/>
    <cellStyle name="20% - Accent5 3 6 5" xfId="14637" xr:uid="{A1DDD045-CC74-4B80-9F2D-B691961838A3}"/>
    <cellStyle name="20% - Accent5 3 7" xfId="2301" xr:uid="{00000000-0005-0000-0000-0000F7020000}"/>
    <cellStyle name="20% - Accent5 3 7 2" xfId="6607" xr:uid="{00000000-0005-0000-0000-0000F8020000}"/>
    <cellStyle name="20% - Accent5 3 7 2 2" xfId="19268" xr:uid="{A66EA112-6DF2-45BB-83F3-8345BF99B3FD}"/>
    <cellStyle name="20% - Accent5 3 7 3" xfId="10839" xr:uid="{A8A900D8-337D-4B81-9C59-6AF34D48F986}"/>
    <cellStyle name="20% - Accent5 3 7 4" xfId="15050" xr:uid="{0FDF7321-A946-4D6B-9CA1-72DEB0B743AE}"/>
    <cellStyle name="20% - Accent5 3 8" xfId="4541" xr:uid="{00000000-0005-0000-0000-0000F9020000}"/>
    <cellStyle name="20% - Accent5 3 8 2" xfId="17202" xr:uid="{0EBB6AA3-5C27-43C8-8409-8A72CA2C8449}"/>
    <cellStyle name="20% - Accent5 3 9" xfId="8773" xr:uid="{101C810D-77FA-47E5-8707-E4E4DC0339FD}"/>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9763" xr:uid="{8A02056F-18C2-4B52-BBE9-459EA5C6EAB4}"/>
    <cellStyle name="20% - Accent5 4 2 2 3" xfId="11334" xr:uid="{0C49D09B-E1CE-4D2E-96B0-357DF1DFFD32}"/>
    <cellStyle name="20% - Accent5 4 2 2 4" xfId="15545" xr:uid="{429C8C3B-DF3E-4D9B-A17B-DF77B11DADB2}"/>
    <cellStyle name="20% - Accent5 4 2 3" xfId="4957" xr:uid="{00000000-0005-0000-0000-0000FE020000}"/>
    <cellStyle name="20% - Accent5 4 2 3 2" xfId="17618" xr:uid="{8FE8B8D2-C8EB-42DD-9DA5-198E9DE60B63}"/>
    <cellStyle name="20% - Accent5 4 2 4" xfId="9189" xr:uid="{03198BF4-C6F4-4C71-BBD5-C09C18C2811E}"/>
    <cellStyle name="20% - Accent5 4 2 5" xfId="13400" xr:uid="{F2BB327A-044E-4EC4-B7F7-4BB322C7B9D8}"/>
    <cellStyle name="20% - Accent5 4 3" xfId="1062" xr:uid="{00000000-0005-0000-0000-0000FF020000}"/>
    <cellStyle name="20% - Accent5 4 3 2" xfId="3293" xr:uid="{00000000-0005-0000-0000-000000030000}"/>
    <cellStyle name="20% - Accent5 4 3 2 2" xfId="7515" xr:uid="{00000000-0005-0000-0000-000001030000}"/>
    <cellStyle name="20% - Accent5 4 3 2 2 2" xfId="20176" xr:uid="{B9EAFEF0-7A8B-4EBD-A109-E8BB0C95D658}"/>
    <cellStyle name="20% - Accent5 4 3 2 3" xfId="11747" xr:uid="{F00853BD-693B-44E2-B7CF-53B96D525141}"/>
    <cellStyle name="20% - Accent5 4 3 2 4" xfId="15958" xr:uid="{F0BE61ED-5414-4204-BA98-55A1858DB4AB}"/>
    <cellStyle name="20% - Accent5 4 3 3" xfId="5370" xr:uid="{00000000-0005-0000-0000-000002030000}"/>
    <cellStyle name="20% - Accent5 4 3 3 2" xfId="18031" xr:uid="{6C802C55-D21A-42CD-B8A0-79857CC8F11B}"/>
    <cellStyle name="20% - Accent5 4 3 4" xfId="9602" xr:uid="{F9E23B00-82F5-49A4-862C-3E599E664AB3}"/>
    <cellStyle name="20% - Accent5 4 3 5" xfId="13813" xr:uid="{FE18BC14-7D89-4B85-86D8-A6C690F7F542}"/>
    <cellStyle name="20% - Accent5 4 4" xfId="1476" xr:uid="{00000000-0005-0000-0000-000003030000}"/>
    <cellStyle name="20% - Accent5 4 4 2" xfId="3706" xr:uid="{00000000-0005-0000-0000-000004030000}"/>
    <cellStyle name="20% - Accent5 4 4 2 2" xfId="7928" xr:uid="{00000000-0005-0000-0000-000005030000}"/>
    <cellStyle name="20% - Accent5 4 4 2 2 2" xfId="20589" xr:uid="{EFFEB466-DED2-4118-9367-285EC8A31A03}"/>
    <cellStyle name="20% - Accent5 4 4 2 3" xfId="12160" xr:uid="{5B4247E9-BC9A-4B89-B75A-6CDFDC2FE9BF}"/>
    <cellStyle name="20% - Accent5 4 4 2 4" xfId="16371" xr:uid="{21FB7A9A-282C-4D32-A576-13195A6168BF}"/>
    <cellStyle name="20% - Accent5 4 4 3" xfId="5783" xr:uid="{00000000-0005-0000-0000-000006030000}"/>
    <cellStyle name="20% - Accent5 4 4 3 2" xfId="18444" xr:uid="{46DDF146-E929-47DA-B19B-56D5271697A6}"/>
    <cellStyle name="20% - Accent5 4 4 4" xfId="10015" xr:uid="{F37BB837-BAAB-4E1B-BBEA-F2AAADFCE9FA}"/>
    <cellStyle name="20% - Accent5 4 4 5" xfId="14226" xr:uid="{4300C64A-23DA-45D8-84B7-0F790DB2BB87}"/>
    <cellStyle name="20% - Accent5 4 5" xfId="1890" xr:uid="{00000000-0005-0000-0000-000007030000}"/>
    <cellStyle name="20% - Accent5 4 5 2" xfId="4119" xr:uid="{00000000-0005-0000-0000-000008030000}"/>
    <cellStyle name="20% - Accent5 4 5 2 2" xfId="8341" xr:uid="{00000000-0005-0000-0000-000009030000}"/>
    <cellStyle name="20% - Accent5 4 5 2 2 2" xfId="21002" xr:uid="{4CE1816A-557A-44D0-B467-345A848F15B5}"/>
    <cellStyle name="20% - Accent5 4 5 2 3" xfId="12573" xr:uid="{570E877C-4D7A-4493-8534-EFBA419B9B05}"/>
    <cellStyle name="20% - Accent5 4 5 2 4" xfId="16784" xr:uid="{74F65001-60F4-499F-A262-84F598D915DC}"/>
    <cellStyle name="20% - Accent5 4 5 3" xfId="6196" xr:uid="{00000000-0005-0000-0000-00000A030000}"/>
    <cellStyle name="20% - Accent5 4 5 3 2" xfId="18857" xr:uid="{88243898-0F30-43CD-8934-445F0E61F6E2}"/>
    <cellStyle name="20% - Accent5 4 5 4" xfId="10428" xr:uid="{D3C7680F-4B5D-48FF-B79E-DE3BE812B7F7}"/>
    <cellStyle name="20% - Accent5 4 5 5" xfId="14639" xr:uid="{7A8EE740-DACF-4F77-8723-9A7DC55A518F}"/>
    <cellStyle name="20% - Accent5 4 6" xfId="2303" xr:uid="{00000000-0005-0000-0000-00000B030000}"/>
    <cellStyle name="20% - Accent5 4 6 2" xfId="6609" xr:uid="{00000000-0005-0000-0000-00000C030000}"/>
    <cellStyle name="20% - Accent5 4 6 2 2" xfId="19270" xr:uid="{5A73B5E6-5547-4259-B116-712BFA532441}"/>
    <cellStyle name="20% - Accent5 4 6 3" xfId="10841" xr:uid="{83BFBCDC-F6C6-43D5-8CCE-A6F951F4FD5D}"/>
    <cellStyle name="20% - Accent5 4 6 4" xfId="15052" xr:uid="{9918AB45-4806-47CF-84B8-FF0A5DCF6A7E}"/>
    <cellStyle name="20% - Accent5 4 7" xfId="4543" xr:uid="{00000000-0005-0000-0000-00000D030000}"/>
    <cellStyle name="20% - Accent5 4 7 2" xfId="17204" xr:uid="{7733635B-4CEB-4617-BD28-11060BF1AC84}"/>
    <cellStyle name="20% - Accent5 4 8" xfId="8775" xr:uid="{537C3C37-0CAA-427B-A435-F083821C2997}"/>
    <cellStyle name="20% - Accent5 4 9" xfId="12986" xr:uid="{A6F077FD-915A-43EC-98C1-8B97C91ECA07}"/>
    <cellStyle name="20% - Accent5 5" xfId="602" xr:uid="{00000000-0005-0000-0000-00000E030000}"/>
    <cellStyle name="20% - Accent5 5 2" xfId="2873" xr:uid="{00000000-0005-0000-0000-00000F030000}"/>
    <cellStyle name="20% - Accent5 5 2 2" xfId="7095" xr:uid="{00000000-0005-0000-0000-000010030000}"/>
    <cellStyle name="20% - Accent5 5 2 2 2" xfId="19756" xr:uid="{34C6A729-A941-4011-B8BE-154D344F6269}"/>
    <cellStyle name="20% - Accent5 5 2 3" xfId="11327" xr:uid="{0557F3A0-7276-4477-B7E6-186D6DDA0080}"/>
    <cellStyle name="20% - Accent5 5 2 4" xfId="15538" xr:uid="{C7E2096A-B7A6-430E-AE2B-7D01F64E07B6}"/>
    <cellStyle name="20% - Accent5 5 3" xfId="4950" xr:uid="{00000000-0005-0000-0000-000011030000}"/>
    <cellStyle name="20% - Accent5 5 3 2" xfId="17611" xr:uid="{B474DA71-71BD-4096-8278-A7EA17A8C482}"/>
    <cellStyle name="20% - Accent5 5 4" xfId="9182" xr:uid="{CE7B42B7-5FC6-40DC-8E44-AB93A9E735D9}"/>
    <cellStyle name="20% - Accent5 5 5" xfId="13393" xr:uid="{39117562-AD2B-4C7B-9EBB-F985DAC5301E}"/>
    <cellStyle name="20% - Accent5 6" xfId="1055" xr:uid="{00000000-0005-0000-0000-000012030000}"/>
    <cellStyle name="20% - Accent5 6 2" xfId="3286" xr:uid="{00000000-0005-0000-0000-000013030000}"/>
    <cellStyle name="20% - Accent5 6 2 2" xfId="7508" xr:uid="{00000000-0005-0000-0000-000014030000}"/>
    <cellStyle name="20% - Accent5 6 2 2 2" xfId="20169" xr:uid="{3D6E853A-37F9-4364-BD52-44F1FD2EA330}"/>
    <cellStyle name="20% - Accent5 6 2 3" xfId="11740" xr:uid="{CDB4BC34-BEE8-4E53-AC03-4B820BC1158A}"/>
    <cellStyle name="20% - Accent5 6 2 4" xfId="15951" xr:uid="{81D45661-6BC5-4940-BA54-C4A117D6180F}"/>
    <cellStyle name="20% - Accent5 6 3" xfId="5363" xr:uid="{00000000-0005-0000-0000-000015030000}"/>
    <cellStyle name="20% - Accent5 6 3 2" xfId="18024" xr:uid="{3C82A68B-DB6D-4D55-ABB3-8CB496F1275F}"/>
    <cellStyle name="20% - Accent5 6 4" xfId="9595" xr:uid="{57BBD788-56A4-42AB-ADCB-85A05D97C56F}"/>
    <cellStyle name="20% - Accent5 6 5" xfId="13806" xr:uid="{144D9031-9B3C-4308-85E5-79425CE432D0}"/>
    <cellStyle name="20% - Accent5 7" xfId="1469" xr:uid="{00000000-0005-0000-0000-000016030000}"/>
    <cellStyle name="20% - Accent5 7 2" xfId="3699" xr:uid="{00000000-0005-0000-0000-000017030000}"/>
    <cellStyle name="20% - Accent5 7 2 2" xfId="7921" xr:uid="{00000000-0005-0000-0000-000018030000}"/>
    <cellStyle name="20% - Accent5 7 2 2 2" xfId="20582" xr:uid="{5C5207E6-F569-4AE5-95A0-036890548E0B}"/>
    <cellStyle name="20% - Accent5 7 2 3" xfId="12153" xr:uid="{C163E4E5-E790-4555-BC46-207743CD81F9}"/>
    <cellStyle name="20% - Accent5 7 2 4" xfId="16364" xr:uid="{2D088015-D49E-4ACF-B356-A6F14B61B5D0}"/>
    <cellStyle name="20% - Accent5 7 3" xfId="5776" xr:uid="{00000000-0005-0000-0000-000019030000}"/>
    <cellStyle name="20% - Accent5 7 3 2" xfId="18437" xr:uid="{CA02857E-A7B8-4411-98DB-B7D7A03ADB9A}"/>
    <cellStyle name="20% - Accent5 7 4" xfId="10008" xr:uid="{FE657D7F-D589-469B-BF73-9BA932BDD2AE}"/>
    <cellStyle name="20% - Accent5 7 5" xfId="14219" xr:uid="{10252D31-7BBE-4B50-83D9-735EBCF90307}"/>
    <cellStyle name="20% - Accent5 8" xfId="1883" xr:uid="{00000000-0005-0000-0000-00001A030000}"/>
    <cellStyle name="20% - Accent5 8 2" xfId="4112" xr:uid="{00000000-0005-0000-0000-00001B030000}"/>
    <cellStyle name="20% - Accent5 8 2 2" xfId="8334" xr:uid="{00000000-0005-0000-0000-00001C030000}"/>
    <cellStyle name="20% - Accent5 8 2 2 2" xfId="20995" xr:uid="{8CFCB4C9-8892-40D0-AACC-3A4D4749CAE0}"/>
    <cellStyle name="20% - Accent5 8 2 3" xfId="12566" xr:uid="{9002489F-80ED-418F-9D5B-17DF4B09024A}"/>
    <cellStyle name="20% - Accent5 8 2 4" xfId="16777" xr:uid="{F5DB7608-143B-4E97-A62A-DFE0FC9096DD}"/>
    <cellStyle name="20% - Accent5 8 3" xfId="6189" xr:uid="{00000000-0005-0000-0000-00001D030000}"/>
    <cellStyle name="20% - Accent5 8 3 2" xfId="18850" xr:uid="{49C00F82-1BAF-4453-9FB8-E1C94F34BAE5}"/>
    <cellStyle name="20% - Accent5 8 4" xfId="10421" xr:uid="{C64D6E28-D954-484C-889E-DDB75122F48A}"/>
    <cellStyle name="20% - Accent5 8 5" xfId="14632" xr:uid="{280A8626-64A2-4D1A-91C3-CAD131072123}"/>
    <cellStyle name="20% - Accent5 9" xfId="2296" xr:uid="{00000000-0005-0000-0000-00001E030000}"/>
    <cellStyle name="20% - Accent5 9 2" xfId="6602" xr:uid="{00000000-0005-0000-0000-00001F030000}"/>
    <cellStyle name="20% - Accent5 9 2 2" xfId="19263" xr:uid="{5B0EFB3C-327F-4814-9BA8-348102D6C1FA}"/>
    <cellStyle name="20% - Accent5 9 3" xfId="10834" xr:uid="{7E5E4D1F-36FB-42D2-B792-37E9130145FE}"/>
    <cellStyle name="20% - Accent5 9 4" xfId="15045" xr:uid="{A0B0B3B4-AF1F-437F-9530-8E6883A62CB1}"/>
    <cellStyle name="20% - Accent6" xfId="41" builtinId="50" customBuiltin="1"/>
    <cellStyle name="20% - Accent6 10" xfId="4544" xr:uid="{00000000-0005-0000-0000-000021030000}"/>
    <cellStyle name="20% - Accent6 10 2" xfId="17205" xr:uid="{0395C0E6-61B9-4D59-AB6B-AA043074C6C6}"/>
    <cellStyle name="20% - Accent6 11" xfId="8776" xr:uid="{0CC3CDBA-E3CA-468C-A635-0B457A0124F3}"/>
    <cellStyle name="20% - Accent6 12" xfId="12987" xr:uid="{44D601DE-DC71-49D7-B6E9-930471FA76DD}"/>
    <cellStyle name="20% - Accent6 2" xfId="42" xr:uid="{00000000-0005-0000-0000-000022030000}"/>
    <cellStyle name="20% - Accent6 2 10" xfId="8777" xr:uid="{0A6B44E5-38CA-4FA4-87D2-4D746EA98C13}"/>
    <cellStyle name="20% - Accent6 2 11" xfId="12988" xr:uid="{100E971A-C270-4799-9B38-DF74BA42D081}"/>
    <cellStyle name="20% - Accent6 2 2" xfId="43" xr:uid="{00000000-0005-0000-0000-000023030000}"/>
    <cellStyle name="20% - Accent6 2 2 10" xfId="12989" xr:uid="{D1E2B007-73EF-4EA4-8923-FF9AF96A88DC}"/>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9767" xr:uid="{92C4CEB6-CB03-44DB-BCFE-F63DF81A9EBB}"/>
    <cellStyle name="20% - Accent6 2 2 2 2 2 3" xfId="11338" xr:uid="{E59229DD-91F2-4210-9A26-FCEB149EAE57}"/>
    <cellStyle name="20% - Accent6 2 2 2 2 2 4" xfId="15549" xr:uid="{4AFDD654-0973-4597-8212-8447BC2C6311}"/>
    <cellStyle name="20% - Accent6 2 2 2 2 3" xfId="4961" xr:uid="{00000000-0005-0000-0000-000028030000}"/>
    <cellStyle name="20% - Accent6 2 2 2 2 3 2" xfId="17622" xr:uid="{44F7B9A0-8E3B-432C-AAB3-B8BE58524F19}"/>
    <cellStyle name="20% - Accent6 2 2 2 2 4" xfId="9193" xr:uid="{496BD74A-7DE0-4C9B-8D17-66D6D60B28CF}"/>
    <cellStyle name="20% - Accent6 2 2 2 2 5" xfId="13404" xr:uid="{804F3FCC-CACF-4F9F-AC03-83496121554F}"/>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20180" xr:uid="{2883528E-04EF-451E-9DF6-9945146A204A}"/>
    <cellStyle name="20% - Accent6 2 2 2 3 2 3" xfId="11751" xr:uid="{6D8EB209-0F6F-477E-81D2-091374617452}"/>
    <cellStyle name="20% - Accent6 2 2 2 3 2 4" xfId="15962" xr:uid="{FA650ACA-B38A-4F70-BB83-728930DA36E1}"/>
    <cellStyle name="20% - Accent6 2 2 2 3 3" xfId="5374" xr:uid="{00000000-0005-0000-0000-00002C030000}"/>
    <cellStyle name="20% - Accent6 2 2 2 3 3 2" xfId="18035" xr:uid="{B9C5D897-1E05-4831-81FE-D42D174A2F0F}"/>
    <cellStyle name="20% - Accent6 2 2 2 3 4" xfId="9606" xr:uid="{B5C509AB-41CA-4010-87BE-E6AB8238A713}"/>
    <cellStyle name="20% - Accent6 2 2 2 3 5" xfId="13817" xr:uid="{400357B0-107F-4648-9390-05C3250B169A}"/>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20593" xr:uid="{B7D5B825-3ADE-4B65-8E8A-4B4E44758CC5}"/>
    <cellStyle name="20% - Accent6 2 2 2 4 2 3" xfId="12164" xr:uid="{7298DDAF-1FC8-4198-B79E-9DF8C9D0A779}"/>
    <cellStyle name="20% - Accent6 2 2 2 4 2 4" xfId="16375" xr:uid="{E52DAB96-8A98-438C-A50D-2B163FFC80B8}"/>
    <cellStyle name="20% - Accent6 2 2 2 4 3" xfId="5787" xr:uid="{00000000-0005-0000-0000-000030030000}"/>
    <cellStyle name="20% - Accent6 2 2 2 4 3 2" xfId="18448" xr:uid="{3FBA875C-33E5-4232-A079-D7C7C5190169}"/>
    <cellStyle name="20% - Accent6 2 2 2 4 4" xfId="10019" xr:uid="{4A14BA42-E0F8-4A5F-8CE4-6CCEEC78D38B}"/>
    <cellStyle name="20% - Accent6 2 2 2 4 5" xfId="14230" xr:uid="{1A9FD683-D2D5-4C30-8016-9756150FBFAF}"/>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21006" xr:uid="{BF062641-00AA-4A1F-8215-4F17196FDB62}"/>
    <cellStyle name="20% - Accent6 2 2 2 5 2 3" xfId="12577" xr:uid="{BE49451F-D459-4032-A5E0-B640FCDEB9A4}"/>
    <cellStyle name="20% - Accent6 2 2 2 5 2 4" xfId="16788" xr:uid="{C87FB9FF-8E6A-4727-95BB-742CB59A3DEE}"/>
    <cellStyle name="20% - Accent6 2 2 2 5 3" xfId="6200" xr:uid="{00000000-0005-0000-0000-000034030000}"/>
    <cellStyle name="20% - Accent6 2 2 2 5 3 2" xfId="18861" xr:uid="{8B0FE213-0EA3-456F-AF9B-888C7204FAC1}"/>
    <cellStyle name="20% - Accent6 2 2 2 5 4" xfId="10432" xr:uid="{0321F6CB-5F93-452E-A94B-517974ECECC5}"/>
    <cellStyle name="20% - Accent6 2 2 2 5 5" xfId="14643" xr:uid="{2F8614AA-D01C-4C08-BE44-CB9F2CEE5584}"/>
    <cellStyle name="20% - Accent6 2 2 2 6" xfId="2307" xr:uid="{00000000-0005-0000-0000-000035030000}"/>
    <cellStyle name="20% - Accent6 2 2 2 6 2" xfId="6613" xr:uid="{00000000-0005-0000-0000-000036030000}"/>
    <cellStyle name="20% - Accent6 2 2 2 6 2 2" xfId="19274" xr:uid="{63F5EA05-3DA7-4AF3-A46B-BDC43A6F348A}"/>
    <cellStyle name="20% - Accent6 2 2 2 6 3" xfId="10845" xr:uid="{B718FB92-237D-4AAE-9400-EFD16EF246A1}"/>
    <cellStyle name="20% - Accent6 2 2 2 6 4" xfId="15056" xr:uid="{10F8E27B-4129-4726-9C72-3055ADE1F4EA}"/>
    <cellStyle name="20% - Accent6 2 2 2 7" xfId="4547" xr:uid="{00000000-0005-0000-0000-000037030000}"/>
    <cellStyle name="20% - Accent6 2 2 2 7 2" xfId="17208" xr:uid="{8944B55A-5F43-44D3-9D95-C081E0CBEF8D}"/>
    <cellStyle name="20% - Accent6 2 2 2 8" xfId="8779" xr:uid="{A1AA633F-2BBB-40BE-9858-F51F7A3872A1}"/>
    <cellStyle name="20% - Accent6 2 2 2 9" xfId="12990" xr:uid="{3C7D5BAA-8678-4678-90EA-5451E780D072}"/>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9766" xr:uid="{0BB8A420-2757-4E1D-93CF-0C481E1D3FEE}"/>
    <cellStyle name="20% - Accent6 2 2 3 2 3" xfId="11337" xr:uid="{0D070221-881C-450A-9A28-C1D749CB944A}"/>
    <cellStyle name="20% - Accent6 2 2 3 2 4" xfId="15548" xr:uid="{B8562CF4-5BF0-486F-97CD-C951302488D5}"/>
    <cellStyle name="20% - Accent6 2 2 3 3" xfId="4960" xr:uid="{00000000-0005-0000-0000-00003B030000}"/>
    <cellStyle name="20% - Accent6 2 2 3 3 2" xfId="17621" xr:uid="{C1E1B839-BCE8-4A6C-9332-9E43F80612CA}"/>
    <cellStyle name="20% - Accent6 2 2 3 4" xfId="9192" xr:uid="{3BF568BC-3AB1-4BBB-8A3E-D7BA504E4591}"/>
    <cellStyle name="20% - Accent6 2 2 3 5" xfId="13403" xr:uid="{F5B3FA77-6ED9-4A72-8949-266B1DF8E269}"/>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20179" xr:uid="{B5306AA7-2323-448C-99DB-CBA9862F0094}"/>
    <cellStyle name="20% - Accent6 2 2 4 2 3" xfId="11750" xr:uid="{8023CE2F-400D-4193-AE78-FD3682ED0FAF}"/>
    <cellStyle name="20% - Accent6 2 2 4 2 4" xfId="15961" xr:uid="{82E031AD-7A74-4184-96FA-703E0548D4B7}"/>
    <cellStyle name="20% - Accent6 2 2 4 3" xfId="5373" xr:uid="{00000000-0005-0000-0000-00003F030000}"/>
    <cellStyle name="20% - Accent6 2 2 4 3 2" xfId="18034" xr:uid="{F32FDC54-D267-4AC6-B368-C297B21FD777}"/>
    <cellStyle name="20% - Accent6 2 2 4 4" xfId="9605" xr:uid="{8E189BED-2C14-46D4-B700-283C9977F891}"/>
    <cellStyle name="20% - Accent6 2 2 4 5" xfId="13816" xr:uid="{E1CA3EA8-070C-4A2C-BE3A-67FFCCC7F5BD}"/>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20592" xr:uid="{44877A5C-4BBA-490C-95B2-8C0753214537}"/>
    <cellStyle name="20% - Accent6 2 2 5 2 3" xfId="12163" xr:uid="{910ED166-AEBA-4C50-BD5A-5B8945D3F7F9}"/>
    <cellStyle name="20% - Accent6 2 2 5 2 4" xfId="16374" xr:uid="{655DD4DC-D9EC-45BD-9620-8F199606F70A}"/>
    <cellStyle name="20% - Accent6 2 2 5 3" xfId="5786" xr:uid="{00000000-0005-0000-0000-000043030000}"/>
    <cellStyle name="20% - Accent6 2 2 5 3 2" xfId="18447" xr:uid="{BE3BEED5-F969-427D-9362-6A1A292F8333}"/>
    <cellStyle name="20% - Accent6 2 2 5 4" xfId="10018" xr:uid="{C728002B-E104-454C-BA22-6E72DE9AC04D}"/>
    <cellStyle name="20% - Accent6 2 2 5 5" xfId="14229" xr:uid="{1D9A45FD-30F3-42EF-B6C1-64D416A9B0EC}"/>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21005" xr:uid="{A0A23930-16EA-48F3-8A7A-899661E027D3}"/>
    <cellStyle name="20% - Accent6 2 2 6 2 3" xfId="12576" xr:uid="{F443D3D0-C734-49E0-A898-59D61D0FA4A5}"/>
    <cellStyle name="20% - Accent6 2 2 6 2 4" xfId="16787" xr:uid="{F786A27A-B6D8-443E-98BA-89D58757FBF0}"/>
    <cellStyle name="20% - Accent6 2 2 6 3" xfId="6199" xr:uid="{00000000-0005-0000-0000-000047030000}"/>
    <cellStyle name="20% - Accent6 2 2 6 3 2" xfId="18860" xr:uid="{55227A7F-1622-404E-840C-BB24ABFDA085}"/>
    <cellStyle name="20% - Accent6 2 2 6 4" xfId="10431" xr:uid="{F26C2424-1991-4156-B7AE-4A932E2C83B2}"/>
    <cellStyle name="20% - Accent6 2 2 6 5" xfId="14642" xr:uid="{5CFF35F9-FDC5-4167-A74E-5DEF0A9CE4AF}"/>
    <cellStyle name="20% - Accent6 2 2 7" xfId="2306" xr:uid="{00000000-0005-0000-0000-000048030000}"/>
    <cellStyle name="20% - Accent6 2 2 7 2" xfId="6612" xr:uid="{00000000-0005-0000-0000-000049030000}"/>
    <cellStyle name="20% - Accent6 2 2 7 2 2" xfId="19273" xr:uid="{94B8EDE3-4312-4949-AC7F-4B49BB756941}"/>
    <cellStyle name="20% - Accent6 2 2 7 3" xfId="10844" xr:uid="{87A9991A-2F07-4986-AD02-4C57D6EE9253}"/>
    <cellStyle name="20% - Accent6 2 2 7 4" xfId="15055" xr:uid="{2BFCF74D-A8C7-47A2-92A3-A21B31DE9B88}"/>
    <cellStyle name="20% - Accent6 2 2 8" xfId="4546" xr:uid="{00000000-0005-0000-0000-00004A030000}"/>
    <cellStyle name="20% - Accent6 2 2 8 2" xfId="17207" xr:uid="{C6E0BA37-C09A-48B6-A6AF-73B815B74DBB}"/>
    <cellStyle name="20% - Accent6 2 2 9" xfId="8778" xr:uid="{238A8282-CCD2-48F5-BCB9-32C21A5CF712}"/>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9768" xr:uid="{EE9188B7-0E73-4F0D-935B-4541580FF342}"/>
    <cellStyle name="20% - Accent6 2 3 2 2 3" xfId="11339" xr:uid="{27BACBD7-E2F5-418A-8721-7600B82032D5}"/>
    <cellStyle name="20% - Accent6 2 3 2 2 4" xfId="15550" xr:uid="{B5F3132F-AA89-4A18-BDE0-B06ED0E13CDC}"/>
    <cellStyle name="20% - Accent6 2 3 2 3" xfId="4962" xr:uid="{00000000-0005-0000-0000-00004F030000}"/>
    <cellStyle name="20% - Accent6 2 3 2 3 2" xfId="17623" xr:uid="{2435D18B-78AD-45EB-A8E4-02BEA692F563}"/>
    <cellStyle name="20% - Accent6 2 3 2 4" xfId="9194" xr:uid="{513D37DB-9CC7-4E32-BB44-05AC2D9D85B0}"/>
    <cellStyle name="20% - Accent6 2 3 2 5" xfId="13405" xr:uid="{54A42E45-0560-45DD-912A-28579AAED648}"/>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20181" xr:uid="{7FC3C073-FCB7-41C2-8EEB-B03F587DD208}"/>
    <cellStyle name="20% - Accent6 2 3 3 2 3" xfId="11752" xr:uid="{7FE0C6D4-1833-4D42-9F7F-6DE8D5833765}"/>
    <cellStyle name="20% - Accent6 2 3 3 2 4" xfId="15963" xr:uid="{2BD74821-FE6E-4185-8564-CD165055857F}"/>
    <cellStyle name="20% - Accent6 2 3 3 3" xfId="5375" xr:uid="{00000000-0005-0000-0000-000053030000}"/>
    <cellStyle name="20% - Accent6 2 3 3 3 2" xfId="18036" xr:uid="{87F647BC-2D00-4C71-B861-92DD06C7F4E1}"/>
    <cellStyle name="20% - Accent6 2 3 3 4" xfId="9607" xr:uid="{D1682004-8C6B-4DFD-83FD-9D0BA7034DDD}"/>
    <cellStyle name="20% - Accent6 2 3 3 5" xfId="13818" xr:uid="{F822D7EF-3FF1-4652-8AEE-820BC9A2E492}"/>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20594" xr:uid="{5E4FF0F1-64C4-4576-BA75-B999D104303A}"/>
    <cellStyle name="20% - Accent6 2 3 4 2 3" xfId="12165" xr:uid="{007D2256-52E7-4AC4-8903-7056E5DFA603}"/>
    <cellStyle name="20% - Accent6 2 3 4 2 4" xfId="16376" xr:uid="{F51E7B7B-33C5-4275-9B71-DAB7E4A4F651}"/>
    <cellStyle name="20% - Accent6 2 3 4 3" xfId="5788" xr:uid="{00000000-0005-0000-0000-000057030000}"/>
    <cellStyle name="20% - Accent6 2 3 4 3 2" xfId="18449" xr:uid="{0B789B34-7D17-44D3-9EC4-90F6655E004C}"/>
    <cellStyle name="20% - Accent6 2 3 4 4" xfId="10020" xr:uid="{7E12AC5B-9FB2-471A-96BA-C17D6344F846}"/>
    <cellStyle name="20% - Accent6 2 3 4 5" xfId="14231" xr:uid="{9F3D8929-6CCF-4376-A096-06768A0152BE}"/>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21007" xr:uid="{08AF1ED1-E733-455F-9486-0D503C705C3A}"/>
    <cellStyle name="20% - Accent6 2 3 5 2 3" xfId="12578" xr:uid="{499B8C76-8BD2-4594-8BAE-3680DC492658}"/>
    <cellStyle name="20% - Accent6 2 3 5 2 4" xfId="16789" xr:uid="{A459495E-B904-442D-85F6-E6A4BA7183B5}"/>
    <cellStyle name="20% - Accent6 2 3 5 3" xfId="6201" xr:uid="{00000000-0005-0000-0000-00005B030000}"/>
    <cellStyle name="20% - Accent6 2 3 5 3 2" xfId="18862" xr:uid="{9257AAD2-88E7-4C7E-8331-E8D073658E60}"/>
    <cellStyle name="20% - Accent6 2 3 5 4" xfId="10433" xr:uid="{23AB35C8-208C-4A98-AE7E-85B7F74F44E4}"/>
    <cellStyle name="20% - Accent6 2 3 5 5" xfId="14644" xr:uid="{8936D69F-ECB2-439D-99D1-422F0AAF0282}"/>
    <cellStyle name="20% - Accent6 2 3 6" xfId="2308" xr:uid="{00000000-0005-0000-0000-00005C030000}"/>
    <cellStyle name="20% - Accent6 2 3 6 2" xfId="6614" xr:uid="{00000000-0005-0000-0000-00005D030000}"/>
    <cellStyle name="20% - Accent6 2 3 6 2 2" xfId="19275" xr:uid="{20AAEB34-608F-41B1-ADA5-78DF0AC7F4D2}"/>
    <cellStyle name="20% - Accent6 2 3 6 3" xfId="10846" xr:uid="{E6DCA6DA-71EB-4A7B-867E-B918414AE5A1}"/>
    <cellStyle name="20% - Accent6 2 3 6 4" xfId="15057" xr:uid="{4DC2F974-7F68-4281-8CB5-AFD6795314D2}"/>
    <cellStyle name="20% - Accent6 2 3 7" xfId="4548" xr:uid="{00000000-0005-0000-0000-00005E030000}"/>
    <cellStyle name="20% - Accent6 2 3 7 2" xfId="17209" xr:uid="{E0CF9E54-DB0D-4CC7-A1DC-D36D91145BF9}"/>
    <cellStyle name="20% - Accent6 2 3 8" xfId="8780" xr:uid="{B9305DAD-9133-4912-BC20-AFAE669B0CBE}"/>
    <cellStyle name="20% - Accent6 2 3 9" xfId="12991" xr:uid="{2BBD141D-FBC5-44E4-B7D6-3933C939A693}"/>
    <cellStyle name="20% - Accent6 2 4" xfId="611" xr:uid="{00000000-0005-0000-0000-00005F030000}"/>
    <cellStyle name="20% - Accent6 2 4 2" xfId="2882" xr:uid="{00000000-0005-0000-0000-000060030000}"/>
    <cellStyle name="20% - Accent6 2 4 2 2" xfId="7104" xr:uid="{00000000-0005-0000-0000-000061030000}"/>
    <cellStyle name="20% - Accent6 2 4 2 2 2" xfId="19765" xr:uid="{B7D57CE5-C2C6-4AC6-9AF7-90DAF5681C5F}"/>
    <cellStyle name="20% - Accent6 2 4 2 3" xfId="11336" xr:uid="{3EC352D2-BF1E-45FB-B121-FD2CFEF5FD0E}"/>
    <cellStyle name="20% - Accent6 2 4 2 4" xfId="15547" xr:uid="{8D9F7AC4-32BD-4268-9CB6-1B3A3744867D}"/>
    <cellStyle name="20% - Accent6 2 4 3" xfId="4959" xr:uid="{00000000-0005-0000-0000-000062030000}"/>
    <cellStyle name="20% - Accent6 2 4 3 2" xfId="17620" xr:uid="{FC891C40-C982-457E-9B5C-17ABBF9A05A1}"/>
    <cellStyle name="20% - Accent6 2 4 4" xfId="9191" xr:uid="{877C38EB-ED88-46CC-88C6-C2A2382174E1}"/>
    <cellStyle name="20% - Accent6 2 4 5" xfId="13402" xr:uid="{0D8D9400-C384-4B00-BC96-407334C1303A}"/>
    <cellStyle name="20% - Accent6 2 5" xfId="1064" xr:uid="{00000000-0005-0000-0000-000063030000}"/>
    <cellStyle name="20% - Accent6 2 5 2" xfId="3295" xr:uid="{00000000-0005-0000-0000-000064030000}"/>
    <cellStyle name="20% - Accent6 2 5 2 2" xfId="7517" xr:uid="{00000000-0005-0000-0000-000065030000}"/>
    <cellStyle name="20% - Accent6 2 5 2 2 2" xfId="20178" xr:uid="{A1D18338-41F3-4364-8BE2-D3FD4AA5DAEA}"/>
    <cellStyle name="20% - Accent6 2 5 2 3" xfId="11749" xr:uid="{EF103F8D-9CF0-49E2-9EA8-70C8274DF428}"/>
    <cellStyle name="20% - Accent6 2 5 2 4" xfId="15960" xr:uid="{0A10289B-C2A7-48AF-99E0-281F5774F0A4}"/>
    <cellStyle name="20% - Accent6 2 5 3" xfId="5372" xr:uid="{00000000-0005-0000-0000-000066030000}"/>
    <cellStyle name="20% - Accent6 2 5 3 2" xfId="18033" xr:uid="{C4A77168-A5B8-4F81-B6DC-CCBCEFED1AAD}"/>
    <cellStyle name="20% - Accent6 2 5 4" xfId="9604" xr:uid="{F8453C1B-9FE0-4C17-8242-344928AB8C26}"/>
    <cellStyle name="20% - Accent6 2 5 5" xfId="13815" xr:uid="{A7F9121C-DA8B-40A7-84CD-7B491894FE5F}"/>
    <cellStyle name="20% - Accent6 2 6" xfId="1478" xr:uid="{00000000-0005-0000-0000-000067030000}"/>
    <cellStyle name="20% - Accent6 2 6 2" xfId="3708" xr:uid="{00000000-0005-0000-0000-000068030000}"/>
    <cellStyle name="20% - Accent6 2 6 2 2" xfId="7930" xr:uid="{00000000-0005-0000-0000-000069030000}"/>
    <cellStyle name="20% - Accent6 2 6 2 2 2" xfId="20591" xr:uid="{C8A72256-4024-4A8B-AC21-9C5F3813811D}"/>
    <cellStyle name="20% - Accent6 2 6 2 3" xfId="12162" xr:uid="{341DCABA-49D6-4901-90D5-76E5FA3BBAEC}"/>
    <cellStyle name="20% - Accent6 2 6 2 4" xfId="16373" xr:uid="{8608B95D-F087-4916-A7BE-70F4B018DA9A}"/>
    <cellStyle name="20% - Accent6 2 6 3" xfId="5785" xr:uid="{00000000-0005-0000-0000-00006A030000}"/>
    <cellStyle name="20% - Accent6 2 6 3 2" xfId="18446" xr:uid="{CFEFEB18-E61A-4377-B69B-CFFE7DD530ED}"/>
    <cellStyle name="20% - Accent6 2 6 4" xfId="10017" xr:uid="{8F7C9BC6-1D06-4E91-B1F9-3B67FC5AB81E}"/>
    <cellStyle name="20% - Accent6 2 6 5" xfId="14228" xr:uid="{315AF585-909D-4BC1-86F0-F4FFBADF7BEB}"/>
    <cellStyle name="20% - Accent6 2 7" xfId="1892" xr:uid="{00000000-0005-0000-0000-00006B030000}"/>
    <cellStyle name="20% - Accent6 2 7 2" xfId="4121" xr:uid="{00000000-0005-0000-0000-00006C030000}"/>
    <cellStyle name="20% - Accent6 2 7 2 2" xfId="8343" xr:uid="{00000000-0005-0000-0000-00006D030000}"/>
    <cellStyle name="20% - Accent6 2 7 2 2 2" xfId="21004" xr:uid="{C2EC443B-B28C-424A-B6C9-9DC7A03AB2C4}"/>
    <cellStyle name="20% - Accent6 2 7 2 3" xfId="12575" xr:uid="{DEC4DB35-F8B1-472E-9ACA-7ACFC321A30E}"/>
    <cellStyle name="20% - Accent6 2 7 2 4" xfId="16786" xr:uid="{66658677-D13C-4F3A-9595-C6EE59AF1940}"/>
    <cellStyle name="20% - Accent6 2 7 3" xfId="6198" xr:uid="{00000000-0005-0000-0000-00006E030000}"/>
    <cellStyle name="20% - Accent6 2 7 3 2" xfId="18859" xr:uid="{E820298A-A2AF-4D82-8E2D-BB7AC69A8BC3}"/>
    <cellStyle name="20% - Accent6 2 7 4" xfId="10430" xr:uid="{9685B850-EC18-4230-8097-9E2DC18A0CB6}"/>
    <cellStyle name="20% - Accent6 2 7 5" xfId="14641" xr:uid="{7D3642E9-A374-40ED-95C8-B662E4D6811B}"/>
    <cellStyle name="20% - Accent6 2 8" xfId="2305" xr:uid="{00000000-0005-0000-0000-00006F030000}"/>
    <cellStyle name="20% - Accent6 2 8 2" xfId="6611" xr:uid="{00000000-0005-0000-0000-000070030000}"/>
    <cellStyle name="20% - Accent6 2 8 2 2" xfId="19272" xr:uid="{248B47E5-D182-4067-84FB-69DDD01CF478}"/>
    <cellStyle name="20% - Accent6 2 8 3" xfId="10843" xr:uid="{45D8E8DC-7C47-4FFD-8A96-BE7B4A7B1C3E}"/>
    <cellStyle name="20% - Accent6 2 8 4" xfId="15054" xr:uid="{A4A23CC8-440C-417F-86AF-E4929B1AB0AD}"/>
    <cellStyle name="20% - Accent6 2 9" xfId="4545" xr:uid="{00000000-0005-0000-0000-000071030000}"/>
    <cellStyle name="20% - Accent6 2 9 2" xfId="17206" xr:uid="{131E9AC4-C574-422F-8DFE-90260EE4B24A}"/>
    <cellStyle name="20% - Accent6 3" xfId="46" xr:uid="{00000000-0005-0000-0000-000072030000}"/>
    <cellStyle name="20% - Accent6 3 10" xfId="12992" xr:uid="{284D4CD0-B5FA-4551-A68B-84E37437E2FC}"/>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9770" xr:uid="{075DBFF9-3356-4E70-B318-7466EEE320E7}"/>
    <cellStyle name="20% - Accent6 3 2 2 2 3" xfId="11341" xr:uid="{FDDE21AE-1199-471F-8685-F5F89B50D6D2}"/>
    <cellStyle name="20% - Accent6 3 2 2 2 4" xfId="15552" xr:uid="{7DC9227B-15F8-49D2-84A6-B80FF45CFFF8}"/>
    <cellStyle name="20% - Accent6 3 2 2 3" xfId="4964" xr:uid="{00000000-0005-0000-0000-000077030000}"/>
    <cellStyle name="20% - Accent6 3 2 2 3 2" xfId="17625" xr:uid="{8A22D288-EDDC-4640-BC64-5F211A44ED86}"/>
    <cellStyle name="20% - Accent6 3 2 2 4" xfId="9196" xr:uid="{15CD5922-1624-4736-BC4F-1BEC37B3142E}"/>
    <cellStyle name="20% - Accent6 3 2 2 5" xfId="13407" xr:uid="{180CDC5B-4D20-4F66-9A49-A59BC8EA8CA6}"/>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20183" xr:uid="{C7958B1F-7D2E-44E4-A1FC-67FB855D0BB7}"/>
    <cellStyle name="20% - Accent6 3 2 3 2 3" xfId="11754" xr:uid="{2B7D4379-EF1D-437E-B7CC-503B2FB9C2C6}"/>
    <cellStyle name="20% - Accent6 3 2 3 2 4" xfId="15965" xr:uid="{1A141E3E-6B29-4C84-833B-B079DB7AA098}"/>
    <cellStyle name="20% - Accent6 3 2 3 3" xfId="5377" xr:uid="{00000000-0005-0000-0000-00007B030000}"/>
    <cellStyle name="20% - Accent6 3 2 3 3 2" xfId="18038" xr:uid="{CA44998D-21CA-4C96-883B-3139D0C42120}"/>
    <cellStyle name="20% - Accent6 3 2 3 4" xfId="9609" xr:uid="{9746815E-21BF-4067-991D-D2D08184697B}"/>
    <cellStyle name="20% - Accent6 3 2 3 5" xfId="13820" xr:uid="{A9826E17-41EE-43B6-8645-6F2464D327E0}"/>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20596" xr:uid="{A1B165DA-6A7D-4D5F-9C64-8ACBB5D1BD7A}"/>
    <cellStyle name="20% - Accent6 3 2 4 2 3" xfId="12167" xr:uid="{84C0DF47-0593-41B2-AD6C-631C81E645BE}"/>
    <cellStyle name="20% - Accent6 3 2 4 2 4" xfId="16378" xr:uid="{C9909F92-6C14-4AAE-BEFB-A10B03DA3E4B}"/>
    <cellStyle name="20% - Accent6 3 2 4 3" xfId="5790" xr:uid="{00000000-0005-0000-0000-00007F030000}"/>
    <cellStyle name="20% - Accent6 3 2 4 3 2" xfId="18451" xr:uid="{A38F8B72-D107-49E0-8286-AD3D54793345}"/>
    <cellStyle name="20% - Accent6 3 2 4 4" xfId="10022" xr:uid="{70EC7F3B-D4F8-4E6C-B8D1-27A41F60C925}"/>
    <cellStyle name="20% - Accent6 3 2 4 5" xfId="14233" xr:uid="{0456558C-F587-4FBB-81D6-78111ACF2F22}"/>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21009" xr:uid="{2AC28A50-3CCD-4128-B8B8-9D4BA08514A2}"/>
    <cellStyle name="20% - Accent6 3 2 5 2 3" xfId="12580" xr:uid="{ADB77F06-7956-496C-89DE-44F36870AF5B}"/>
    <cellStyle name="20% - Accent6 3 2 5 2 4" xfId="16791" xr:uid="{FD667F8A-E312-4138-B00D-9EE1BD97F254}"/>
    <cellStyle name="20% - Accent6 3 2 5 3" xfId="6203" xr:uid="{00000000-0005-0000-0000-000083030000}"/>
    <cellStyle name="20% - Accent6 3 2 5 3 2" xfId="18864" xr:uid="{1454802B-E419-44E7-BC31-07244FF4BC91}"/>
    <cellStyle name="20% - Accent6 3 2 5 4" xfId="10435" xr:uid="{6898DBBE-5187-41F1-A642-DFA70E51FF33}"/>
    <cellStyle name="20% - Accent6 3 2 5 5" xfId="14646" xr:uid="{AF30B8B1-A38B-47FA-9BFF-1BCDB66556D1}"/>
    <cellStyle name="20% - Accent6 3 2 6" xfId="2310" xr:uid="{00000000-0005-0000-0000-000084030000}"/>
    <cellStyle name="20% - Accent6 3 2 6 2" xfId="6616" xr:uid="{00000000-0005-0000-0000-000085030000}"/>
    <cellStyle name="20% - Accent6 3 2 6 2 2" xfId="19277" xr:uid="{3F59135A-F4A1-47B3-95C8-FE421C210D68}"/>
    <cellStyle name="20% - Accent6 3 2 6 3" xfId="10848" xr:uid="{C77F6D4D-0345-4244-973F-8C9D3286ADE3}"/>
    <cellStyle name="20% - Accent6 3 2 6 4" xfId="15059" xr:uid="{1C7F679E-6A91-4651-A803-FBC368EE0C95}"/>
    <cellStyle name="20% - Accent6 3 2 7" xfId="4550" xr:uid="{00000000-0005-0000-0000-000086030000}"/>
    <cellStyle name="20% - Accent6 3 2 7 2" xfId="17211" xr:uid="{7FA0B92C-9A6A-4792-95F9-51EAA4FA3450}"/>
    <cellStyle name="20% - Accent6 3 2 8" xfId="8782" xr:uid="{15931937-213F-407C-A8F3-198A00D5EF61}"/>
    <cellStyle name="20% - Accent6 3 2 9" xfId="12993" xr:uid="{D7F97F62-A09A-4DAD-839A-DCA5D4D76439}"/>
    <cellStyle name="20% - Accent6 3 3" xfId="615" xr:uid="{00000000-0005-0000-0000-000087030000}"/>
    <cellStyle name="20% - Accent6 3 3 2" xfId="2886" xr:uid="{00000000-0005-0000-0000-000088030000}"/>
    <cellStyle name="20% - Accent6 3 3 2 2" xfId="7108" xr:uid="{00000000-0005-0000-0000-000089030000}"/>
    <cellStyle name="20% - Accent6 3 3 2 2 2" xfId="19769" xr:uid="{05C47C40-31E8-4E8E-822D-8C71CA5CF39C}"/>
    <cellStyle name="20% - Accent6 3 3 2 3" xfId="11340" xr:uid="{FE650667-00B9-47AF-BC15-78C4DA32D453}"/>
    <cellStyle name="20% - Accent6 3 3 2 4" xfId="15551" xr:uid="{AA9FEE25-D56E-42FD-9F04-6D929E6D7F22}"/>
    <cellStyle name="20% - Accent6 3 3 3" xfId="4963" xr:uid="{00000000-0005-0000-0000-00008A030000}"/>
    <cellStyle name="20% - Accent6 3 3 3 2" xfId="17624" xr:uid="{8B23F140-4474-4980-AEBE-659AE1485DA8}"/>
    <cellStyle name="20% - Accent6 3 3 4" xfId="9195" xr:uid="{0D40EC14-FC6D-499B-8509-3BC45378C981}"/>
    <cellStyle name="20% - Accent6 3 3 5" xfId="13406" xr:uid="{63609F31-77EE-4371-811F-FF403E6AC166}"/>
    <cellStyle name="20% - Accent6 3 4" xfId="1068" xr:uid="{00000000-0005-0000-0000-00008B030000}"/>
    <cellStyle name="20% - Accent6 3 4 2" xfId="3299" xr:uid="{00000000-0005-0000-0000-00008C030000}"/>
    <cellStyle name="20% - Accent6 3 4 2 2" xfId="7521" xr:uid="{00000000-0005-0000-0000-00008D030000}"/>
    <cellStyle name="20% - Accent6 3 4 2 2 2" xfId="20182" xr:uid="{CA176BB2-699B-4625-AD7E-6E2F1A19D356}"/>
    <cellStyle name="20% - Accent6 3 4 2 3" xfId="11753" xr:uid="{45230F48-92A3-478C-8432-39AAE16C2D0E}"/>
    <cellStyle name="20% - Accent6 3 4 2 4" xfId="15964" xr:uid="{1B7B2217-CEDA-4332-A0B8-CB92EB31C4CE}"/>
    <cellStyle name="20% - Accent6 3 4 3" xfId="5376" xr:uid="{00000000-0005-0000-0000-00008E030000}"/>
    <cellStyle name="20% - Accent6 3 4 3 2" xfId="18037" xr:uid="{560B20B8-2E49-4A54-99E0-A45961BA201B}"/>
    <cellStyle name="20% - Accent6 3 4 4" xfId="9608" xr:uid="{A499AFE3-44EE-417A-8EAB-6C1A770E49F8}"/>
    <cellStyle name="20% - Accent6 3 4 5" xfId="13819" xr:uid="{9CA8A73A-DD92-459A-AFF6-B1CCC716E39D}"/>
    <cellStyle name="20% - Accent6 3 5" xfId="1482" xr:uid="{00000000-0005-0000-0000-00008F030000}"/>
    <cellStyle name="20% - Accent6 3 5 2" xfId="3712" xr:uid="{00000000-0005-0000-0000-000090030000}"/>
    <cellStyle name="20% - Accent6 3 5 2 2" xfId="7934" xr:uid="{00000000-0005-0000-0000-000091030000}"/>
    <cellStyle name="20% - Accent6 3 5 2 2 2" xfId="20595" xr:uid="{A1713056-F501-47BF-A870-1C77F5346679}"/>
    <cellStyle name="20% - Accent6 3 5 2 3" xfId="12166" xr:uid="{778FB1A0-4B22-40E3-96AE-59B8AEDBE25C}"/>
    <cellStyle name="20% - Accent6 3 5 2 4" xfId="16377" xr:uid="{E99798C3-62E3-4ACB-A5DD-AEBD6944FB65}"/>
    <cellStyle name="20% - Accent6 3 5 3" xfId="5789" xr:uid="{00000000-0005-0000-0000-000092030000}"/>
    <cellStyle name="20% - Accent6 3 5 3 2" xfId="18450" xr:uid="{3C004961-847D-462E-8EA1-F2D1B5C97F1E}"/>
    <cellStyle name="20% - Accent6 3 5 4" xfId="10021" xr:uid="{4024D906-BA58-422A-AC9D-74F5E44F43FE}"/>
    <cellStyle name="20% - Accent6 3 5 5" xfId="14232" xr:uid="{18598B1D-0048-47D8-ACC2-F6F3246811D8}"/>
    <cellStyle name="20% - Accent6 3 6" xfId="1896" xr:uid="{00000000-0005-0000-0000-000093030000}"/>
    <cellStyle name="20% - Accent6 3 6 2" xfId="4125" xr:uid="{00000000-0005-0000-0000-000094030000}"/>
    <cellStyle name="20% - Accent6 3 6 2 2" xfId="8347" xr:uid="{00000000-0005-0000-0000-000095030000}"/>
    <cellStyle name="20% - Accent6 3 6 2 2 2" xfId="21008" xr:uid="{658152B6-3999-43AE-AEF2-60629237BEDC}"/>
    <cellStyle name="20% - Accent6 3 6 2 3" xfId="12579" xr:uid="{1178882C-53D2-4B55-A689-929162861513}"/>
    <cellStyle name="20% - Accent6 3 6 2 4" xfId="16790" xr:uid="{59385F72-9C67-4DF9-A62C-2540572BECC7}"/>
    <cellStyle name="20% - Accent6 3 6 3" xfId="6202" xr:uid="{00000000-0005-0000-0000-000096030000}"/>
    <cellStyle name="20% - Accent6 3 6 3 2" xfId="18863" xr:uid="{182F3163-110E-49EC-A1FA-2DBDDC4C14ED}"/>
    <cellStyle name="20% - Accent6 3 6 4" xfId="10434" xr:uid="{32F8B806-D7EE-4CC2-9C4F-CE170F2910CC}"/>
    <cellStyle name="20% - Accent6 3 6 5" xfId="14645" xr:uid="{7954008E-6ACF-4A16-A6C1-663EBDA822E9}"/>
    <cellStyle name="20% - Accent6 3 7" xfId="2309" xr:uid="{00000000-0005-0000-0000-000097030000}"/>
    <cellStyle name="20% - Accent6 3 7 2" xfId="6615" xr:uid="{00000000-0005-0000-0000-000098030000}"/>
    <cellStyle name="20% - Accent6 3 7 2 2" xfId="19276" xr:uid="{1F24A395-6268-46F4-9F5E-B8C47959E636}"/>
    <cellStyle name="20% - Accent6 3 7 3" xfId="10847" xr:uid="{509B5458-DEC0-4632-9235-0D1770072DA0}"/>
    <cellStyle name="20% - Accent6 3 7 4" xfId="15058" xr:uid="{52C875B1-FF36-40FE-BD3F-B085DB505386}"/>
    <cellStyle name="20% - Accent6 3 8" xfId="4549" xr:uid="{00000000-0005-0000-0000-000099030000}"/>
    <cellStyle name="20% - Accent6 3 8 2" xfId="17210" xr:uid="{A2BBFCCA-3FDB-46E8-A3BC-0A894A277807}"/>
    <cellStyle name="20% - Accent6 3 9" xfId="8781" xr:uid="{B44E28A0-4E61-4FAB-A202-1E1390829D1F}"/>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9771" xr:uid="{DF4BF936-5745-4379-B782-326F452A97C1}"/>
    <cellStyle name="20% - Accent6 4 2 2 3" xfId="11342" xr:uid="{50D63450-1376-4AD5-BBEA-972D3170D34B}"/>
    <cellStyle name="20% - Accent6 4 2 2 4" xfId="15553" xr:uid="{0A55B87E-29DF-47FB-A55F-05F174425616}"/>
    <cellStyle name="20% - Accent6 4 2 3" xfId="4965" xr:uid="{00000000-0005-0000-0000-00009E030000}"/>
    <cellStyle name="20% - Accent6 4 2 3 2" xfId="17626" xr:uid="{5F6DD5F1-1435-4383-A2E4-3B91979B4642}"/>
    <cellStyle name="20% - Accent6 4 2 4" xfId="9197" xr:uid="{F407E0B3-184E-4D74-9CA0-355E17AB8B2C}"/>
    <cellStyle name="20% - Accent6 4 2 5" xfId="13408" xr:uid="{00A2F2B1-217C-4407-B210-EE913FEED40F}"/>
    <cellStyle name="20% - Accent6 4 3" xfId="1070" xr:uid="{00000000-0005-0000-0000-00009F030000}"/>
    <cellStyle name="20% - Accent6 4 3 2" xfId="3301" xr:uid="{00000000-0005-0000-0000-0000A0030000}"/>
    <cellStyle name="20% - Accent6 4 3 2 2" xfId="7523" xr:uid="{00000000-0005-0000-0000-0000A1030000}"/>
    <cellStyle name="20% - Accent6 4 3 2 2 2" xfId="20184" xr:uid="{1363E651-DFEA-4CD8-9C25-AB8315021948}"/>
    <cellStyle name="20% - Accent6 4 3 2 3" xfId="11755" xr:uid="{34E057FF-7FE7-4B51-BD9F-B332DB939983}"/>
    <cellStyle name="20% - Accent6 4 3 2 4" xfId="15966" xr:uid="{43063130-388C-4E1F-9644-FAA76521B532}"/>
    <cellStyle name="20% - Accent6 4 3 3" xfId="5378" xr:uid="{00000000-0005-0000-0000-0000A2030000}"/>
    <cellStyle name="20% - Accent6 4 3 3 2" xfId="18039" xr:uid="{311DC108-1422-4ED1-B0D6-4A88B4E46983}"/>
    <cellStyle name="20% - Accent6 4 3 4" xfId="9610" xr:uid="{98251FBC-0AE4-4EE0-AD63-2621C2919AA3}"/>
    <cellStyle name="20% - Accent6 4 3 5" xfId="13821" xr:uid="{9281E361-334A-4FC9-86D9-D3E918972838}"/>
    <cellStyle name="20% - Accent6 4 4" xfId="1484" xr:uid="{00000000-0005-0000-0000-0000A3030000}"/>
    <cellStyle name="20% - Accent6 4 4 2" xfId="3714" xr:uid="{00000000-0005-0000-0000-0000A4030000}"/>
    <cellStyle name="20% - Accent6 4 4 2 2" xfId="7936" xr:uid="{00000000-0005-0000-0000-0000A5030000}"/>
    <cellStyle name="20% - Accent6 4 4 2 2 2" xfId="20597" xr:uid="{4B4DECC1-7C4C-480F-9D4C-4868103AEA1B}"/>
    <cellStyle name="20% - Accent6 4 4 2 3" xfId="12168" xr:uid="{28BF4B14-EDD2-46CE-9480-195D4AE63F9C}"/>
    <cellStyle name="20% - Accent6 4 4 2 4" xfId="16379" xr:uid="{E6BFF23A-D505-4C52-94AE-C4CC74DD7072}"/>
    <cellStyle name="20% - Accent6 4 4 3" xfId="5791" xr:uid="{00000000-0005-0000-0000-0000A6030000}"/>
    <cellStyle name="20% - Accent6 4 4 3 2" xfId="18452" xr:uid="{F19E83CC-84D5-4A8B-A19C-2053153EEDE0}"/>
    <cellStyle name="20% - Accent6 4 4 4" xfId="10023" xr:uid="{0F210F8A-9CDD-4573-8848-43C8B80625F7}"/>
    <cellStyle name="20% - Accent6 4 4 5" xfId="14234" xr:uid="{EBB45EA3-E59A-4350-8AFE-472195AFA21E}"/>
    <cellStyle name="20% - Accent6 4 5" xfId="1898" xr:uid="{00000000-0005-0000-0000-0000A7030000}"/>
    <cellStyle name="20% - Accent6 4 5 2" xfId="4127" xr:uid="{00000000-0005-0000-0000-0000A8030000}"/>
    <cellStyle name="20% - Accent6 4 5 2 2" xfId="8349" xr:uid="{00000000-0005-0000-0000-0000A9030000}"/>
    <cellStyle name="20% - Accent6 4 5 2 2 2" xfId="21010" xr:uid="{69BDD4BD-C782-4594-88C9-E285537A287E}"/>
    <cellStyle name="20% - Accent6 4 5 2 3" xfId="12581" xr:uid="{4564D8C4-1B08-452B-874B-7D9B1AA069A9}"/>
    <cellStyle name="20% - Accent6 4 5 2 4" xfId="16792" xr:uid="{50D39CB6-69A4-4AAB-A738-486D6BB4C90F}"/>
    <cellStyle name="20% - Accent6 4 5 3" xfId="6204" xr:uid="{00000000-0005-0000-0000-0000AA030000}"/>
    <cellStyle name="20% - Accent6 4 5 3 2" xfId="18865" xr:uid="{8BAF8C47-FD31-46EF-8AF1-464F9E05F977}"/>
    <cellStyle name="20% - Accent6 4 5 4" xfId="10436" xr:uid="{5441B97C-20DB-4D27-B402-0D1934ACA50C}"/>
    <cellStyle name="20% - Accent6 4 5 5" xfId="14647" xr:uid="{A625678F-8B59-41FB-B2A5-D500D385AB59}"/>
    <cellStyle name="20% - Accent6 4 6" xfId="2311" xr:uid="{00000000-0005-0000-0000-0000AB030000}"/>
    <cellStyle name="20% - Accent6 4 6 2" xfId="6617" xr:uid="{00000000-0005-0000-0000-0000AC030000}"/>
    <cellStyle name="20% - Accent6 4 6 2 2" xfId="19278" xr:uid="{7DBA18EC-6656-4059-90B7-671500423BAB}"/>
    <cellStyle name="20% - Accent6 4 6 3" xfId="10849" xr:uid="{E9C412EA-628E-4A15-B0B6-DC0C23666FCB}"/>
    <cellStyle name="20% - Accent6 4 6 4" xfId="15060" xr:uid="{C3F9926C-D1DD-47CD-87D4-A75783FAB94D}"/>
    <cellStyle name="20% - Accent6 4 7" xfId="4551" xr:uid="{00000000-0005-0000-0000-0000AD030000}"/>
    <cellStyle name="20% - Accent6 4 7 2" xfId="17212" xr:uid="{A837C6FA-40C6-4F92-876F-31AFAB8F2E3E}"/>
    <cellStyle name="20% - Accent6 4 8" xfId="8783" xr:uid="{880C424A-798F-4502-A2CA-E98DF3DE1F9C}"/>
    <cellStyle name="20% - Accent6 4 9" xfId="12994" xr:uid="{30E142E7-3BCD-4044-93EB-D65E01E177E7}"/>
    <cellStyle name="20% - Accent6 5" xfId="610" xr:uid="{00000000-0005-0000-0000-0000AE030000}"/>
    <cellStyle name="20% - Accent6 5 2" xfId="2881" xr:uid="{00000000-0005-0000-0000-0000AF030000}"/>
    <cellStyle name="20% - Accent6 5 2 2" xfId="7103" xr:uid="{00000000-0005-0000-0000-0000B0030000}"/>
    <cellStyle name="20% - Accent6 5 2 2 2" xfId="19764" xr:uid="{47646F63-C429-4C9A-8E58-C5BDA120D012}"/>
    <cellStyle name="20% - Accent6 5 2 3" xfId="11335" xr:uid="{DBAEBC5A-B7B3-4494-B3E6-D5208C04072E}"/>
    <cellStyle name="20% - Accent6 5 2 4" xfId="15546" xr:uid="{1654E8C9-A37D-4D7F-9523-39A5D2804279}"/>
    <cellStyle name="20% - Accent6 5 3" xfId="4958" xr:uid="{00000000-0005-0000-0000-0000B1030000}"/>
    <cellStyle name="20% - Accent6 5 3 2" xfId="17619" xr:uid="{18049C1C-5F44-4842-9B8E-05591A665F55}"/>
    <cellStyle name="20% - Accent6 5 4" xfId="9190" xr:uid="{0FA1F7F0-F29D-49C6-A7F5-993A65189D91}"/>
    <cellStyle name="20% - Accent6 5 5" xfId="13401" xr:uid="{E1E57410-F447-403A-98B7-C41C6BB17B36}"/>
    <cellStyle name="20% - Accent6 6" xfId="1063" xr:uid="{00000000-0005-0000-0000-0000B2030000}"/>
    <cellStyle name="20% - Accent6 6 2" xfId="3294" xr:uid="{00000000-0005-0000-0000-0000B3030000}"/>
    <cellStyle name="20% - Accent6 6 2 2" xfId="7516" xr:uid="{00000000-0005-0000-0000-0000B4030000}"/>
    <cellStyle name="20% - Accent6 6 2 2 2" xfId="20177" xr:uid="{BB05EDB2-0F3F-41CE-A9B0-4E49A1EF5EEF}"/>
    <cellStyle name="20% - Accent6 6 2 3" xfId="11748" xr:uid="{4B961953-D535-40A3-91F7-0F4BDAFB6693}"/>
    <cellStyle name="20% - Accent6 6 2 4" xfId="15959" xr:uid="{E52ECED2-4F68-4928-B725-05359C3DEDF3}"/>
    <cellStyle name="20% - Accent6 6 3" xfId="5371" xr:uid="{00000000-0005-0000-0000-0000B5030000}"/>
    <cellStyle name="20% - Accent6 6 3 2" xfId="18032" xr:uid="{1A74B540-ED45-4248-8A92-486C5E6C34F8}"/>
    <cellStyle name="20% - Accent6 6 4" xfId="9603" xr:uid="{2748FE72-CE77-4A51-AE37-26BE7910E848}"/>
    <cellStyle name="20% - Accent6 6 5" xfId="13814" xr:uid="{1E33DA4B-7C6E-45F6-B646-62746E57E575}"/>
    <cellStyle name="20% - Accent6 7" xfId="1477" xr:uid="{00000000-0005-0000-0000-0000B6030000}"/>
    <cellStyle name="20% - Accent6 7 2" xfId="3707" xr:uid="{00000000-0005-0000-0000-0000B7030000}"/>
    <cellStyle name="20% - Accent6 7 2 2" xfId="7929" xr:uid="{00000000-0005-0000-0000-0000B8030000}"/>
    <cellStyle name="20% - Accent6 7 2 2 2" xfId="20590" xr:uid="{2D0584ED-720C-4F42-B7BD-EDE3C68364B3}"/>
    <cellStyle name="20% - Accent6 7 2 3" xfId="12161" xr:uid="{7206EC8E-8C21-4968-B4B1-6ED946607BF0}"/>
    <cellStyle name="20% - Accent6 7 2 4" xfId="16372" xr:uid="{C07F4BF0-A27B-4400-82DD-6C64821F4036}"/>
    <cellStyle name="20% - Accent6 7 3" xfId="5784" xr:uid="{00000000-0005-0000-0000-0000B9030000}"/>
    <cellStyle name="20% - Accent6 7 3 2" xfId="18445" xr:uid="{36714910-5CBC-44B8-A26A-6E1EA49D591E}"/>
    <cellStyle name="20% - Accent6 7 4" xfId="10016" xr:uid="{3F6FBB10-5D4A-4F08-85A1-509FC547E325}"/>
    <cellStyle name="20% - Accent6 7 5" xfId="14227" xr:uid="{1E5DC727-0A45-47BD-9F66-5729DB4CEF67}"/>
    <cellStyle name="20% - Accent6 8" xfId="1891" xr:uid="{00000000-0005-0000-0000-0000BA030000}"/>
    <cellStyle name="20% - Accent6 8 2" xfId="4120" xr:uid="{00000000-0005-0000-0000-0000BB030000}"/>
    <cellStyle name="20% - Accent6 8 2 2" xfId="8342" xr:uid="{00000000-0005-0000-0000-0000BC030000}"/>
    <cellStyle name="20% - Accent6 8 2 2 2" xfId="21003" xr:uid="{403C840B-D3FB-49FF-9375-1FDB7311D01C}"/>
    <cellStyle name="20% - Accent6 8 2 3" xfId="12574" xr:uid="{25512747-63E5-45E0-A82E-85D7B6B339AC}"/>
    <cellStyle name="20% - Accent6 8 2 4" xfId="16785" xr:uid="{05DC2531-9BA0-4AC6-A567-9C3D8232726D}"/>
    <cellStyle name="20% - Accent6 8 3" xfId="6197" xr:uid="{00000000-0005-0000-0000-0000BD030000}"/>
    <cellStyle name="20% - Accent6 8 3 2" xfId="18858" xr:uid="{C199F2BC-3C05-479B-A2C2-7A8006491195}"/>
    <cellStyle name="20% - Accent6 8 4" xfId="10429" xr:uid="{118BB666-B258-4548-851E-761A5D7DE9E7}"/>
    <cellStyle name="20% - Accent6 8 5" xfId="14640" xr:uid="{DE826DCF-EFD8-442C-9DA4-7E5A7FAEE8CB}"/>
    <cellStyle name="20% - Accent6 9" xfId="2304" xr:uid="{00000000-0005-0000-0000-0000BE030000}"/>
    <cellStyle name="20% - Accent6 9 2" xfId="6610" xr:uid="{00000000-0005-0000-0000-0000BF030000}"/>
    <cellStyle name="20% - Accent6 9 2 2" xfId="19271" xr:uid="{0087CBE0-3429-48A9-A85F-0C5E6F2B2039}"/>
    <cellStyle name="20% - Accent6 9 3" xfId="10842" xr:uid="{20137335-5011-4A1F-B13D-12C4D0C6E3E1}"/>
    <cellStyle name="20% - Accent6 9 4" xfId="15053" xr:uid="{DBDB2249-E093-471C-BCD0-18C0E400A03B}"/>
    <cellStyle name="40% - Accent1" xfId="49" builtinId="31" customBuiltin="1"/>
    <cellStyle name="40% - Accent1 10" xfId="4552" xr:uid="{00000000-0005-0000-0000-0000C1030000}"/>
    <cellStyle name="40% - Accent1 10 2" xfId="17213" xr:uid="{E3E993DD-1771-4BB7-A28E-37A749364E9D}"/>
    <cellStyle name="40% - Accent1 11" xfId="8784" xr:uid="{CE593552-6923-4170-A518-E377647B49C8}"/>
    <cellStyle name="40% - Accent1 12" xfId="12995" xr:uid="{0FB0C4D4-8978-49B1-8069-1DDBBD05C640}"/>
    <cellStyle name="40% - Accent1 2" xfId="50" xr:uid="{00000000-0005-0000-0000-0000C2030000}"/>
    <cellStyle name="40% - Accent1 2 10" xfId="8785" xr:uid="{34916928-CC8E-480B-967E-00F29D5A44F1}"/>
    <cellStyle name="40% - Accent1 2 11" xfId="12996" xr:uid="{ADC0CA46-C8E1-451F-9844-76DA3C36FAD5}"/>
    <cellStyle name="40% - Accent1 2 2" xfId="51" xr:uid="{00000000-0005-0000-0000-0000C3030000}"/>
    <cellStyle name="40% - Accent1 2 2 10" xfId="12997" xr:uid="{F0DA5D07-E199-48DC-9847-E673415B38D4}"/>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9775" xr:uid="{AF753822-740F-44C6-B3B4-14B22B5108D3}"/>
    <cellStyle name="40% - Accent1 2 2 2 2 2 3" xfId="11346" xr:uid="{615D338E-299C-42CD-8DE6-9B614263EE26}"/>
    <cellStyle name="40% - Accent1 2 2 2 2 2 4" xfId="15557" xr:uid="{AA9D2F15-2210-4A0F-ACA3-488516E0DDFC}"/>
    <cellStyle name="40% - Accent1 2 2 2 2 3" xfId="4969" xr:uid="{00000000-0005-0000-0000-0000C8030000}"/>
    <cellStyle name="40% - Accent1 2 2 2 2 3 2" xfId="17630" xr:uid="{5420E133-1498-40C0-BFFC-025640F16B79}"/>
    <cellStyle name="40% - Accent1 2 2 2 2 4" xfId="9201" xr:uid="{FC877289-4B51-43F3-B597-710AF82B61FC}"/>
    <cellStyle name="40% - Accent1 2 2 2 2 5" xfId="13412" xr:uid="{6C83CFAD-CB0A-4DDD-B1DF-952BBF750EA2}"/>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20188" xr:uid="{B1565366-CEA5-408A-8910-9A6AC9851222}"/>
    <cellStyle name="40% - Accent1 2 2 2 3 2 3" xfId="11759" xr:uid="{79AE3C44-0D2C-4A88-99C9-2A7B22711C19}"/>
    <cellStyle name="40% - Accent1 2 2 2 3 2 4" xfId="15970" xr:uid="{85B56FAB-2B8D-4EEE-9F26-BF27893E6FDC}"/>
    <cellStyle name="40% - Accent1 2 2 2 3 3" xfId="5382" xr:uid="{00000000-0005-0000-0000-0000CC030000}"/>
    <cellStyle name="40% - Accent1 2 2 2 3 3 2" xfId="18043" xr:uid="{9F08E2A9-0D2C-4429-8E27-82218BB7C25D}"/>
    <cellStyle name="40% - Accent1 2 2 2 3 4" xfId="9614" xr:uid="{1667C75B-3740-4A85-AB7D-FA1E5E393433}"/>
    <cellStyle name="40% - Accent1 2 2 2 3 5" xfId="13825" xr:uid="{72E1B2DB-67BC-4F3B-9273-EA9A841D253B}"/>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20601" xr:uid="{45945860-76E6-481D-8BAB-16515690CE3D}"/>
    <cellStyle name="40% - Accent1 2 2 2 4 2 3" xfId="12172" xr:uid="{86D1CA2F-D227-4AAC-BDAE-6CBF2D6982B5}"/>
    <cellStyle name="40% - Accent1 2 2 2 4 2 4" xfId="16383" xr:uid="{F4098879-4629-45BE-8BAD-EDD674974C31}"/>
    <cellStyle name="40% - Accent1 2 2 2 4 3" xfId="5795" xr:uid="{00000000-0005-0000-0000-0000D0030000}"/>
    <cellStyle name="40% - Accent1 2 2 2 4 3 2" xfId="18456" xr:uid="{3179ECE3-CD11-49FC-9BA2-F960039CDD5A}"/>
    <cellStyle name="40% - Accent1 2 2 2 4 4" xfId="10027" xr:uid="{177C6791-8198-44BB-9526-6776CF624409}"/>
    <cellStyle name="40% - Accent1 2 2 2 4 5" xfId="14238" xr:uid="{F5D6CF95-6DEB-4E78-8C7F-9F59B16DC7DD}"/>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21014" xr:uid="{10B922D2-B97D-4E6C-8C2A-0298E9E5D3DF}"/>
    <cellStyle name="40% - Accent1 2 2 2 5 2 3" xfId="12585" xr:uid="{1D6D0013-118C-42EF-B9E1-5F9CE72C05D4}"/>
    <cellStyle name="40% - Accent1 2 2 2 5 2 4" xfId="16796" xr:uid="{6D4482AB-5784-40D9-8630-541D767149BE}"/>
    <cellStyle name="40% - Accent1 2 2 2 5 3" xfId="6208" xr:uid="{00000000-0005-0000-0000-0000D4030000}"/>
    <cellStyle name="40% - Accent1 2 2 2 5 3 2" xfId="18869" xr:uid="{2509F153-FC80-47F0-804D-ED68E853FEA1}"/>
    <cellStyle name="40% - Accent1 2 2 2 5 4" xfId="10440" xr:uid="{C566F11D-BDC5-44E7-BFC8-5637115BA426}"/>
    <cellStyle name="40% - Accent1 2 2 2 5 5" xfId="14651" xr:uid="{259634EF-A969-482B-88A7-1BFAFAF73868}"/>
    <cellStyle name="40% - Accent1 2 2 2 6" xfId="2315" xr:uid="{00000000-0005-0000-0000-0000D5030000}"/>
    <cellStyle name="40% - Accent1 2 2 2 6 2" xfId="6621" xr:uid="{00000000-0005-0000-0000-0000D6030000}"/>
    <cellStyle name="40% - Accent1 2 2 2 6 2 2" xfId="19282" xr:uid="{A205EB66-DE3B-4626-A41F-5326F0136829}"/>
    <cellStyle name="40% - Accent1 2 2 2 6 3" xfId="10853" xr:uid="{AAC1547E-91A6-4D27-B8A4-F0D3C8E21B3D}"/>
    <cellStyle name="40% - Accent1 2 2 2 6 4" xfId="15064" xr:uid="{AA41B0D1-7926-4D21-BD71-CF572F0174CD}"/>
    <cellStyle name="40% - Accent1 2 2 2 7" xfId="4555" xr:uid="{00000000-0005-0000-0000-0000D7030000}"/>
    <cellStyle name="40% - Accent1 2 2 2 7 2" xfId="17216" xr:uid="{D6C68995-B6A9-44A7-BE95-306A62A21E9C}"/>
    <cellStyle name="40% - Accent1 2 2 2 8" xfId="8787" xr:uid="{38CC56C3-BBCB-4CC1-82B9-1B731901C2A9}"/>
    <cellStyle name="40% - Accent1 2 2 2 9" xfId="12998" xr:uid="{F914AEE4-ADCE-424C-A4AB-F8AEEFE97DE4}"/>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9774" xr:uid="{70831F40-1CEA-4753-88EF-B5C89D1E417B}"/>
    <cellStyle name="40% - Accent1 2 2 3 2 3" xfId="11345" xr:uid="{29601B9C-5255-4BFC-B923-75CC560B6542}"/>
    <cellStyle name="40% - Accent1 2 2 3 2 4" xfId="15556" xr:uid="{67B8C35E-9D63-4170-B034-C8A0F557681A}"/>
    <cellStyle name="40% - Accent1 2 2 3 3" xfId="4968" xr:uid="{00000000-0005-0000-0000-0000DB030000}"/>
    <cellStyle name="40% - Accent1 2 2 3 3 2" xfId="17629" xr:uid="{F1F501D1-E363-4C18-B27B-6F0FA43FD2F4}"/>
    <cellStyle name="40% - Accent1 2 2 3 4" xfId="9200" xr:uid="{B04F1641-1066-4310-A89F-4BCF3D0120AE}"/>
    <cellStyle name="40% - Accent1 2 2 3 5" xfId="13411" xr:uid="{A236E603-3C64-4AED-AF55-09C2A97F3644}"/>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20187" xr:uid="{04749C4F-07DC-46AE-B38F-0661EB76E9AB}"/>
    <cellStyle name="40% - Accent1 2 2 4 2 3" xfId="11758" xr:uid="{7AD1C81E-F5A6-481D-92D7-3BFA4BBE586D}"/>
    <cellStyle name="40% - Accent1 2 2 4 2 4" xfId="15969" xr:uid="{4E8DFCB6-6C1C-485B-9DC7-7A17F73BD68A}"/>
    <cellStyle name="40% - Accent1 2 2 4 3" xfId="5381" xr:uid="{00000000-0005-0000-0000-0000DF030000}"/>
    <cellStyle name="40% - Accent1 2 2 4 3 2" xfId="18042" xr:uid="{DA6C8A2F-1310-4B7C-99E1-429675658CD5}"/>
    <cellStyle name="40% - Accent1 2 2 4 4" xfId="9613" xr:uid="{67BB5287-B3B5-4AB7-8D2E-4073F3B5C5AF}"/>
    <cellStyle name="40% - Accent1 2 2 4 5" xfId="13824" xr:uid="{D227A646-90F8-40F0-8A89-95FDD8D0F88B}"/>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20600" xr:uid="{A7129C25-F628-4FD9-B2E7-424D13D1E25F}"/>
    <cellStyle name="40% - Accent1 2 2 5 2 3" xfId="12171" xr:uid="{26389217-F70E-4479-8B58-CA20FADE8F4E}"/>
    <cellStyle name="40% - Accent1 2 2 5 2 4" xfId="16382" xr:uid="{ABC94CD6-0A96-4228-AFEC-9F1FF7FEAC57}"/>
    <cellStyle name="40% - Accent1 2 2 5 3" xfId="5794" xr:uid="{00000000-0005-0000-0000-0000E3030000}"/>
    <cellStyle name="40% - Accent1 2 2 5 3 2" xfId="18455" xr:uid="{D8096752-8B65-4519-8602-0A2A216333A7}"/>
    <cellStyle name="40% - Accent1 2 2 5 4" xfId="10026" xr:uid="{55BF846C-8B32-438E-B1C6-8549F80F4425}"/>
    <cellStyle name="40% - Accent1 2 2 5 5" xfId="14237" xr:uid="{3D576080-A77A-4D58-AD20-7B0935E62A6D}"/>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21013" xr:uid="{8F9CC1A6-E2DF-4BFB-AAB5-040B71EBB477}"/>
    <cellStyle name="40% - Accent1 2 2 6 2 3" xfId="12584" xr:uid="{171ECC87-AC54-401A-93ED-DA89A1CDCD3A}"/>
    <cellStyle name="40% - Accent1 2 2 6 2 4" xfId="16795" xr:uid="{2405DC00-33DD-4AB0-B06E-25B27EF925A8}"/>
    <cellStyle name="40% - Accent1 2 2 6 3" xfId="6207" xr:uid="{00000000-0005-0000-0000-0000E7030000}"/>
    <cellStyle name="40% - Accent1 2 2 6 3 2" xfId="18868" xr:uid="{72615339-69D2-4689-A635-415AD64797D0}"/>
    <cellStyle name="40% - Accent1 2 2 6 4" xfId="10439" xr:uid="{1E377D6B-83A0-47DC-B3B7-304775753EAF}"/>
    <cellStyle name="40% - Accent1 2 2 6 5" xfId="14650" xr:uid="{1E411567-C8E5-4E70-91EB-DEA5890625E2}"/>
    <cellStyle name="40% - Accent1 2 2 7" xfId="2314" xr:uid="{00000000-0005-0000-0000-0000E8030000}"/>
    <cellStyle name="40% - Accent1 2 2 7 2" xfId="6620" xr:uid="{00000000-0005-0000-0000-0000E9030000}"/>
    <cellStyle name="40% - Accent1 2 2 7 2 2" xfId="19281" xr:uid="{87D85F7A-D2B0-4F42-9AE1-0E0DD9087228}"/>
    <cellStyle name="40% - Accent1 2 2 7 3" xfId="10852" xr:uid="{7204B31D-70D5-479B-96CD-77107EDBD77D}"/>
    <cellStyle name="40% - Accent1 2 2 7 4" xfId="15063" xr:uid="{FBF27401-4333-4E32-8E62-EF7B5B332153}"/>
    <cellStyle name="40% - Accent1 2 2 8" xfId="4554" xr:uid="{00000000-0005-0000-0000-0000EA030000}"/>
    <cellStyle name="40% - Accent1 2 2 8 2" xfId="17215" xr:uid="{B1F86C92-3392-45A7-82B9-1A694229D911}"/>
    <cellStyle name="40% - Accent1 2 2 9" xfId="8786" xr:uid="{5AB40C46-77E1-43CD-AE61-CD8A1AD6E2E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9776" xr:uid="{DC325960-AA30-4037-B83D-A88E2CB8829F}"/>
    <cellStyle name="40% - Accent1 2 3 2 2 3" xfId="11347" xr:uid="{E8D16118-B3CD-4F35-ADAA-25A67F6154C4}"/>
    <cellStyle name="40% - Accent1 2 3 2 2 4" xfId="15558" xr:uid="{42896B69-4192-425F-9509-2A0F41E897B9}"/>
    <cellStyle name="40% - Accent1 2 3 2 3" xfId="4970" xr:uid="{00000000-0005-0000-0000-0000EF030000}"/>
    <cellStyle name="40% - Accent1 2 3 2 3 2" xfId="17631" xr:uid="{B8465213-741F-48F3-9E93-9843E099C38A}"/>
    <cellStyle name="40% - Accent1 2 3 2 4" xfId="9202" xr:uid="{45200486-D413-496D-97E0-3CC62DCAD056}"/>
    <cellStyle name="40% - Accent1 2 3 2 5" xfId="13413" xr:uid="{E30369B3-E573-4410-B1A9-4F19B26F5161}"/>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20189" xr:uid="{EE57EE8C-3FE6-4B4D-988B-234D163E214F}"/>
    <cellStyle name="40% - Accent1 2 3 3 2 3" xfId="11760" xr:uid="{CD1BC6AE-0085-40D5-97E6-6B78DA344C00}"/>
    <cellStyle name="40% - Accent1 2 3 3 2 4" xfId="15971" xr:uid="{AA90B37E-B5B5-429E-8826-361078824080}"/>
    <cellStyle name="40% - Accent1 2 3 3 3" xfId="5383" xr:uid="{00000000-0005-0000-0000-0000F3030000}"/>
    <cellStyle name="40% - Accent1 2 3 3 3 2" xfId="18044" xr:uid="{6234D77C-F8A3-4160-98A7-2C4959EBEABD}"/>
    <cellStyle name="40% - Accent1 2 3 3 4" xfId="9615" xr:uid="{172BF7E6-BB34-4572-AE81-5A5595D60A3E}"/>
    <cellStyle name="40% - Accent1 2 3 3 5" xfId="13826" xr:uid="{25341022-C61C-4B7E-8030-70CD6B62BDF0}"/>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20602" xr:uid="{BDC707EC-7351-4CAD-AA99-2E8E02510272}"/>
    <cellStyle name="40% - Accent1 2 3 4 2 3" xfId="12173" xr:uid="{7602932F-83F3-4217-8FB5-9F04C24548BD}"/>
    <cellStyle name="40% - Accent1 2 3 4 2 4" xfId="16384" xr:uid="{A0C9E4B3-4BB9-4F47-B063-9B65EBA61D67}"/>
    <cellStyle name="40% - Accent1 2 3 4 3" xfId="5796" xr:uid="{00000000-0005-0000-0000-0000F7030000}"/>
    <cellStyle name="40% - Accent1 2 3 4 3 2" xfId="18457" xr:uid="{B97ED179-EF44-482C-8D65-95F52F19B5F5}"/>
    <cellStyle name="40% - Accent1 2 3 4 4" xfId="10028" xr:uid="{189BB7BC-6CE5-4A21-A56F-7F1093982A99}"/>
    <cellStyle name="40% - Accent1 2 3 4 5" xfId="14239" xr:uid="{70E6A275-EE16-46D3-983C-2E4D69704C2E}"/>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21015" xr:uid="{20AC7C3B-5EC1-4C96-A425-D9DAD4A96AEE}"/>
    <cellStyle name="40% - Accent1 2 3 5 2 3" xfId="12586" xr:uid="{DC6C17AA-DC72-4199-9CD0-543D8DAFA655}"/>
    <cellStyle name="40% - Accent1 2 3 5 2 4" xfId="16797" xr:uid="{D950FF4C-5AF2-4653-9DE5-33048C2CBA75}"/>
    <cellStyle name="40% - Accent1 2 3 5 3" xfId="6209" xr:uid="{00000000-0005-0000-0000-0000FB030000}"/>
    <cellStyle name="40% - Accent1 2 3 5 3 2" xfId="18870" xr:uid="{94A41459-5009-4E05-BAE5-DCFAB3BC500F}"/>
    <cellStyle name="40% - Accent1 2 3 5 4" xfId="10441" xr:uid="{7EB0ACD9-E637-4E42-AC1C-0F2FDE684B27}"/>
    <cellStyle name="40% - Accent1 2 3 5 5" xfId="14652" xr:uid="{9E29AC33-379D-4A1B-A570-C5E32B817392}"/>
    <cellStyle name="40% - Accent1 2 3 6" xfId="2316" xr:uid="{00000000-0005-0000-0000-0000FC030000}"/>
    <cellStyle name="40% - Accent1 2 3 6 2" xfId="6622" xr:uid="{00000000-0005-0000-0000-0000FD030000}"/>
    <cellStyle name="40% - Accent1 2 3 6 2 2" xfId="19283" xr:uid="{9FB2F632-5775-4DE1-BFC1-B901B9643BD6}"/>
    <cellStyle name="40% - Accent1 2 3 6 3" xfId="10854" xr:uid="{50DFB307-7EF8-45F7-A75A-274AFE8A35A0}"/>
    <cellStyle name="40% - Accent1 2 3 6 4" xfId="15065" xr:uid="{62BAA3A9-0B37-4261-98CB-52A989032A4C}"/>
    <cellStyle name="40% - Accent1 2 3 7" xfId="4556" xr:uid="{00000000-0005-0000-0000-0000FE030000}"/>
    <cellStyle name="40% - Accent1 2 3 7 2" xfId="17217" xr:uid="{39CFB1F2-B98C-4CFA-8B62-6E985DE7982E}"/>
    <cellStyle name="40% - Accent1 2 3 8" xfId="8788" xr:uid="{8521A9E4-E922-49A2-ACB4-904157E31857}"/>
    <cellStyle name="40% - Accent1 2 3 9" xfId="12999" xr:uid="{D892EC54-0486-4FD4-8052-B7B9CFEC7389}"/>
    <cellStyle name="40% - Accent1 2 4" xfId="619" xr:uid="{00000000-0005-0000-0000-0000FF030000}"/>
    <cellStyle name="40% - Accent1 2 4 2" xfId="2890" xr:uid="{00000000-0005-0000-0000-000000040000}"/>
    <cellStyle name="40% - Accent1 2 4 2 2" xfId="7112" xr:uid="{00000000-0005-0000-0000-000001040000}"/>
    <cellStyle name="40% - Accent1 2 4 2 2 2" xfId="19773" xr:uid="{8E4F13DA-E5B0-4C92-ACC0-6C9A9EDFE1A1}"/>
    <cellStyle name="40% - Accent1 2 4 2 3" xfId="11344" xr:uid="{4DE914CF-6E26-4DD9-9443-A567B9715036}"/>
    <cellStyle name="40% - Accent1 2 4 2 4" xfId="15555" xr:uid="{6164E050-7FC9-4D55-B1F4-166BC7A37DB9}"/>
    <cellStyle name="40% - Accent1 2 4 3" xfId="4967" xr:uid="{00000000-0005-0000-0000-000002040000}"/>
    <cellStyle name="40% - Accent1 2 4 3 2" xfId="17628" xr:uid="{6009148A-7EDF-4ACC-BEAE-3693671F84E0}"/>
    <cellStyle name="40% - Accent1 2 4 4" xfId="9199" xr:uid="{6BF684D0-AB67-4A3E-90C7-314870B91CA1}"/>
    <cellStyle name="40% - Accent1 2 4 5" xfId="13410" xr:uid="{E60F4DEF-667B-4B4A-91FF-5B3027B920E4}"/>
    <cellStyle name="40% - Accent1 2 5" xfId="1072" xr:uid="{00000000-0005-0000-0000-000003040000}"/>
    <cellStyle name="40% - Accent1 2 5 2" xfId="3303" xr:uid="{00000000-0005-0000-0000-000004040000}"/>
    <cellStyle name="40% - Accent1 2 5 2 2" xfId="7525" xr:uid="{00000000-0005-0000-0000-000005040000}"/>
    <cellStyle name="40% - Accent1 2 5 2 2 2" xfId="20186" xr:uid="{D003480D-D0A8-489F-AE76-976EF1958FEA}"/>
    <cellStyle name="40% - Accent1 2 5 2 3" xfId="11757" xr:uid="{75A3EF1D-6AA1-41FA-922D-968D6FB170A3}"/>
    <cellStyle name="40% - Accent1 2 5 2 4" xfId="15968" xr:uid="{60C29958-8479-46E5-A6C7-DD64FC1B6FAC}"/>
    <cellStyle name="40% - Accent1 2 5 3" xfId="5380" xr:uid="{00000000-0005-0000-0000-000006040000}"/>
    <cellStyle name="40% - Accent1 2 5 3 2" xfId="18041" xr:uid="{5C891C08-CFE1-4739-9F54-881B39C06590}"/>
    <cellStyle name="40% - Accent1 2 5 4" xfId="9612" xr:uid="{2F079BEB-2A85-41AF-8F73-E9BE3E8A6516}"/>
    <cellStyle name="40% - Accent1 2 5 5" xfId="13823" xr:uid="{D36D4884-B97E-48A3-9290-5C269AE2235A}"/>
    <cellStyle name="40% - Accent1 2 6" xfId="1486" xr:uid="{00000000-0005-0000-0000-000007040000}"/>
    <cellStyle name="40% - Accent1 2 6 2" xfId="3716" xr:uid="{00000000-0005-0000-0000-000008040000}"/>
    <cellStyle name="40% - Accent1 2 6 2 2" xfId="7938" xr:uid="{00000000-0005-0000-0000-000009040000}"/>
    <cellStyle name="40% - Accent1 2 6 2 2 2" xfId="20599" xr:uid="{71427983-89C1-4272-B13A-BAE159BF2F53}"/>
    <cellStyle name="40% - Accent1 2 6 2 3" xfId="12170" xr:uid="{DEA5D6D1-3DCE-4892-BFBC-A5B78389FF2B}"/>
    <cellStyle name="40% - Accent1 2 6 2 4" xfId="16381" xr:uid="{9BE94610-D7D4-4626-9E61-40742EA8FB9B}"/>
    <cellStyle name="40% - Accent1 2 6 3" xfId="5793" xr:uid="{00000000-0005-0000-0000-00000A040000}"/>
    <cellStyle name="40% - Accent1 2 6 3 2" xfId="18454" xr:uid="{21C55003-0C7C-4680-AFA0-BCD14E1B3D3B}"/>
    <cellStyle name="40% - Accent1 2 6 4" xfId="10025" xr:uid="{9165C74E-BE6E-4CC1-BD60-57926E285235}"/>
    <cellStyle name="40% - Accent1 2 6 5" xfId="14236" xr:uid="{8868CEFE-233A-4D29-8F7F-67315D80AD30}"/>
    <cellStyle name="40% - Accent1 2 7" xfId="1900" xr:uid="{00000000-0005-0000-0000-00000B040000}"/>
    <cellStyle name="40% - Accent1 2 7 2" xfId="4129" xr:uid="{00000000-0005-0000-0000-00000C040000}"/>
    <cellStyle name="40% - Accent1 2 7 2 2" xfId="8351" xr:uid="{00000000-0005-0000-0000-00000D040000}"/>
    <cellStyle name="40% - Accent1 2 7 2 2 2" xfId="21012" xr:uid="{28AC6578-8776-48BE-AF22-E1BE1D9D4151}"/>
    <cellStyle name="40% - Accent1 2 7 2 3" xfId="12583" xr:uid="{94CEA319-3316-44FC-9520-200873464D50}"/>
    <cellStyle name="40% - Accent1 2 7 2 4" xfId="16794" xr:uid="{30E113AD-490C-496A-A2DC-26BD0AD5F089}"/>
    <cellStyle name="40% - Accent1 2 7 3" xfId="6206" xr:uid="{00000000-0005-0000-0000-00000E040000}"/>
    <cellStyle name="40% - Accent1 2 7 3 2" xfId="18867" xr:uid="{4F3BC2D7-E4B8-456C-B733-063956A88AA1}"/>
    <cellStyle name="40% - Accent1 2 7 4" xfId="10438" xr:uid="{903FCB92-8541-4BBE-B057-1760128A6200}"/>
    <cellStyle name="40% - Accent1 2 7 5" xfId="14649" xr:uid="{0451DFBA-5560-4684-ABE2-DAB69201319C}"/>
    <cellStyle name="40% - Accent1 2 8" xfId="2313" xr:uid="{00000000-0005-0000-0000-00000F040000}"/>
    <cellStyle name="40% - Accent1 2 8 2" xfId="6619" xr:uid="{00000000-0005-0000-0000-000010040000}"/>
    <cellStyle name="40% - Accent1 2 8 2 2" xfId="19280" xr:uid="{784C7A2B-E84D-4B19-8782-7CE90EF8BDC5}"/>
    <cellStyle name="40% - Accent1 2 8 3" xfId="10851" xr:uid="{B7707AAD-53F1-4F55-A170-DFEDEFDACB2D}"/>
    <cellStyle name="40% - Accent1 2 8 4" xfId="15062" xr:uid="{18FC7430-14BA-47F5-AF49-610EA79578BA}"/>
    <cellStyle name="40% - Accent1 2 9" xfId="4553" xr:uid="{00000000-0005-0000-0000-000011040000}"/>
    <cellStyle name="40% - Accent1 2 9 2" xfId="17214" xr:uid="{94E534EC-9B01-48CE-9730-A1434553C65F}"/>
    <cellStyle name="40% - Accent1 3" xfId="54" xr:uid="{00000000-0005-0000-0000-000012040000}"/>
    <cellStyle name="40% - Accent1 3 10" xfId="13000" xr:uid="{9BA1071D-516E-461E-86C3-EC0C05128981}"/>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9778" xr:uid="{8132C8C4-953C-4115-9F49-9EBD0FD40082}"/>
    <cellStyle name="40% - Accent1 3 2 2 2 3" xfId="11349" xr:uid="{5EBC29DB-209C-40DE-8E70-646CA3479FBC}"/>
    <cellStyle name="40% - Accent1 3 2 2 2 4" xfId="15560" xr:uid="{8FACE334-8928-41FD-9B7F-9ACBF303FA96}"/>
    <cellStyle name="40% - Accent1 3 2 2 3" xfId="4972" xr:uid="{00000000-0005-0000-0000-000017040000}"/>
    <cellStyle name="40% - Accent1 3 2 2 3 2" xfId="17633" xr:uid="{3EAF4F50-30C4-423B-AA87-0D3F50E5E220}"/>
    <cellStyle name="40% - Accent1 3 2 2 4" xfId="9204" xr:uid="{6BD2B578-1726-450E-833A-A0CDE6BB6D21}"/>
    <cellStyle name="40% - Accent1 3 2 2 5" xfId="13415" xr:uid="{D3BD5C3D-EF62-46FA-A1FD-E35A43E5817E}"/>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20191" xr:uid="{9B77D07E-B3B8-4E25-9816-78DB472492FB}"/>
    <cellStyle name="40% - Accent1 3 2 3 2 3" xfId="11762" xr:uid="{D394204A-76CD-4806-ACA0-823DA8BC3400}"/>
    <cellStyle name="40% - Accent1 3 2 3 2 4" xfId="15973" xr:uid="{22C698D3-521E-40F2-93E9-6503E6AFEB75}"/>
    <cellStyle name="40% - Accent1 3 2 3 3" xfId="5385" xr:uid="{00000000-0005-0000-0000-00001B040000}"/>
    <cellStyle name="40% - Accent1 3 2 3 3 2" xfId="18046" xr:uid="{FF3822F5-DB18-43E7-83D9-E8EC0767ACE3}"/>
    <cellStyle name="40% - Accent1 3 2 3 4" xfId="9617" xr:uid="{D08A6E0D-4421-4040-9F35-A0921F7F20EC}"/>
    <cellStyle name="40% - Accent1 3 2 3 5" xfId="13828" xr:uid="{C8FF3837-D9C7-42C7-9214-B32C53CEE3CD}"/>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20604" xr:uid="{CF898BAF-B7D2-4701-81CC-A40C64E10623}"/>
    <cellStyle name="40% - Accent1 3 2 4 2 3" xfId="12175" xr:uid="{ADB91202-E8D8-43F7-8F10-49EE513FBC19}"/>
    <cellStyle name="40% - Accent1 3 2 4 2 4" xfId="16386" xr:uid="{DB1E4F61-F05E-43BE-8F5D-B01946111ABF}"/>
    <cellStyle name="40% - Accent1 3 2 4 3" xfId="5798" xr:uid="{00000000-0005-0000-0000-00001F040000}"/>
    <cellStyle name="40% - Accent1 3 2 4 3 2" xfId="18459" xr:uid="{6573197B-0D75-47C3-ACA7-ECE81EB1567B}"/>
    <cellStyle name="40% - Accent1 3 2 4 4" xfId="10030" xr:uid="{DFC9F29F-EC3D-4D49-BECF-E9C5BA7308EE}"/>
    <cellStyle name="40% - Accent1 3 2 4 5" xfId="14241" xr:uid="{FB40D241-6637-479F-91FA-E5249BFEBB56}"/>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21017" xr:uid="{058C4764-5CBA-46B2-B60D-1C5D8E6AF5AD}"/>
    <cellStyle name="40% - Accent1 3 2 5 2 3" xfId="12588" xr:uid="{0D780B33-724C-441D-AE21-40C232570383}"/>
    <cellStyle name="40% - Accent1 3 2 5 2 4" xfId="16799" xr:uid="{2D267ED2-AE71-4384-BA75-9088A46F326D}"/>
    <cellStyle name="40% - Accent1 3 2 5 3" xfId="6211" xr:uid="{00000000-0005-0000-0000-000023040000}"/>
    <cellStyle name="40% - Accent1 3 2 5 3 2" xfId="18872" xr:uid="{29EA3502-192F-4D02-A72A-052B609F7375}"/>
    <cellStyle name="40% - Accent1 3 2 5 4" xfId="10443" xr:uid="{CEA33E4E-C5CE-47C6-8DE3-EE6D5D6FED4F}"/>
    <cellStyle name="40% - Accent1 3 2 5 5" xfId="14654" xr:uid="{0C759F9D-CA52-4B80-A9C2-C5C492B16923}"/>
    <cellStyle name="40% - Accent1 3 2 6" xfId="2318" xr:uid="{00000000-0005-0000-0000-000024040000}"/>
    <cellStyle name="40% - Accent1 3 2 6 2" xfId="6624" xr:uid="{00000000-0005-0000-0000-000025040000}"/>
    <cellStyle name="40% - Accent1 3 2 6 2 2" xfId="19285" xr:uid="{DB8F9C81-3D59-4878-8583-6B7325B70AE1}"/>
    <cellStyle name="40% - Accent1 3 2 6 3" xfId="10856" xr:uid="{82F96261-C8D7-40BA-AB3A-8F42AA018696}"/>
    <cellStyle name="40% - Accent1 3 2 6 4" xfId="15067" xr:uid="{C69705F0-554A-4230-BF51-ABD6A4C8BCF3}"/>
    <cellStyle name="40% - Accent1 3 2 7" xfId="4558" xr:uid="{00000000-0005-0000-0000-000026040000}"/>
    <cellStyle name="40% - Accent1 3 2 7 2" xfId="17219" xr:uid="{B419E8C4-6BDD-4DF0-BE14-3C312F7F4BF1}"/>
    <cellStyle name="40% - Accent1 3 2 8" xfId="8790" xr:uid="{7FA78520-440B-45DD-A545-D291C054CC5B}"/>
    <cellStyle name="40% - Accent1 3 2 9" xfId="13001" xr:uid="{85E6B416-BE7E-46A9-A01F-4287546903A9}"/>
    <cellStyle name="40% - Accent1 3 3" xfId="623" xr:uid="{00000000-0005-0000-0000-000027040000}"/>
    <cellStyle name="40% - Accent1 3 3 2" xfId="2894" xr:uid="{00000000-0005-0000-0000-000028040000}"/>
    <cellStyle name="40% - Accent1 3 3 2 2" xfId="7116" xr:uid="{00000000-0005-0000-0000-000029040000}"/>
    <cellStyle name="40% - Accent1 3 3 2 2 2" xfId="19777" xr:uid="{401A96EC-17E4-4147-9B0A-A6CDDC6CB817}"/>
    <cellStyle name="40% - Accent1 3 3 2 3" xfId="11348" xr:uid="{013E6551-958C-42C9-8211-9960BED827E0}"/>
    <cellStyle name="40% - Accent1 3 3 2 4" xfId="15559" xr:uid="{FBE58DC7-8B4F-49CC-A15C-F2982BCC0259}"/>
    <cellStyle name="40% - Accent1 3 3 3" xfId="4971" xr:uid="{00000000-0005-0000-0000-00002A040000}"/>
    <cellStyle name="40% - Accent1 3 3 3 2" xfId="17632" xr:uid="{0BA6929D-EABD-4473-BEA2-F210EF55C0CB}"/>
    <cellStyle name="40% - Accent1 3 3 4" xfId="9203" xr:uid="{B6B4C201-2B4F-47FC-A443-3051AFDADF67}"/>
    <cellStyle name="40% - Accent1 3 3 5" xfId="13414" xr:uid="{CA69352F-23BE-402A-AE5D-841F42CEF589}"/>
    <cellStyle name="40% - Accent1 3 4" xfId="1076" xr:uid="{00000000-0005-0000-0000-00002B040000}"/>
    <cellStyle name="40% - Accent1 3 4 2" xfId="3307" xr:uid="{00000000-0005-0000-0000-00002C040000}"/>
    <cellStyle name="40% - Accent1 3 4 2 2" xfId="7529" xr:uid="{00000000-0005-0000-0000-00002D040000}"/>
    <cellStyle name="40% - Accent1 3 4 2 2 2" xfId="20190" xr:uid="{B49E9FF4-89DC-4838-B347-F5C12DAF75EE}"/>
    <cellStyle name="40% - Accent1 3 4 2 3" xfId="11761" xr:uid="{B54BC46F-76B9-4035-85DA-2A13938D2A4F}"/>
    <cellStyle name="40% - Accent1 3 4 2 4" xfId="15972" xr:uid="{0973B511-9686-4014-8F8C-44D98B28C9B5}"/>
    <cellStyle name="40% - Accent1 3 4 3" xfId="5384" xr:uid="{00000000-0005-0000-0000-00002E040000}"/>
    <cellStyle name="40% - Accent1 3 4 3 2" xfId="18045" xr:uid="{D01AD09A-B3F7-41DB-977B-EE4C2FC54BF8}"/>
    <cellStyle name="40% - Accent1 3 4 4" xfId="9616" xr:uid="{62B57A99-FB05-43C0-8435-D2D04AA18AF9}"/>
    <cellStyle name="40% - Accent1 3 4 5" xfId="13827" xr:uid="{1BB897EA-F276-4072-86A3-50119825621D}"/>
    <cellStyle name="40% - Accent1 3 5" xfId="1490" xr:uid="{00000000-0005-0000-0000-00002F040000}"/>
    <cellStyle name="40% - Accent1 3 5 2" xfId="3720" xr:uid="{00000000-0005-0000-0000-000030040000}"/>
    <cellStyle name="40% - Accent1 3 5 2 2" xfId="7942" xr:uid="{00000000-0005-0000-0000-000031040000}"/>
    <cellStyle name="40% - Accent1 3 5 2 2 2" xfId="20603" xr:uid="{A5F0DEDC-A575-4723-8E93-C0DDE6AA3BA3}"/>
    <cellStyle name="40% - Accent1 3 5 2 3" xfId="12174" xr:uid="{B18C03BC-E6C2-428F-B92A-175E1E8799AC}"/>
    <cellStyle name="40% - Accent1 3 5 2 4" xfId="16385" xr:uid="{881D8B7C-FCDA-4ED8-B374-A4BE3F0E72FD}"/>
    <cellStyle name="40% - Accent1 3 5 3" xfId="5797" xr:uid="{00000000-0005-0000-0000-000032040000}"/>
    <cellStyle name="40% - Accent1 3 5 3 2" xfId="18458" xr:uid="{71CCCD9B-62DB-4A54-926B-A3E1605F8A4E}"/>
    <cellStyle name="40% - Accent1 3 5 4" xfId="10029" xr:uid="{C1421905-BDA1-49F3-8AF4-E60B948CD7C9}"/>
    <cellStyle name="40% - Accent1 3 5 5" xfId="14240" xr:uid="{0D2EBFC7-2B2F-45D2-8FFD-564A10DA461F}"/>
    <cellStyle name="40% - Accent1 3 6" xfId="1904" xr:uid="{00000000-0005-0000-0000-000033040000}"/>
    <cellStyle name="40% - Accent1 3 6 2" xfId="4133" xr:uid="{00000000-0005-0000-0000-000034040000}"/>
    <cellStyle name="40% - Accent1 3 6 2 2" xfId="8355" xr:uid="{00000000-0005-0000-0000-000035040000}"/>
    <cellStyle name="40% - Accent1 3 6 2 2 2" xfId="21016" xr:uid="{DCD082F3-398B-4AA9-9045-F0FD621EF333}"/>
    <cellStyle name="40% - Accent1 3 6 2 3" xfId="12587" xr:uid="{414FFF6B-29DC-48DA-857F-EF5D174C1B69}"/>
    <cellStyle name="40% - Accent1 3 6 2 4" xfId="16798" xr:uid="{6F5440B3-C388-4E7E-AD84-9950E6DC9DD3}"/>
    <cellStyle name="40% - Accent1 3 6 3" xfId="6210" xr:uid="{00000000-0005-0000-0000-000036040000}"/>
    <cellStyle name="40% - Accent1 3 6 3 2" xfId="18871" xr:uid="{0DF5C292-3B2F-446F-A9F7-CA834473D65C}"/>
    <cellStyle name="40% - Accent1 3 6 4" xfId="10442" xr:uid="{3E7DB8AB-D14A-4D58-BFF6-1FE3115DBAFA}"/>
    <cellStyle name="40% - Accent1 3 6 5" xfId="14653" xr:uid="{7E4B9F7C-E17D-4B38-B3E3-E9E50B55C6F3}"/>
    <cellStyle name="40% - Accent1 3 7" xfId="2317" xr:uid="{00000000-0005-0000-0000-000037040000}"/>
    <cellStyle name="40% - Accent1 3 7 2" xfId="6623" xr:uid="{00000000-0005-0000-0000-000038040000}"/>
    <cellStyle name="40% - Accent1 3 7 2 2" xfId="19284" xr:uid="{C040486D-0746-4963-81D3-DFF94BA59497}"/>
    <cellStyle name="40% - Accent1 3 7 3" xfId="10855" xr:uid="{3623C9F5-4042-4FF8-A247-2E91ECEE02AA}"/>
    <cellStyle name="40% - Accent1 3 7 4" xfId="15066" xr:uid="{33A39991-A837-459A-8BC7-939AC644C147}"/>
    <cellStyle name="40% - Accent1 3 8" xfId="4557" xr:uid="{00000000-0005-0000-0000-000039040000}"/>
    <cellStyle name="40% - Accent1 3 8 2" xfId="17218" xr:uid="{C62F1634-1C71-403E-92F7-870A0F2BCC5D}"/>
    <cellStyle name="40% - Accent1 3 9" xfId="8789" xr:uid="{DDC5545E-83D1-4760-A8F3-393A8AB0B3D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9779" xr:uid="{1DC6C4BB-2828-4B22-A7A1-157BC150C1AB}"/>
    <cellStyle name="40% - Accent1 4 2 2 3" xfId="11350" xr:uid="{6AB70CF6-A489-44C2-8024-1C055081980F}"/>
    <cellStyle name="40% - Accent1 4 2 2 4" xfId="15561" xr:uid="{9AECFADD-2E76-4E57-B065-1932B25ED9FA}"/>
    <cellStyle name="40% - Accent1 4 2 3" xfId="4973" xr:uid="{00000000-0005-0000-0000-00003E040000}"/>
    <cellStyle name="40% - Accent1 4 2 3 2" xfId="17634" xr:uid="{DEE9ECCE-AEA8-4390-9F22-90CE3CBA942E}"/>
    <cellStyle name="40% - Accent1 4 2 4" xfId="9205" xr:uid="{54F88F72-2756-4CE4-B742-84A6563EAC73}"/>
    <cellStyle name="40% - Accent1 4 2 5" xfId="13416" xr:uid="{060F63AC-53A4-4251-8892-34FE48DEE678}"/>
    <cellStyle name="40% - Accent1 4 3" xfId="1078" xr:uid="{00000000-0005-0000-0000-00003F040000}"/>
    <cellStyle name="40% - Accent1 4 3 2" xfId="3309" xr:uid="{00000000-0005-0000-0000-000040040000}"/>
    <cellStyle name="40% - Accent1 4 3 2 2" xfId="7531" xr:uid="{00000000-0005-0000-0000-000041040000}"/>
    <cellStyle name="40% - Accent1 4 3 2 2 2" xfId="20192" xr:uid="{D3298C57-3E48-400C-A10B-68287B4FA617}"/>
    <cellStyle name="40% - Accent1 4 3 2 3" xfId="11763" xr:uid="{2D9453E0-DE34-4517-9961-B6A1576B8A49}"/>
    <cellStyle name="40% - Accent1 4 3 2 4" xfId="15974" xr:uid="{81B1D206-1076-4507-9AE7-00E43CCCABF6}"/>
    <cellStyle name="40% - Accent1 4 3 3" xfId="5386" xr:uid="{00000000-0005-0000-0000-000042040000}"/>
    <cellStyle name="40% - Accent1 4 3 3 2" xfId="18047" xr:uid="{D2E3883E-8968-450F-93A5-3D2B08855796}"/>
    <cellStyle name="40% - Accent1 4 3 4" xfId="9618" xr:uid="{BCF6314C-F4BC-4E21-930F-EDB2EABDEBF1}"/>
    <cellStyle name="40% - Accent1 4 3 5" xfId="13829" xr:uid="{B5573033-985F-4833-B3CC-B1B2F4107E14}"/>
    <cellStyle name="40% - Accent1 4 4" xfId="1492" xr:uid="{00000000-0005-0000-0000-000043040000}"/>
    <cellStyle name="40% - Accent1 4 4 2" xfId="3722" xr:uid="{00000000-0005-0000-0000-000044040000}"/>
    <cellStyle name="40% - Accent1 4 4 2 2" xfId="7944" xr:uid="{00000000-0005-0000-0000-000045040000}"/>
    <cellStyle name="40% - Accent1 4 4 2 2 2" xfId="20605" xr:uid="{AAE19FFF-95D2-4C93-89EA-0F9AB8057F46}"/>
    <cellStyle name="40% - Accent1 4 4 2 3" xfId="12176" xr:uid="{2B33E652-FB7F-47AE-AD31-4043D645D11A}"/>
    <cellStyle name="40% - Accent1 4 4 2 4" xfId="16387" xr:uid="{4316B138-7988-4B03-A219-0EAB24B7B102}"/>
    <cellStyle name="40% - Accent1 4 4 3" xfId="5799" xr:uid="{00000000-0005-0000-0000-000046040000}"/>
    <cellStyle name="40% - Accent1 4 4 3 2" xfId="18460" xr:uid="{BC22B92C-AB5A-4EC7-8D87-9A9EE1956C25}"/>
    <cellStyle name="40% - Accent1 4 4 4" xfId="10031" xr:uid="{E646CBBD-A09D-44F1-BC28-CDC44253AF6C}"/>
    <cellStyle name="40% - Accent1 4 4 5" xfId="14242" xr:uid="{9ED1D25C-CA1D-4CE1-B2E0-9CDA3FEE551B}"/>
    <cellStyle name="40% - Accent1 4 5" xfId="1906" xr:uid="{00000000-0005-0000-0000-000047040000}"/>
    <cellStyle name="40% - Accent1 4 5 2" xfId="4135" xr:uid="{00000000-0005-0000-0000-000048040000}"/>
    <cellStyle name="40% - Accent1 4 5 2 2" xfId="8357" xr:uid="{00000000-0005-0000-0000-000049040000}"/>
    <cellStyle name="40% - Accent1 4 5 2 2 2" xfId="21018" xr:uid="{1BB22095-95AB-45A8-BB04-8FFB09F205FF}"/>
    <cellStyle name="40% - Accent1 4 5 2 3" xfId="12589" xr:uid="{44168539-82C6-44C9-B2C9-EAEE7D377663}"/>
    <cellStyle name="40% - Accent1 4 5 2 4" xfId="16800" xr:uid="{E74AB7A0-F4F5-42A6-BD29-2F473877E14C}"/>
    <cellStyle name="40% - Accent1 4 5 3" xfId="6212" xr:uid="{00000000-0005-0000-0000-00004A040000}"/>
    <cellStyle name="40% - Accent1 4 5 3 2" xfId="18873" xr:uid="{4CCC9BA3-0AAB-44CF-A95C-C3ADE87EB147}"/>
    <cellStyle name="40% - Accent1 4 5 4" xfId="10444" xr:uid="{A387601C-C453-4C72-AA33-A34A918D5C2A}"/>
    <cellStyle name="40% - Accent1 4 5 5" xfId="14655" xr:uid="{E8E1A249-04B1-4BA1-9CAE-375F3E35D4CD}"/>
    <cellStyle name="40% - Accent1 4 6" xfId="2319" xr:uid="{00000000-0005-0000-0000-00004B040000}"/>
    <cellStyle name="40% - Accent1 4 6 2" xfId="6625" xr:uid="{00000000-0005-0000-0000-00004C040000}"/>
    <cellStyle name="40% - Accent1 4 6 2 2" xfId="19286" xr:uid="{698A1DF3-9A88-4028-AC7A-86369C0E4BED}"/>
    <cellStyle name="40% - Accent1 4 6 3" xfId="10857" xr:uid="{871E5A40-41DB-46CC-9E49-EC4D29214B1C}"/>
    <cellStyle name="40% - Accent1 4 6 4" xfId="15068" xr:uid="{056E8339-92DD-4903-B793-8E877F6A5E1D}"/>
    <cellStyle name="40% - Accent1 4 7" xfId="4559" xr:uid="{00000000-0005-0000-0000-00004D040000}"/>
    <cellStyle name="40% - Accent1 4 7 2" xfId="17220" xr:uid="{2AFBC81E-FEF3-4964-AFF3-B17FB16F4EF9}"/>
    <cellStyle name="40% - Accent1 4 8" xfId="8791" xr:uid="{332BAB4B-38DD-44FE-8B47-871139C28171}"/>
    <cellStyle name="40% - Accent1 4 9" xfId="13002" xr:uid="{3BF9CD9B-F5AF-4D5B-BFDE-4F907AB89DEB}"/>
    <cellStyle name="40% - Accent1 5" xfId="618" xr:uid="{00000000-0005-0000-0000-00004E040000}"/>
    <cellStyle name="40% - Accent1 5 2" xfId="2889" xr:uid="{00000000-0005-0000-0000-00004F040000}"/>
    <cellStyle name="40% - Accent1 5 2 2" xfId="7111" xr:uid="{00000000-0005-0000-0000-000050040000}"/>
    <cellStyle name="40% - Accent1 5 2 2 2" xfId="19772" xr:uid="{F13D1E38-E1B8-4B22-BF27-8E74A1F6632D}"/>
    <cellStyle name="40% - Accent1 5 2 3" xfId="11343" xr:uid="{61AE3405-27B9-45BA-A1BA-B3B100E2D554}"/>
    <cellStyle name="40% - Accent1 5 2 4" xfId="15554" xr:uid="{F24A704F-25E8-433B-95C3-23C6829D2B13}"/>
    <cellStyle name="40% - Accent1 5 3" xfId="4966" xr:uid="{00000000-0005-0000-0000-000051040000}"/>
    <cellStyle name="40% - Accent1 5 3 2" xfId="17627" xr:uid="{FCF08BBF-FE65-4DBA-908B-6CD1CD2835F7}"/>
    <cellStyle name="40% - Accent1 5 4" xfId="9198" xr:uid="{CB17F12B-607A-4997-9422-7B8F5B8062A4}"/>
    <cellStyle name="40% - Accent1 5 5" xfId="13409" xr:uid="{5649B8C4-1EE0-4CDE-9DA8-316535B8394D}"/>
    <cellStyle name="40% - Accent1 6" xfId="1071" xr:uid="{00000000-0005-0000-0000-000052040000}"/>
    <cellStyle name="40% - Accent1 6 2" xfId="3302" xr:uid="{00000000-0005-0000-0000-000053040000}"/>
    <cellStyle name="40% - Accent1 6 2 2" xfId="7524" xr:uid="{00000000-0005-0000-0000-000054040000}"/>
    <cellStyle name="40% - Accent1 6 2 2 2" xfId="20185" xr:uid="{BAA580E4-D300-44FF-9479-A5F36CCBCB18}"/>
    <cellStyle name="40% - Accent1 6 2 3" xfId="11756" xr:uid="{5A71F01D-BC76-40B9-BB50-9728A9542F44}"/>
    <cellStyle name="40% - Accent1 6 2 4" xfId="15967" xr:uid="{69EF7D0F-F1CD-4231-B27B-C87C2BB6A93B}"/>
    <cellStyle name="40% - Accent1 6 3" xfId="5379" xr:uid="{00000000-0005-0000-0000-000055040000}"/>
    <cellStyle name="40% - Accent1 6 3 2" xfId="18040" xr:uid="{AB437580-E2B4-4CED-818A-CFB1320AB83D}"/>
    <cellStyle name="40% - Accent1 6 4" xfId="9611" xr:uid="{4B475FC2-1C7C-4589-9C6B-94A798091560}"/>
    <cellStyle name="40% - Accent1 6 5" xfId="13822" xr:uid="{A269C832-5560-40E9-888E-F6CB8AA49E45}"/>
    <cellStyle name="40% - Accent1 7" xfId="1485" xr:uid="{00000000-0005-0000-0000-000056040000}"/>
    <cellStyle name="40% - Accent1 7 2" xfId="3715" xr:uid="{00000000-0005-0000-0000-000057040000}"/>
    <cellStyle name="40% - Accent1 7 2 2" xfId="7937" xr:uid="{00000000-0005-0000-0000-000058040000}"/>
    <cellStyle name="40% - Accent1 7 2 2 2" xfId="20598" xr:uid="{16BFF74E-499F-45D9-B67E-7455CBB3FC8A}"/>
    <cellStyle name="40% - Accent1 7 2 3" xfId="12169" xr:uid="{E6E2F45D-FE2C-4A59-98E5-E92DCA2A4C06}"/>
    <cellStyle name="40% - Accent1 7 2 4" xfId="16380" xr:uid="{BD799556-5568-4042-BD5B-E65B1EC789EB}"/>
    <cellStyle name="40% - Accent1 7 3" xfId="5792" xr:uid="{00000000-0005-0000-0000-000059040000}"/>
    <cellStyle name="40% - Accent1 7 3 2" xfId="18453" xr:uid="{791EA3BF-B29D-4202-A097-A8456F811432}"/>
    <cellStyle name="40% - Accent1 7 4" xfId="10024" xr:uid="{76794780-9700-4A2B-978B-9110B87DEADC}"/>
    <cellStyle name="40% - Accent1 7 5" xfId="14235" xr:uid="{A0D15558-3898-4F18-BC1C-36B24FD86734}"/>
    <cellStyle name="40% - Accent1 8" xfId="1899" xr:uid="{00000000-0005-0000-0000-00005A040000}"/>
    <cellStyle name="40% - Accent1 8 2" xfId="4128" xr:uid="{00000000-0005-0000-0000-00005B040000}"/>
    <cellStyle name="40% - Accent1 8 2 2" xfId="8350" xr:uid="{00000000-0005-0000-0000-00005C040000}"/>
    <cellStyle name="40% - Accent1 8 2 2 2" xfId="21011" xr:uid="{2DD99AB4-454A-4713-93A9-9668B3FF48A9}"/>
    <cellStyle name="40% - Accent1 8 2 3" xfId="12582" xr:uid="{51CE5E6D-EE52-457E-90F1-E6E19C8C8237}"/>
    <cellStyle name="40% - Accent1 8 2 4" xfId="16793" xr:uid="{A374EB60-4A31-4A96-9437-01520D3CA3E1}"/>
    <cellStyle name="40% - Accent1 8 3" xfId="6205" xr:uid="{00000000-0005-0000-0000-00005D040000}"/>
    <cellStyle name="40% - Accent1 8 3 2" xfId="18866" xr:uid="{AE9F8C53-C2D7-4709-9C55-AD3BA135F430}"/>
    <cellStyle name="40% - Accent1 8 4" xfId="10437" xr:uid="{2F575827-3693-46C2-B4D9-7EBBC3F4C1FC}"/>
    <cellStyle name="40% - Accent1 8 5" xfId="14648" xr:uid="{A8BB2A09-41DC-4067-B2CB-0A4FDE60BCBD}"/>
    <cellStyle name="40% - Accent1 9" xfId="2312" xr:uid="{00000000-0005-0000-0000-00005E040000}"/>
    <cellStyle name="40% - Accent1 9 2" xfId="6618" xr:uid="{00000000-0005-0000-0000-00005F040000}"/>
    <cellStyle name="40% - Accent1 9 2 2" xfId="19279" xr:uid="{265FE9F1-3582-4235-A3CF-D913B8D33A9E}"/>
    <cellStyle name="40% - Accent1 9 3" xfId="10850" xr:uid="{F6C4A42F-7A39-481C-9C3D-8AF2C38224E0}"/>
    <cellStyle name="40% - Accent1 9 4" xfId="15061" xr:uid="{8A8392D9-1114-4D92-B280-6D2B6C509BB8}"/>
    <cellStyle name="40% - Accent2" xfId="57" builtinId="35" customBuiltin="1"/>
    <cellStyle name="40% - Accent2 10" xfId="4560" xr:uid="{00000000-0005-0000-0000-000061040000}"/>
    <cellStyle name="40% - Accent2 10 2" xfId="17221" xr:uid="{468050B1-206E-4B81-9160-E707CC39CD22}"/>
    <cellStyle name="40% - Accent2 11" xfId="8792" xr:uid="{8256713A-1A6D-41F8-BA34-CD252D7FB8BD}"/>
    <cellStyle name="40% - Accent2 12" xfId="13003" xr:uid="{51B5CA68-0539-490E-9555-F0193AA1CDB3}"/>
    <cellStyle name="40% - Accent2 2" xfId="58" xr:uid="{00000000-0005-0000-0000-000062040000}"/>
    <cellStyle name="40% - Accent2 2 10" xfId="8793" xr:uid="{D18B094E-5342-455B-A305-9EC3CC1A3956}"/>
    <cellStyle name="40% - Accent2 2 11" xfId="13004" xr:uid="{8CAE3DCB-AA8D-4E71-A385-8C0DE97656D1}"/>
    <cellStyle name="40% - Accent2 2 2" xfId="59" xr:uid="{00000000-0005-0000-0000-000063040000}"/>
    <cellStyle name="40% - Accent2 2 2 10" xfId="13005" xr:uid="{673B456F-5451-4FD5-899D-AD01DED713CE}"/>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9783" xr:uid="{065214A8-3BD2-4984-B894-25FF70857A34}"/>
    <cellStyle name="40% - Accent2 2 2 2 2 2 3" xfId="11354" xr:uid="{B082D7C8-3820-4D2D-A915-5F4D386DA6C8}"/>
    <cellStyle name="40% - Accent2 2 2 2 2 2 4" xfId="15565" xr:uid="{0882BAB7-E570-4C9C-B53D-F1A84BD92930}"/>
    <cellStyle name="40% - Accent2 2 2 2 2 3" xfId="4977" xr:uid="{00000000-0005-0000-0000-000068040000}"/>
    <cellStyle name="40% - Accent2 2 2 2 2 3 2" xfId="17638" xr:uid="{31C2D87A-6784-45F3-A1A4-E8EEDD562092}"/>
    <cellStyle name="40% - Accent2 2 2 2 2 4" xfId="9209" xr:uid="{7BBDB39C-D916-44AB-8030-5C17DD838747}"/>
    <cellStyle name="40% - Accent2 2 2 2 2 5" xfId="13420" xr:uid="{4D113578-85CB-4096-BDFA-7EC077A78993}"/>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20196" xr:uid="{A18D9B68-EC93-4D5C-BC51-9120A125ADD9}"/>
    <cellStyle name="40% - Accent2 2 2 2 3 2 3" xfId="11767" xr:uid="{97B23019-4717-4816-867D-1C85A6FBB491}"/>
    <cellStyle name="40% - Accent2 2 2 2 3 2 4" xfId="15978" xr:uid="{C33D793F-7F2C-4739-B081-FB4F2872572C}"/>
    <cellStyle name="40% - Accent2 2 2 2 3 3" xfId="5390" xr:uid="{00000000-0005-0000-0000-00006C040000}"/>
    <cellStyle name="40% - Accent2 2 2 2 3 3 2" xfId="18051" xr:uid="{7BA9E09C-9B5F-4286-BBDF-224C843752AD}"/>
    <cellStyle name="40% - Accent2 2 2 2 3 4" xfId="9622" xr:uid="{05B75BF2-2920-4351-92D9-A2E4DB7A13B9}"/>
    <cellStyle name="40% - Accent2 2 2 2 3 5" xfId="13833" xr:uid="{41F3E9D8-0F98-45FE-A806-4CB42C2AA018}"/>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20609" xr:uid="{45363267-8BF5-423C-B166-D917AFC95DC7}"/>
    <cellStyle name="40% - Accent2 2 2 2 4 2 3" xfId="12180" xr:uid="{AA70C0CA-8FA0-43C0-9160-97F50E676368}"/>
    <cellStyle name="40% - Accent2 2 2 2 4 2 4" xfId="16391" xr:uid="{5B149CFB-E213-440A-ABD6-655992EBA8CD}"/>
    <cellStyle name="40% - Accent2 2 2 2 4 3" xfId="5803" xr:uid="{00000000-0005-0000-0000-000070040000}"/>
    <cellStyle name="40% - Accent2 2 2 2 4 3 2" xfId="18464" xr:uid="{A1873C19-D58A-432F-9326-C6E959DA656D}"/>
    <cellStyle name="40% - Accent2 2 2 2 4 4" xfId="10035" xr:uid="{F5A2B651-C57F-4AC7-A78C-5EEB06418679}"/>
    <cellStyle name="40% - Accent2 2 2 2 4 5" xfId="14246" xr:uid="{4A420721-0ED9-4AC9-A021-95379216DD67}"/>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21022" xr:uid="{784AF4DF-E9B6-42EE-BCA5-ACC0151746BA}"/>
    <cellStyle name="40% - Accent2 2 2 2 5 2 3" xfId="12593" xr:uid="{893DBCA9-1034-4702-9B03-3240EA6917E1}"/>
    <cellStyle name="40% - Accent2 2 2 2 5 2 4" xfId="16804" xr:uid="{CA7BC757-8DD8-44E3-8191-E45157DDB61D}"/>
    <cellStyle name="40% - Accent2 2 2 2 5 3" xfId="6216" xr:uid="{00000000-0005-0000-0000-000074040000}"/>
    <cellStyle name="40% - Accent2 2 2 2 5 3 2" xfId="18877" xr:uid="{0D33980B-4BE8-4246-9EE3-DCDF1852D92E}"/>
    <cellStyle name="40% - Accent2 2 2 2 5 4" xfId="10448" xr:uid="{E2C74575-2FD6-4E57-B683-9204242F8C99}"/>
    <cellStyle name="40% - Accent2 2 2 2 5 5" xfId="14659" xr:uid="{17C6CD59-0AC4-45B1-873B-67270059F584}"/>
    <cellStyle name="40% - Accent2 2 2 2 6" xfId="2323" xr:uid="{00000000-0005-0000-0000-000075040000}"/>
    <cellStyle name="40% - Accent2 2 2 2 6 2" xfId="6629" xr:uid="{00000000-0005-0000-0000-000076040000}"/>
    <cellStyle name="40% - Accent2 2 2 2 6 2 2" xfId="19290" xr:uid="{C4216978-673E-45B0-B745-A6443B154526}"/>
    <cellStyle name="40% - Accent2 2 2 2 6 3" xfId="10861" xr:uid="{1D58DB4E-F52A-4D34-96C7-EA1B50F6AF8E}"/>
    <cellStyle name="40% - Accent2 2 2 2 6 4" xfId="15072" xr:uid="{ACE4065A-63BA-439E-81BD-01557208D236}"/>
    <cellStyle name="40% - Accent2 2 2 2 7" xfId="4563" xr:uid="{00000000-0005-0000-0000-000077040000}"/>
    <cellStyle name="40% - Accent2 2 2 2 7 2" xfId="17224" xr:uid="{7EBD5597-6C1E-42B1-95E7-572A217391A6}"/>
    <cellStyle name="40% - Accent2 2 2 2 8" xfId="8795" xr:uid="{265C6BA7-CEC0-4162-B93D-8C6668E23ADA}"/>
    <cellStyle name="40% - Accent2 2 2 2 9" xfId="13006" xr:uid="{D6F3BBF6-4F74-4D0A-8B6A-6EDD03961787}"/>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9782" xr:uid="{5376417A-3415-492A-A92F-BA3EA5BAB1B9}"/>
    <cellStyle name="40% - Accent2 2 2 3 2 3" xfId="11353" xr:uid="{859AA809-D4C7-493A-803A-817CEFF35F27}"/>
    <cellStyle name="40% - Accent2 2 2 3 2 4" xfId="15564" xr:uid="{514A92A7-4C58-419C-BA3E-40169B8D38CB}"/>
    <cellStyle name="40% - Accent2 2 2 3 3" xfId="4976" xr:uid="{00000000-0005-0000-0000-00007B040000}"/>
    <cellStyle name="40% - Accent2 2 2 3 3 2" xfId="17637" xr:uid="{C9F91136-863E-470B-B532-63225B527DA4}"/>
    <cellStyle name="40% - Accent2 2 2 3 4" xfId="9208" xr:uid="{9A168821-CC7C-406C-A30E-181E542D39FC}"/>
    <cellStyle name="40% - Accent2 2 2 3 5" xfId="13419" xr:uid="{99158D93-A1EA-4B90-99B0-C4AC4E37F556}"/>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20195" xr:uid="{A2C867E4-264A-4379-BE42-0076E3FCC094}"/>
    <cellStyle name="40% - Accent2 2 2 4 2 3" xfId="11766" xr:uid="{E36D86C6-4D41-4F30-A68E-FBAA41357193}"/>
    <cellStyle name="40% - Accent2 2 2 4 2 4" xfId="15977" xr:uid="{B890AF3E-29D8-4162-B4D6-8CD1E9FE00DD}"/>
    <cellStyle name="40% - Accent2 2 2 4 3" xfId="5389" xr:uid="{00000000-0005-0000-0000-00007F040000}"/>
    <cellStyle name="40% - Accent2 2 2 4 3 2" xfId="18050" xr:uid="{7151529C-D0DD-45E1-9FD3-E93CA63A58BF}"/>
    <cellStyle name="40% - Accent2 2 2 4 4" xfId="9621" xr:uid="{1EC27252-BCEE-41ED-BC0E-486955EFC872}"/>
    <cellStyle name="40% - Accent2 2 2 4 5" xfId="13832" xr:uid="{6DAD33D9-1578-4238-AABB-F134C9DA3195}"/>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20608" xr:uid="{B26B114E-A788-4080-8E6B-C5C0847020B8}"/>
    <cellStyle name="40% - Accent2 2 2 5 2 3" xfId="12179" xr:uid="{2438A2F7-9702-4A45-876A-3F08377F6A2D}"/>
    <cellStyle name="40% - Accent2 2 2 5 2 4" xfId="16390" xr:uid="{11B1668E-5501-4C8C-9DA2-0DC66E6CC30A}"/>
    <cellStyle name="40% - Accent2 2 2 5 3" xfId="5802" xr:uid="{00000000-0005-0000-0000-000083040000}"/>
    <cellStyle name="40% - Accent2 2 2 5 3 2" xfId="18463" xr:uid="{FAD7C742-3059-476D-9FBC-0D9F78FAA1E0}"/>
    <cellStyle name="40% - Accent2 2 2 5 4" xfId="10034" xr:uid="{DC9D7A96-CF35-47CE-B726-7254305217C5}"/>
    <cellStyle name="40% - Accent2 2 2 5 5" xfId="14245" xr:uid="{4D8487F4-3389-4519-AFEF-0649DCCECE3C}"/>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21021" xr:uid="{6C01E481-A2A1-4E26-9123-C2AA3B8086F1}"/>
    <cellStyle name="40% - Accent2 2 2 6 2 3" xfId="12592" xr:uid="{1BABC27F-1B37-476A-A739-E8F5DB6D8A6B}"/>
    <cellStyle name="40% - Accent2 2 2 6 2 4" xfId="16803" xr:uid="{4AC17A6A-CBF4-4947-B046-FF4A57E22076}"/>
    <cellStyle name="40% - Accent2 2 2 6 3" xfId="6215" xr:uid="{00000000-0005-0000-0000-000087040000}"/>
    <cellStyle name="40% - Accent2 2 2 6 3 2" xfId="18876" xr:uid="{F56DF813-1C6C-4D5E-9999-E962DEAC1CAF}"/>
    <cellStyle name="40% - Accent2 2 2 6 4" xfId="10447" xr:uid="{3C728AEB-5E7C-4E54-88D3-E9AC2F1A67DD}"/>
    <cellStyle name="40% - Accent2 2 2 6 5" xfId="14658" xr:uid="{4E9557B7-479D-4DED-B7DC-768473065EED}"/>
    <cellStyle name="40% - Accent2 2 2 7" xfId="2322" xr:uid="{00000000-0005-0000-0000-000088040000}"/>
    <cellStyle name="40% - Accent2 2 2 7 2" xfId="6628" xr:uid="{00000000-0005-0000-0000-000089040000}"/>
    <cellStyle name="40% - Accent2 2 2 7 2 2" xfId="19289" xr:uid="{DE70EAFA-3409-428D-9202-1FE450CEBDF1}"/>
    <cellStyle name="40% - Accent2 2 2 7 3" xfId="10860" xr:uid="{A47A2318-C7F9-493D-A542-57FB7F7D8BA1}"/>
    <cellStyle name="40% - Accent2 2 2 7 4" xfId="15071" xr:uid="{FDECDC16-AC51-49FA-A03C-A5C4CA4BB848}"/>
    <cellStyle name="40% - Accent2 2 2 8" xfId="4562" xr:uid="{00000000-0005-0000-0000-00008A040000}"/>
    <cellStyle name="40% - Accent2 2 2 8 2" xfId="17223" xr:uid="{56A9D510-5F97-4B92-9907-A30B29955D2E}"/>
    <cellStyle name="40% - Accent2 2 2 9" xfId="8794" xr:uid="{70404CB1-6A40-438D-93A2-5E8705D55AEF}"/>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9784" xr:uid="{BA42A357-595B-4BF2-B12A-D320D0B367FF}"/>
    <cellStyle name="40% - Accent2 2 3 2 2 3" xfId="11355" xr:uid="{A505696C-C9D8-4BB9-B0AA-52051AC119DB}"/>
    <cellStyle name="40% - Accent2 2 3 2 2 4" xfId="15566" xr:uid="{AE66687A-4CC8-4A00-B034-8EA23606F858}"/>
    <cellStyle name="40% - Accent2 2 3 2 3" xfId="4978" xr:uid="{00000000-0005-0000-0000-00008F040000}"/>
    <cellStyle name="40% - Accent2 2 3 2 3 2" xfId="17639" xr:uid="{AADA201D-363B-4DB3-88D9-14467357A239}"/>
    <cellStyle name="40% - Accent2 2 3 2 4" xfId="9210" xr:uid="{E460491C-ABE9-4F3F-A0AF-E3F0239C2B95}"/>
    <cellStyle name="40% - Accent2 2 3 2 5" xfId="13421" xr:uid="{469D8A12-28EC-469B-B416-7C20506CCAD5}"/>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20197" xr:uid="{6552392C-D4B9-4B91-BE79-E3A175D511AF}"/>
    <cellStyle name="40% - Accent2 2 3 3 2 3" xfId="11768" xr:uid="{316BD13C-2C2D-47C5-A73B-4B9F57E01449}"/>
    <cellStyle name="40% - Accent2 2 3 3 2 4" xfId="15979" xr:uid="{4DEEA16F-80D8-4880-8764-BF31AC5652AF}"/>
    <cellStyle name="40% - Accent2 2 3 3 3" xfId="5391" xr:uid="{00000000-0005-0000-0000-000093040000}"/>
    <cellStyle name="40% - Accent2 2 3 3 3 2" xfId="18052" xr:uid="{A839B205-541C-4A9E-BEE3-87F6CDA8F6EA}"/>
    <cellStyle name="40% - Accent2 2 3 3 4" xfId="9623" xr:uid="{044B94EC-3DFC-4FED-8AD2-93FD4EDAE02B}"/>
    <cellStyle name="40% - Accent2 2 3 3 5" xfId="13834" xr:uid="{BD4261BA-E2F3-4E7E-9292-D45341848578}"/>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20610" xr:uid="{9C8FBD86-74F7-4B8A-8461-3E24E4F9DC89}"/>
    <cellStyle name="40% - Accent2 2 3 4 2 3" xfId="12181" xr:uid="{381C161E-827D-48B6-B42A-A9EADBEB48BC}"/>
    <cellStyle name="40% - Accent2 2 3 4 2 4" xfId="16392" xr:uid="{0510DB95-52B4-4A6C-A3C9-6B84D271D76A}"/>
    <cellStyle name="40% - Accent2 2 3 4 3" xfId="5804" xr:uid="{00000000-0005-0000-0000-000097040000}"/>
    <cellStyle name="40% - Accent2 2 3 4 3 2" xfId="18465" xr:uid="{FAABB0EB-2770-4BBC-8A19-67ADAA88198A}"/>
    <cellStyle name="40% - Accent2 2 3 4 4" xfId="10036" xr:uid="{D8A6285F-85F7-4F02-93DC-494034A8EFFF}"/>
    <cellStyle name="40% - Accent2 2 3 4 5" xfId="14247" xr:uid="{2C482E82-B0A4-405F-8337-A11616968223}"/>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21023" xr:uid="{173C3AA9-5CAD-4C03-9F23-F73B3B6CC2B2}"/>
    <cellStyle name="40% - Accent2 2 3 5 2 3" xfId="12594" xr:uid="{6B6DCEFC-D5C3-4E48-92B2-E9DCC7B60B05}"/>
    <cellStyle name="40% - Accent2 2 3 5 2 4" xfId="16805" xr:uid="{954ACB45-7017-42EE-B636-D802A54A6D06}"/>
    <cellStyle name="40% - Accent2 2 3 5 3" xfId="6217" xr:uid="{00000000-0005-0000-0000-00009B040000}"/>
    <cellStyle name="40% - Accent2 2 3 5 3 2" xfId="18878" xr:uid="{E2F413CB-AE61-448B-9480-399EB1249D18}"/>
    <cellStyle name="40% - Accent2 2 3 5 4" xfId="10449" xr:uid="{E64792C1-B892-45F0-8868-57803749E34F}"/>
    <cellStyle name="40% - Accent2 2 3 5 5" xfId="14660" xr:uid="{CE98BAE5-B2BC-470C-943C-6F9C88A37DFC}"/>
    <cellStyle name="40% - Accent2 2 3 6" xfId="2324" xr:uid="{00000000-0005-0000-0000-00009C040000}"/>
    <cellStyle name="40% - Accent2 2 3 6 2" xfId="6630" xr:uid="{00000000-0005-0000-0000-00009D040000}"/>
    <cellStyle name="40% - Accent2 2 3 6 2 2" xfId="19291" xr:uid="{A57A10C4-5EBE-4828-ABA0-2AB393C0625E}"/>
    <cellStyle name="40% - Accent2 2 3 6 3" xfId="10862" xr:uid="{DC8B71EF-375C-4D92-B46A-0CECEA8EF1C5}"/>
    <cellStyle name="40% - Accent2 2 3 6 4" xfId="15073" xr:uid="{92472F26-16BD-4729-B213-FC8FDE11495B}"/>
    <cellStyle name="40% - Accent2 2 3 7" xfId="4564" xr:uid="{00000000-0005-0000-0000-00009E040000}"/>
    <cellStyle name="40% - Accent2 2 3 7 2" xfId="17225" xr:uid="{810008FF-994C-4065-8E2E-5D4FEB7D7A78}"/>
    <cellStyle name="40% - Accent2 2 3 8" xfId="8796" xr:uid="{A244E9A7-675E-43E5-9900-99F98FF2751D}"/>
    <cellStyle name="40% - Accent2 2 3 9" xfId="13007" xr:uid="{3E5756E0-49E1-41E2-8919-9FE165CD35A3}"/>
    <cellStyle name="40% - Accent2 2 4" xfId="627" xr:uid="{00000000-0005-0000-0000-00009F040000}"/>
    <cellStyle name="40% - Accent2 2 4 2" xfId="2898" xr:uid="{00000000-0005-0000-0000-0000A0040000}"/>
    <cellStyle name="40% - Accent2 2 4 2 2" xfId="7120" xr:uid="{00000000-0005-0000-0000-0000A1040000}"/>
    <cellStyle name="40% - Accent2 2 4 2 2 2" xfId="19781" xr:uid="{4DEB02EA-DFF5-4762-B813-07CA1CA698E0}"/>
    <cellStyle name="40% - Accent2 2 4 2 3" xfId="11352" xr:uid="{33B2534B-D170-4920-B3A3-0296EB99DB03}"/>
    <cellStyle name="40% - Accent2 2 4 2 4" xfId="15563" xr:uid="{57D14849-E71F-4049-8D84-F1EEAAC6F8D8}"/>
    <cellStyle name="40% - Accent2 2 4 3" xfId="4975" xr:uid="{00000000-0005-0000-0000-0000A2040000}"/>
    <cellStyle name="40% - Accent2 2 4 3 2" xfId="17636" xr:uid="{94216E38-4795-4F20-BCAF-86AD151FB911}"/>
    <cellStyle name="40% - Accent2 2 4 4" xfId="9207" xr:uid="{8C474356-1338-45DD-ACE7-42FE81A66D0B}"/>
    <cellStyle name="40% - Accent2 2 4 5" xfId="13418" xr:uid="{FB3BA606-28B9-4504-ADD7-9F7CFB626A21}"/>
    <cellStyle name="40% - Accent2 2 5" xfId="1080" xr:uid="{00000000-0005-0000-0000-0000A3040000}"/>
    <cellStyle name="40% - Accent2 2 5 2" xfId="3311" xr:uid="{00000000-0005-0000-0000-0000A4040000}"/>
    <cellStyle name="40% - Accent2 2 5 2 2" xfId="7533" xr:uid="{00000000-0005-0000-0000-0000A5040000}"/>
    <cellStyle name="40% - Accent2 2 5 2 2 2" xfId="20194" xr:uid="{AB250E44-8840-4D3F-A7B1-68AAB4705C86}"/>
    <cellStyle name="40% - Accent2 2 5 2 3" xfId="11765" xr:uid="{7B12815B-F558-468A-97E8-AB00A94A9825}"/>
    <cellStyle name="40% - Accent2 2 5 2 4" xfId="15976" xr:uid="{25846799-3B6B-408D-8D81-6E8B95190EE0}"/>
    <cellStyle name="40% - Accent2 2 5 3" xfId="5388" xr:uid="{00000000-0005-0000-0000-0000A6040000}"/>
    <cellStyle name="40% - Accent2 2 5 3 2" xfId="18049" xr:uid="{55EEF015-2BB8-4F7F-895B-CB2430664EAE}"/>
    <cellStyle name="40% - Accent2 2 5 4" xfId="9620" xr:uid="{6EA0CED0-23D5-4335-BBB3-171C0803A1E6}"/>
    <cellStyle name="40% - Accent2 2 5 5" xfId="13831" xr:uid="{302A22C0-B0B8-4757-A070-D82C9CBAEA13}"/>
    <cellStyle name="40% - Accent2 2 6" xfId="1494" xr:uid="{00000000-0005-0000-0000-0000A7040000}"/>
    <cellStyle name="40% - Accent2 2 6 2" xfId="3724" xr:uid="{00000000-0005-0000-0000-0000A8040000}"/>
    <cellStyle name="40% - Accent2 2 6 2 2" xfId="7946" xr:uid="{00000000-0005-0000-0000-0000A9040000}"/>
    <cellStyle name="40% - Accent2 2 6 2 2 2" xfId="20607" xr:uid="{DB2C2C09-1241-42CC-B438-BB87D0FE87D5}"/>
    <cellStyle name="40% - Accent2 2 6 2 3" xfId="12178" xr:uid="{D5428343-A1BA-478A-A24B-A42758C8912A}"/>
    <cellStyle name="40% - Accent2 2 6 2 4" xfId="16389" xr:uid="{9399ADDA-5CBB-44C8-A2B7-34DCEA4A146F}"/>
    <cellStyle name="40% - Accent2 2 6 3" xfId="5801" xr:uid="{00000000-0005-0000-0000-0000AA040000}"/>
    <cellStyle name="40% - Accent2 2 6 3 2" xfId="18462" xr:uid="{55791BAE-F13B-4700-8645-7636729831FC}"/>
    <cellStyle name="40% - Accent2 2 6 4" xfId="10033" xr:uid="{455775E1-6AE4-4C56-AEE9-F1808D792B5E}"/>
    <cellStyle name="40% - Accent2 2 6 5" xfId="14244" xr:uid="{27E02FD0-4830-4CBF-84D1-4A614FAF1E15}"/>
    <cellStyle name="40% - Accent2 2 7" xfId="1908" xr:uid="{00000000-0005-0000-0000-0000AB040000}"/>
    <cellStyle name="40% - Accent2 2 7 2" xfId="4137" xr:uid="{00000000-0005-0000-0000-0000AC040000}"/>
    <cellStyle name="40% - Accent2 2 7 2 2" xfId="8359" xr:uid="{00000000-0005-0000-0000-0000AD040000}"/>
    <cellStyle name="40% - Accent2 2 7 2 2 2" xfId="21020" xr:uid="{124A63C6-A0C5-4C56-BB50-761C724CBFD0}"/>
    <cellStyle name="40% - Accent2 2 7 2 3" xfId="12591" xr:uid="{6E725FAD-B3FB-44BB-A2FA-04EADF058363}"/>
    <cellStyle name="40% - Accent2 2 7 2 4" xfId="16802" xr:uid="{CDA658FA-500E-4A8C-9FE7-F26606F8593C}"/>
    <cellStyle name="40% - Accent2 2 7 3" xfId="6214" xr:uid="{00000000-0005-0000-0000-0000AE040000}"/>
    <cellStyle name="40% - Accent2 2 7 3 2" xfId="18875" xr:uid="{3316B63C-3B0A-47DD-9240-924554A3F606}"/>
    <cellStyle name="40% - Accent2 2 7 4" xfId="10446" xr:uid="{D5521CE0-16A2-4A49-BE33-4C87B635B8FF}"/>
    <cellStyle name="40% - Accent2 2 7 5" xfId="14657" xr:uid="{73E91B8D-08B5-4483-9240-9D86690C1BD7}"/>
    <cellStyle name="40% - Accent2 2 8" xfId="2321" xr:uid="{00000000-0005-0000-0000-0000AF040000}"/>
    <cellStyle name="40% - Accent2 2 8 2" xfId="6627" xr:uid="{00000000-0005-0000-0000-0000B0040000}"/>
    <cellStyle name="40% - Accent2 2 8 2 2" xfId="19288" xr:uid="{BA04F437-40DF-4EBA-9157-9E605C87E0E4}"/>
    <cellStyle name="40% - Accent2 2 8 3" xfId="10859" xr:uid="{1D6E247C-E305-4848-92F7-0D99AB328B9A}"/>
    <cellStyle name="40% - Accent2 2 8 4" xfId="15070" xr:uid="{E4787DC6-6686-4649-9802-C548614AE4B4}"/>
    <cellStyle name="40% - Accent2 2 9" xfId="4561" xr:uid="{00000000-0005-0000-0000-0000B1040000}"/>
    <cellStyle name="40% - Accent2 2 9 2" xfId="17222" xr:uid="{A7BD5AEB-A03F-4FFE-92DD-8852ABDC22C9}"/>
    <cellStyle name="40% - Accent2 3" xfId="62" xr:uid="{00000000-0005-0000-0000-0000B2040000}"/>
    <cellStyle name="40% - Accent2 3 10" xfId="13008" xr:uid="{86DC839C-C19D-4394-A30A-CF352C3CBF79}"/>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9786" xr:uid="{987C3944-873A-4E86-ADD2-E007F2218665}"/>
    <cellStyle name="40% - Accent2 3 2 2 2 3" xfId="11357" xr:uid="{4EC63B84-E3EB-4065-83C6-5FB8AA526068}"/>
    <cellStyle name="40% - Accent2 3 2 2 2 4" xfId="15568" xr:uid="{C9B8605D-20CA-4827-BE68-3DA8F13E3C68}"/>
    <cellStyle name="40% - Accent2 3 2 2 3" xfId="4980" xr:uid="{00000000-0005-0000-0000-0000B7040000}"/>
    <cellStyle name="40% - Accent2 3 2 2 3 2" xfId="17641" xr:uid="{37A974C5-7EBA-4309-B74D-4617CC4F3A4E}"/>
    <cellStyle name="40% - Accent2 3 2 2 4" xfId="9212" xr:uid="{88862E5C-69E1-4AAD-8B41-FCC2BFBF00A3}"/>
    <cellStyle name="40% - Accent2 3 2 2 5" xfId="13423" xr:uid="{BB276BB7-6AF1-4C8E-A430-6607B90ED17F}"/>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20199" xr:uid="{0FEC0A12-04C2-433E-B6F4-D45ADD6CF45E}"/>
    <cellStyle name="40% - Accent2 3 2 3 2 3" xfId="11770" xr:uid="{CABA0EC2-0C0B-4AA5-AF06-BC2DC89508B9}"/>
    <cellStyle name="40% - Accent2 3 2 3 2 4" xfId="15981" xr:uid="{B16CC6B6-4712-4B4D-BCBD-EF7902B73B59}"/>
    <cellStyle name="40% - Accent2 3 2 3 3" xfId="5393" xr:uid="{00000000-0005-0000-0000-0000BB040000}"/>
    <cellStyle name="40% - Accent2 3 2 3 3 2" xfId="18054" xr:uid="{2A825987-1CB8-408B-AFAA-D8247E9D70B3}"/>
    <cellStyle name="40% - Accent2 3 2 3 4" xfId="9625" xr:uid="{C0B9E683-5CF4-4F8F-ACC3-A784950E23C0}"/>
    <cellStyle name="40% - Accent2 3 2 3 5" xfId="13836" xr:uid="{D0248893-29D9-458E-A72B-4E60CE988A06}"/>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20612" xr:uid="{B3522B4C-D3A6-4B8B-AFE8-50954793F710}"/>
    <cellStyle name="40% - Accent2 3 2 4 2 3" xfId="12183" xr:uid="{97983EE1-84C1-44F5-99FB-C9917EB58594}"/>
    <cellStyle name="40% - Accent2 3 2 4 2 4" xfId="16394" xr:uid="{6E7814C1-DBA7-4A31-A119-9BAAB661C5F5}"/>
    <cellStyle name="40% - Accent2 3 2 4 3" xfId="5806" xr:uid="{00000000-0005-0000-0000-0000BF040000}"/>
    <cellStyle name="40% - Accent2 3 2 4 3 2" xfId="18467" xr:uid="{3EA6DB1D-A264-4CEB-98F5-692A3B0BB113}"/>
    <cellStyle name="40% - Accent2 3 2 4 4" xfId="10038" xr:uid="{9834F0EA-4622-4C79-88D3-FFF44830EA2C}"/>
    <cellStyle name="40% - Accent2 3 2 4 5" xfId="14249" xr:uid="{41449849-AD01-4405-A9AB-B43935B98C0A}"/>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21025" xr:uid="{2482929B-742E-48D6-97A2-65B6F9EBE934}"/>
    <cellStyle name="40% - Accent2 3 2 5 2 3" xfId="12596" xr:uid="{C219DA08-4ADE-44FB-8D2A-E7A5474FCD10}"/>
    <cellStyle name="40% - Accent2 3 2 5 2 4" xfId="16807" xr:uid="{03E96072-63D7-4F4E-BCF3-A97553D0F90B}"/>
    <cellStyle name="40% - Accent2 3 2 5 3" xfId="6219" xr:uid="{00000000-0005-0000-0000-0000C3040000}"/>
    <cellStyle name="40% - Accent2 3 2 5 3 2" xfId="18880" xr:uid="{57A2F552-7B68-4FE9-A56D-8720E05B761C}"/>
    <cellStyle name="40% - Accent2 3 2 5 4" xfId="10451" xr:uid="{73F92482-4522-4947-BCC1-B6692182DC67}"/>
    <cellStyle name="40% - Accent2 3 2 5 5" xfId="14662" xr:uid="{915B6508-95B4-4E7D-9ECF-D869A9A5E5C6}"/>
    <cellStyle name="40% - Accent2 3 2 6" xfId="2326" xr:uid="{00000000-0005-0000-0000-0000C4040000}"/>
    <cellStyle name="40% - Accent2 3 2 6 2" xfId="6632" xr:uid="{00000000-0005-0000-0000-0000C5040000}"/>
    <cellStyle name="40% - Accent2 3 2 6 2 2" xfId="19293" xr:uid="{D9B2D0FD-BED1-4164-B1ED-7EAD717FFA7A}"/>
    <cellStyle name="40% - Accent2 3 2 6 3" xfId="10864" xr:uid="{5102E595-257B-4251-9C06-64AA6631905A}"/>
    <cellStyle name="40% - Accent2 3 2 6 4" xfId="15075" xr:uid="{49C9743F-5383-45F9-A76C-D1107BF500AF}"/>
    <cellStyle name="40% - Accent2 3 2 7" xfId="4566" xr:uid="{00000000-0005-0000-0000-0000C6040000}"/>
    <cellStyle name="40% - Accent2 3 2 7 2" xfId="17227" xr:uid="{B12EFA09-DBAC-4A38-AC96-D6D432924418}"/>
    <cellStyle name="40% - Accent2 3 2 8" xfId="8798" xr:uid="{765AC857-E5AD-4421-A3A4-62FB5D46AF4A}"/>
    <cellStyle name="40% - Accent2 3 2 9" xfId="13009" xr:uid="{4A281D46-11E8-4585-967F-181A7BCC5049}"/>
    <cellStyle name="40% - Accent2 3 3" xfId="631" xr:uid="{00000000-0005-0000-0000-0000C7040000}"/>
    <cellStyle name="40% - Accent2 3 3 2" xfId="2902" xr:uid="{00000000-0005-0000-0000-0000C8040000}"/>
    <cellStyle name="40% - Accent2 3 3 2 2" xfId="7124" xr:uid="{00000000-0005-0000-0000-0000C9040000}"/>
    <cellStyle name="40% - Accent2 3 3 2 2 2" xfId="19785" xr:uid="{75C07B99-342B-442F-B181-196FE8A0D075}"/>
    <cellStyle name="40% - Accent2 3 3 2 3" xfId="11356" xr:uid="{703A6138-754D-49F2-B87F-E8C6B2FF52AE}"/>
    <cellStyle name="40% - Accent2 3 3 2 4" xfId="15567" xr:uid="{B9033D0B-75F5-48A4-83C7-7548E51CF358}"/>
    <cellStyle name="40% - Accent2 3 3 3" xfId="4979" xr:uid="{00000000-0005-0000-0000-0000CA040000}"/>
    <cellStyle name="40% - Accent2 3 3 3 2" xfId="17640" xr:uid="{F019A637-E9D0-456A-B970-374EBFE74EED}"/>
    <cellStyle name="40% - Accent2 3 3 4" xfId="9211" xr:uid="{2896B9D7-CAC5-43AB-A171-802139E31FE7}"/>
    <cellStyle name="40% - Accent2 3 3 5" xfId="13422" xr:uid="{D208712A-11AB-47B2-BB21-CFD96CCCC4A1}"/>
    <cellStyle name="40% - Accent2 3 4" xfId="1084" xr:uid="{00000000-0005-0000-0000-0000CB040000}"/>
    <cellStyle name="40% - Accent2 3 4 2" xfId="3315" xr:uid="{00000000-0005-0000-0000-0000CC040000}"/>
    <cellStyle name="40% - Accent2 3 4 2 2" xfId="7537" xr:uid="{00000000-0005-0000-0000-0000CD040000}"/>
    <cellStyle name="40% - Accent2 3 4 2 2 2" xfId="20198" xr:uid="{0673CAC0-EE54-46BE-AF56-89788CBEC173}"/>
    <cellStyle name="40% - Accent2 3 4 2 3" xfId="11769" xr:uid="{772B7EDD-8E6E-480E-A260-78A2AB52537F}"/>
    <cellStyle name="40% - Accent2 3 4 2 4" xfId="15980" xr:uid="{E011B742-7D42-4685-A0D4-98B770C5F112}"/>
    <cellStyle name="40% - Accent2 3 4 3" xfId="5392" xr:uid="{00000000-0005-0000-0000-0000CE040000}"/>
    <cellStyle name="40% - Accent2 3 4 3 2" xfId="18053" xr:uid="{DC9377FB-292C-4EC0-99A0-950CF05A6DA7}"/>
    <cellStyle name="40% - Accent2 3 4 4" xfId="9624" xr:uid="{64C0BAC6-D5E1-413F-93F6-14888BF8BC55}"/>
    <cellStyle name="40% - Accent2 3 4 5" xfId="13835" xr:uid="{29B67735-F114-4AD4-9DA5-CE2E0EAF9D70}"/>
    <cellStyle name="40% - Accent2 3 5" xfId="1498" xr:uid="{00000000-0005-0000-0000-0000CF040000}"/>
    <cellStyle name="40% - Accent2 3 5 2" xfId="3728" xr:uid="{00000000-0005-0000-0000-0000D0040000}"/>
    <cellStyle name="40% - Accent2 3 5 2 2" xfId="7950" xr:uid="{00000000-0005-0000-0000-0000D1040000}"/>
    <cellStyle name="40% - Accent2 3 5 2 2 2" xfId="20611" xr:uid="{AA43D759-8257-43B3-B5DC-8D81128F7EB9}"/>
    <cellStyle name="40% - Accent2 3 5 2 3" xfId="12182" xr:uid="{9DEE7068-F287-4E18-A882-7C0599CFCC61}"/>
    <cellStyle name="40% - Accent2 3 5 2 4" xfId="16393" xr:uid="{063A92A9-DC4D-4A1A-9052-E850C6472EC2}"/>
    <cellStyle name="40% - Accent2 3 5 3" xfId="5805" xr:uid="{00000000-0005-0000-0000-0000D2040000}"/>
    <cellStyle name="40% - Accent2 3 5 3 2" xfId="18466" xr:uid="{5D587454-9C1D-428A-B057-2582F1164F57}"/>
    <cellStyle name="40% - Accent2 3 5 4" xfId="10037" xr:uid="{621BEDD5-E8A8-4154-9A5A-4D3740682719}"/>
    <cellStyle name="40% - Accent2 3 5 5" xfId="14248" xr:uid="{D5038946-32DC-4BDE-85B1-5D6706C21317}"/>
    <cellStyle name="40% - Accent2 3 6" xfId="1912" xr:uid="{00000000-0005-0000-0000-0000D3040000}"/>
    <cellStyle name="40% - Accent2 3 6 2" xfId="4141" xr:uid="{00000000-0005-0000-0000-0000D4040000}"/>
    <cellStyle name="40% - Accent2 3 6 2 2" xfId="8363" xr:uid="{00000000-0005-0000-0000-0000D5040000}"/>
    <cellStyle name="40% - Accent2 3 6 2 2 2" xfId="21024" xr:uid="{0C17B3A2-286B-4C5A-ACF2-2D71C91127E2}"/>
    <cellStyle name="40% - Accent2 3 6 2 3" xfId="12595" xr:uid="{C620C76A-4467-4598-B060-758FC6CFFBD1}"/>
    <cellStyle name="40% - Accent2 3 6 2 4" xfId="16806" xr:uid="{FF5CD7DA-9D18-4B9A-9AD7-62A81A0D2F6D}"/>
    <cellStyle name="40% - Accent2 3 6 3" xfId="6218" xr:uid="{00000000-0005-0000-0000-0000D6040000}"/>
    <cellStyle name="40% - Accent2 3 6 3 2" xfId="18879" xr:uid="{A9E110E6-4900-4BAD-A26F-576D9CB605F9}"/>
    <cellStyle name="40% - Accent2 3 6 4" xfId="10450" xr:uid="{D63B0A13-17BC-473F-AEED-A3E1D3B645EB}"/>
    <cellStyle name="40% - Accent2 3 6 5" xfId="14661" xr:uid="{8D6BFB65-385E-4F8D-AE03-6BD28173E201}"/>
    <cellStyle name="40% - Accent2 3 7" xfId="2325" xr:uid="{00000000-0005-0000-0000-0000D7040000}"/>
    <cellStyle name="40% - Accent2 3 7 2" xfId="6631" xr:uid="{00000000-0005-0000-0000-0000D8040000}"/>
    <cellStyle name="40% - Accent2 3 7 2 2" xfId="19292" xr:uid="{83B2A9C7-534C-497D-A609-60CA46C8FBAC}"/>
    <cellStyle name="40% - Accent2 3 7 3" xfId="10863" xr:uid="{2D9128E9-C1CA-4756-BE34-D031D9F707CA}"/>
    <cellStyle name="40% - Accent2 3 7 4" xfId="15074" xr:uid="{5CBEF6F9-40D8-4BE1-8906-04212488626D}"/>
    <cellStyle name="40% - Accent2 3 8" xfId="4565" xr:uid="{00000000-0005-0000-0000-0000D9040000}"/>
    <cellStyle name="40% - Accent2 3 8 2" xfId="17226" xr:uid="{C0681B3A-6D3E-4277-A94A-490A02F7B03B}"/>
    <cellStyle name="40% - Accent2 3 9" xfId="8797" xr:uid="{DE32E4F1-ED1D-4711-B340-117E8DFE4272}"/>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9787" xr:uid="{7D702E50-EB2B-4BFD-A7F5-271CE7CB9A8F}"/>
    <cellStyle name="40% - Accent2 4 2 2 3" xfId="11358" xr:uid="{53A8514C-7477-4FF0-9EEC-AD25A43A692D}"/>
    <cellStyle name="40% - Accent2 4 2 2 4" xfId="15569" xr:uid="{88EC586B-E74E-48E9-81DF-059BAA8785CE}"/>
    <cellStyle name="40% - Accent2 4 2 3" xfId="4981" xr:uid="{00000000-0005-0000-0000-0000DE040000}"/>
    <cellStyle name="40% - Accent2 4 2 3 2" xfId="17642" xr:uid="{48906FDB-292D-40CF-B003-1652FEA25081}"/>
    <cellStyle name="40% - Accent2 4 2 4" xfId="9213" xr:uid="{E4F81C7E-B01D-4C61-B045-A10A2AA43398}"/>
    <cellStyle name="40% - Accent2 4 2 5" xfId="13424" xr:uid="{59C878A9-B062-47B7-BF08-20887ED7C8E4}"/>
    <cellStyle name="40% - Accent2 4 3" xfId="1086" xr:uid="{00000000-0005-0000-0000-0000DF040000}"/>
    <cellStyle name="40% - Accent2 4 3 2" xfId="3317" xr:uid="{00000000-0005-0000-0000-0000E0040000}"/>
    <cellStyle name="40% - Accent2 4 3 2 2" xfId="7539" xr:uid="{00000000-0005-0000-0000-0000E1040000}"/>
    <cellStyle name="40% - Accent2 4 3 2 2 2" xfId="20200" xr:uid="{7107AA58-5FD7-4CAD-AD7B-4995B58A1B69}"/>
    <cellStyle name="40% - Accent2 4 3 2 3" xfId="11771" xr:uid="{665B556B-C9D5-4E21-953B-8562FD191CD3}"/>
    <cellStyle name="40% - Accent2 4 3 2 4" xfId="15982" xr:uid="{D8E18776-35B0-4798-A9AD-1747346608B9}"/>
    <cellStyle name="40% - Accent2 4 3 3" xfId="5394" xr:uid="{00000000-0005-0000-0000-0000E2040000}"/>
    <cellStyle name="40% - Accent2 4 3 3 2" xfId="18055" xr:uid="{9D6785AE-85F5-4DD8-BBB3-1D45528B8DA7}"/>
    <cellStyle name="40% - Accent2 4 3 4" xfId="9626" xr:uid="{ADA83367-32AA-4C45-B113-821746A82EB3}"/>
    <cellStyle name="40% - Accent2 4 3 5" xfId="13837" xr:uid="{887E871E-504C-4A2D-803E-BD0473B94AFD}"/>
    <cellStyle name="40% - Accent2 4 4" xfId="1500" xr:uid="{00000000-0005-0000-0000-0000E3040000}"/>
    <cellStyle name="40% - Accent2 4 4 2" xfId="3730" xr:uid="{00000000-0005-0000-0000-0000E4040000}"/>
    <cellStyle name="40% - Accent2 4 4 2 2" xfId="7952" xr:uid="{00000000-0005-0000-0000-0000E5040000}"/>
    <cellStyle name="40% - Accent2 4 4 2 2 2" xfId="20613" xr:uid="{EE1200F3-C954-4E25-8F4D-55A89EDE44F0}"/>
    <cellStyle name="40% - Accent2 4 4 2 3" xfId="12184" xr:uid="{4805A14E-B5DB-457F-92B1-8266E4E712B2}"/>
    <cellStyle name="40% - Accent2 4 4 2 4" xfId="16395" xr:uid="{1B10BD71-8064-4CFD-A73C-E68F540B8AD7}"/>
    <cellStyle name="40% - Accent2 4 4 3" xfId="5807" xr:uid="{00000000-0005-0000-0000-0000E6040000}"/>
    <cellStyle name="40% - Accent2 4 4 3 2" xfId="18468" xr:uid="{AF57C970-1A02-46D2-A641-94ADAD346AE4}"/>
    <cellStyle name="40% - Accent2 4 4 4" xfId="10039" xr:uid="{728EA6EF-3DAA-4DCD-BB66-F076D5ADD927}"/>
    <cellStyle name="40% - Accent2 4 4 5" xfId="14250" xr:uid="{BC2136D5-5812-4EDD-AE80-AF861209503C}"/>
    <cellStyle name="40% - Accent2 4 5" xfId="1914" xr:uid="{00000000-0005-0000-0000-0000E7040000}"/>
    <cellStyle name="40% - Accent2 4 5 2" xfId="4143" xr:uid="{00000000-0005-0000-0000-0000E8040000}"/>
    <cellStyle name="40% - Accent2 4 5 2 2" xfId="8365" xr:uid="{00000000-0005-0000-0000-0000E9040000}"/>
    <cellStyle name="40% - Accent2 4 5 2 2 2" xfId="21026" xr:uid="{4E02BF13-6394-4613-9DE0-8E7C06B77CA2}"/>
    <cellStyle name="40% - Accent2 4 5 2 3" xfId="12597" xr:uid="{6E561690-E268-474F-8C42-53C4317FF699}"/>
    <cellStyle name="40% - Accent2 4 5 2 4" xfId="16808" xr:uid="{394D7984-20C0-4102-B1D1-54271E54C414}"/>
    <cellStyle name="40% - Accent2 4 5 3" xfId="6220" xr:uid="{00000000-0005-0000-0000-0000EA040000}"/>
    <cellStyle name="40% - Accent2 4 5 3 2" xfId="18881" xr:uid="{4CADE7C1-2BEC-4E4F-A08F-3AE1D41B82E6}"/>
    <cellStyle name="40% - Accent2 4 5 4" xfId="10452" xr:uid="{209C2349-ECBB-4CF4-A32B-A897D20D8B06}"/>
    <cellStyle name="40% - Accent2 4 5 5" xfId="14663" xr:uid="{5FFD48CB-7F52-4C7C-9EAB-78C2C1F7FB08}"/>
    <cellStyle name="40% - Accent2 4 6" xfId="2327" xr:uid="{00000000-0005-0000-0000-0000EB040000}"/>
    <cellStyle name="40% - Accent2 4 6 2" xfId="6633" xr:uid="{00000000-0005-0000-0000-0000EC040000}"/>
    <cellStyle name="40% - Accent2 4 6 2 2" xfId="19294" xr:uid="{E1290ABC-A18B-4D74-A8FC-2EECFD660EDB}"/>
    <cellStyle name="40% - Accent2 4 6 3" xfId="10865" xr:uid="{03CB04F3-6C28-4E26-92A9-D655AD1B89A7}"/>
    <cellStyle name="40% - Accent2 4 6 4" xfId="15076" xr:uid="{359B6EC0-D0CC-473E-9C8C-B19E5098E77A}"/>
    <cellStyle name="40% - Accent2 4 7" xfId="4567" xr:uid="{00000000-0005-0000-0000-0000ED040000}"/>
    <cellStyle name="40% - Accent2 4 7 2" xfId="17228" xr:uid="{E1AF01F6-F4DA-4A0E-8F40-44C2D107C231}"/>
    <cellStyle name="40% - Accent2 4 8" xfId="8799" xr:uid="{00054195-242C-4C4D-A056-C93C9030095B}"/>
    <cellStyle name="40% - Accent2 4 9" xfId="13010" xr:uid="{A428D2EF-6AA9-4E71-8861-F513DDE804EC}"/>
    <cellStyle name="40% - Accent2 5" xfId="626" xr:uid="{00000000-0005-0000-0000-0000EE040000}"/>
    <cellStyle name="40% - Accent2 5 2" xfId="2897" xr:uid="{00000000-0005-0000-0000-0000EF040000}"/>
    <cellStyle name="40% - Accent2 5 2 2" xfId="7119" xr:uid="{00000000-0005-0000-0000-0000F0040000}"/>
    <cellStyle name="40% - Accent2 5 2 2 2" xfId="19780" xr:uid="{AAAAD3F8-2C09-42D1-BEB1-DC37CDD779D5}"/>
    <cellStyle name="40% - Accent2 5 2 3" xfId="11351" xr:uid="{6657C7D0-1D7E-4A01-B57F-3341FDCDA78E}"/>
    <cellStyle name="40% - Accent2 5 2 4" xfId="15562" xr:uid="{A4852E33-239B-4EA4-B5FA-A7C446EE442A}"/>
    <cellStyle name="40% - Accent2 5 3" xfId="4974" xr:uid="{00000000-0005-0000-0000-0000F1040000}"/>
    <cellStyle name="40% - Accent2 5 3 2" xfId="17635" xr:uid="{5CC92A0E-0010-48B7-B332-348978468976}"/>
    <cellStyle name="40% - Accent2 5 4" xfId="9206" xr:uid="{F04254B9-6F8E-41D9-AD72-72597302CB4D}"/>
    <cellStyle name="40% - Accent2 5 5" xfId="13417" xr:uid="{E1A6719B-5920-4B4E-84C4-1BA6D7A3C71A}"/>
    <cellStyle name="40% - Accent2 6" xfId="1079" xr:uid="{00000000-0005-0000-0000-0000F2040000}"/>
    <cellStyle name="40% - Accent2 6 2" xfId="3310" xr:uid="{00000000-0005-0000-0000-0000F3040000}"/>
    <cellStyle name="40% - Accent2 6 2 2" xfId="7532" xr:uid="{00000000-0005-0000-0000-0000F4040000}"/>
    <cellStyle name="40% - Accent2 6 2 2 2" xfId="20193" xr:uid="{902246F3-3BA6-43D7-9DA7-344F4B85DC2A}"/>
    <cellStyle name="40% - Accent2 6 2 3" xfId="11764" xr:uid="{4C88BED9-1D46-4D72-A00E-53F08A9B7171}"/>
    <cellStyle name="40% - Accent2 6 2 4" xfId="15975" xr:uid="{C107B38D-91F9-460B-9DE3-C008C5160BF5}"/>
    <cellStyle name="40% - Accent2 6 3" xfId="5387" xr:uid="{00000000-0005-0000-0000-0000F5040000}"/>
    <cellStyle name="40% - Accent2 6 3 2" xfId="18048" xr:uid="{704D8828-AD5D-453E-A15B-80FA39F061BD}"/>
    <cellStyle name="40% - Accent2 6 4" xfId="9619" xr:uid="{A736CE94-6666-4BCB-BC8C-42F0A3E5C7F2}"/>
    <cellStyle name="40% - Accent2 6 5" xfId="13830" xr:uid="{371C69B9-6D51-40DF-90B7-71170A450609}"/>
    <cellStyle name="40% - Accent2 7" xfId="1493" xr:uid="{00000000-0005-0000-0000-0000F6040000}"/>
    <cellStyle name="40% - Accent2 7 2" xfId="3723" xr:uid="{00000000-0005-0000-0000-0000F7040000}"/>
    <cellStyle name="40% - Accent2 7 2 2" xfId="7945" xr:uid="{00000000-0005-0000-0000-0000F8040000}"/>
    <cellStyle name="40% - Accent2 7 2 2 2" xfId="20606" xr:uid="{A74962FB-F2EE-4344-A470-9258707420B4}"/>
    <cellStyle name="40% - Accent2 7 2 3" xfId="12177" xr:uid="{B4C0979D-E469-4BAB-95DA-E2A8FA88C697}"/>
    <cellStyle name="40% - Accent2 7 2 4" xfId="16388" xr:uid="{E63B11C7-A6CE-4E13-83C5-31AA62E104D6}"/>
    <cellStyle name="40% - Accent2 7 3" xfId="5800" xr:uid="{00000000-0005-0000-0000-0000F9040000}"/>
    <cellStyle name="40% - Accent2 7 3 2" xfId="18461" xr:uid="{7090D7AB-6BCE-4EEC-9EDD-A7FFCD6C4ABC}"/>
    <cellStyle name="40% - Accent2 7 4" xfId="10032" xr:uid="{9398BFE7-351C-4B96-8E32-65545DF8A8A7}"/>
    <cellStyle name="40% - Accent2 7 5" xfId="14243" xr:uid="{60D0B558-34DB-4F98-8140-D239E5330E96}"/>
    <cellStyle name="40% - Accent2 8" xfId="1907" xr:uid="{00000000-0005-0000-0000-0000FA040000}"/>
    <cellStyle name="40% - Accent2 8 2" xfId="4136" xr:uid="{00000000-0005-0000-0000-0000FB040000}"/>
    <cellStyle name="40% - Accent2 8 2 2" xfId="8358" xr:uid="{00000000-0005-0000-0000-0000FC040000}"/>
    <cellStyle name="40% - Accent2 8 2 2 2" xfId="21019" xr:uid="{A8E081E3-51FF-47F6-A1BD-A1EF5B49604A}"/>
    <cellStyle name="40% - Accent2 8 2 3" xfId="12590" xr:uid="{572FCB37-F015-4874-88AF-FCB3A005F6A7}"/>
    <cellStyle name="40% - Accent2 8 2 4" xfId="16801" xr:uid="{19EF36C9-546F-4996-84BE-7147DF4EBF62}"/>
    <cellStyle name="40% - Accent2 8 3" xfId="6213" xr:uid="{00000000-0005-0000-0000-0000FD040000}"/>
    <cellStyle name="40% - Accent2 8 3 2" xfId="18874" xr:uid="{AFB65925-7E24-4DD8-9364-0823E2C8034F}"/>
    <cellStyle name="40% - Accent2 8 4" xfId="10445" xr:uid="{D882185D-DE20-43C1-A661-2F50286388E2}"/>
    <cellStyle name="40% - Accent2 8 5" xfId="14656" xr:uid="{588489D5-DED1-4E3E-B42B-A837C0A2D6BC}"/>
    <cellStyle name="40% - Accent2 9" xfId="2320" xr:uid="{00000000-0005-0000-0000-0000FE040000}"/>
    <cellStyle name="40% - Accent2 9 2" xfId="6626" xr:uid="{00000000-0005-0000-0000-0000FF040000}"/>
    <cellStyle name="40% - Accent2 9 2 2" xfId="19287" xr:uid="{69BE1817-8FD2-4E2F-822E-7A3D931144B1}"/>
    <cellStyle name="40% - Accent2 9 3" xfId="10858" xr:uid="{75C55FF9-8304-4931-91EA-FB5AA1CC08D5}"/>
    <cellStyle name="40% - Accent2 9 4" xfId="15069" xr:uid="{B8CA15C1-9F85-4427-99D0-A6E6819279EF}"/>
    <cellStyle name="40% - Accent3" xfId="65" builtinId="39" customBuiltin="1"/>
    <cellStyle name="40% - Accent3 10" xfId="4568" xr:uid="{00000000-0005-0000-0000-000001050000}"/>
    <cellStyle name="40% - Accent3 10 2" xfId="17229" xr:uid="{116F0B3A-1D58-48F3-A9C9-39FDCD80AF58}"/>
    <cellStyle name="40% - Accent3 11" xfId="8800" xr:uid="{2FD3B284-6BF6-4736-BD4C-9E59AB7B412C}"/>
    <cellStyle name="40% - Accent3 12" xfId="13011" xr:uid="{5B6D688D-641F-4331-93AD-1CF46D9F6528}"/>
    <cellStyle name="40% - Accent3 2" xfId="66" xr:uid="{00000000-0005-0000-0000-000002050000}"/>
    <cellStyle name="40% - Accent3 2 10" xfId="8801" xr:uid="{082E379D-AC99-4354-9C7F-D50C69B5327C}"/>
    <cellStyle name="40% - Accent3 2 11" xfId="13012" xr:uid="{8996B93A-5EBB-4766-8C0D-4B189DFE06C1}"/>
    <cellStyle name="40% - Accent3 2 2" xfId="67" xr:uid="{00000000-0005-0000-0000-000003050000}"/>
    <cellStyle name="40% - Accent3 2 2 10" xfId="13013" xr:uid="{99D63A58-A25D-411B-A5D7-93A82443EC29}"/>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9791" xr:uid="{BE29FA14-8548-48A8-9474-57B77F7C6AE4}"/>
    <cellStyle name="40% - Accent3 2 2 2 2 2 3" xfId="11362" xr:uid="{C5521B3E-5F25-43AB-A19B-6732AFB42C84}"/>
    <cellStyle name="40% - Accent3 2 2 2 2 2 4" xfId="15573" xr:uid="{C18CB9D0-603A-4A90-AF38-0AE3F8DAF9DD}"/>
    <cellStyle name="40% - Accent3 2 2 2 2 3" xfId="4985" xr:uid="{00000000-0005-0000-0000-000008050000}"/>
    <cellStyle name="40% - Accent3 2 2 2 2 3 2" xfId="17646" xr:uid="{25ADB031-A946-4466-BE67-C09C21EFCAB7}"/>
    <cellStyle name="40% - Accent3 2 2 2 2 4" xfId="9217" xr:uid="{398B44A3-CFDE-4E2A-88F5-AB828BF91F3B}"/>
    <cellStyle name="40% - Accent3 2 2 2 2 5" xfId="13428" xr:uid="{DA884548-08F8-4077-A2A8-898B5122C91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20204" xr:uid="{1B5198C8-3FD1-45E4-A880-8A3F6C18FE73}"/>
    <cellStyle name="40% - Accent3 2 2 2 3 2 3" xfId="11775" xr:uid="{11A32D8B-AD9B-43E3-A734-FEAAFAB3E0FF}"/>
    <cellStyle name="40% - Accent3 2 2 2 3 2 4" xfId="15986" xr:uid="{D69B8FD2-0C20-4609-A746-3B66197F1A44}"/>
    <cellStyle name="40% - Accent3 2 2 2 3 3" xfId="5398" xr:uid="{00000000-0005-0000-0000-00000C050000}"/>
    <cellStyle name="40% - Accent3 2 2 2 3 3 2" xfId="18059" xr:uid="{32BBDC59-C8F2-443E-A68A-3B38C1F78FD1}"/>
    <cellStyle name="40% - Accent3 2 2 2 3 4" xfId="9630" xr:uid="{60CB38B4-430A-43F9-A06D-EBE8099990A5}"/>
    <cellStyle name="40% - Accent3 2 2 2 3 5" xfId="13841" xr:uid="{06AD9304-E778-4CCE-938B-45EC4640077B}"/>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20617" xr:uid="{0EAB7955-6AB2-4635-828D-0DEDB2C67905}"/>
    <cellStyle name="40% - Accent3 2 2 2 4 2 3" xfId="12188" xr:uid="{1FAB4C01-ADCE-4C5A-B0B0-778A6AB2E4C1}"/>
    <cellStyle name="40% - Accent3 2 2 2 4 2 4" xfId="16399" xr:uid="{FAEB512D-9D25-466F-8E87-C6901EB1FB97}"/>
    <cellStyle name="40% - Accent3 2 2 2 4 3" xfId="5811" xr:uid="{00000000-0005-0000-0000-000010050000}"/>
    <cellStyle name="40% - Accent3 2 2 2 4 3 2" xfId="18472" xr:uid="{5FBC4EBB-2AD6-4FA6-94D9-B4F6D33BE0B5}"/>
    <cellStyle name="40% - Accent3 2 2 2 4 4" xfId="10043" xr:uid="{B9A7C939-67E6-492B-953A-9617F9FFC8B3}"/>
    <cellStyle name="40% - Accent3 2 2 2 4 5" xfId="14254" xr:uid="{43D3D1C1-8EF7-4695-A26B-727475CC3719}"/>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21030" xr:uid="{C9C08037-F0C8-4C1D-9551-D97F431C28D8}"/>
    <cellStyle name="40% - Accent3 2 2 2 5 2 3" xfId="12601" xr:uid="{6B82ABC3-65B2-4728-BC4F-AA4B68CCAC10}"/>
    <cellStyle name="40% - Accent3 2 2 2 5 2 4" xfId="16812" xr:uid="{C1204977-D631-4E66-A121-6A75E0348725}"/>
    <cellStyle name="40% - Accent3 2 2 2 5 3" xfId="6224" xr:uid="{00000000-0005-0000-0000-000014050000}"/>
    <cellStyle name="40% - Accent3 2 2 2 5 3 2" xfId="18885" xr:uid="{2B815EA6-AB86-43A0-9C44-DF0BAE601653}"/>
    <cellStyle name="40% - Accent3 2 2 2 5 4" xfId="10456" xr:uid="{6BB68021-82C8-4306-B2E7-362692F39C74}"/>
    <cellStyle name="40% - Accent3 2 2 2 5 5" xfId="14667" xr:uid="{241F8136-6A82-4281-B926-4659E14EA12A}"/>
    <cellStyle name="40% - Accent3 2 2 2 6" xfId="2331" xr:uid="{00000000-0005-0000-0000-000015050000}"/>
    <cellStyle name="40% - Accent3 2 2 2 6 2" xfId="6637" xr:uid="{00000000-0005-0000-0000-000016050000}"/>
    <cellStyle name="40% - Accent3 2 2 2 6 2 2" xfId="19298" xr:uid="{8CC350AA-41C6-4A7E-A3A6-D92CA15573FB}"/>
    <cellStyle name="40% - Accent3 2 2 2 6 3" xfId="10869" xr:uid="{9EAB2128-B123-40E6-BA5D-50A54EA0F393}"/>
    <cellStyle name="40% - Accent3 2 2 2 6 4" xfId="15080" xr:uid="{39B733D8-C705-493C-9EEB-9EADCE052F76}"/>
    <cellStyle name="40% - Accent3 2 2 2 7" xfId="4571" xr:uid="{00000000-0005-0000-0000-000017050000}"/>
    <cellStyle name="40% - Accent3 2 2 2 7 2" xfId="17232" xr:uid="{DEE5848B-3573-4804-A9C0-DDD5563DE235}"/>
    <cellStyle name="40% - Accent3 2 2 2 8" xfId="8803" xr:uid="{D05A1EDD-F13C-4616-8C58-4F3B87A30488}"/>
    <cellStyle name="40% - Accent3 2 2 2 9" xfId="13014" xr:uid="{999C5178-6BEA-4563-82FE-6623C646DA63}"/>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9790" xr:uid="{A8F66638-6D26-4389-AFEE-7AA0988F2609}"/>
    <cellStyle name="40% - Accent3 2 2 3 2 3" xfId="11361" xr:uid="{5F3946E0-93D0-4E6E-AEBA-D53EF0553885}"/>
    <cellStyle name="40% - Accent3 2 2 3 2 4" xfId="15572" xr:uid="{ED0825E6-AC8E-432D-9F4E-85E4FE654171}"/>
    <cellStyle name="40% - Accent3 2 2 3 3" xfId="4984" xr:uid="{00000000-0005-0000-0000-00001B050000}"/>
    <cellStyle name="40% - Accent3 2 2 3 3 2" xfId="17645" xr:uid="{F587E06A-D341-4BE8-B716-D754470EF69E}"/>
    <cellStyle name="40% - Accent3 2 2 3 4" xfId="9216" xr:uid="{81698CD2-BAC2-49A5-A3B4-27CF484751AB}"/>
    <cellStyle name="40% - Accent3 2 2 3 5" xfId="13427" xr:uid="{D0E937E8-DF97-4686-BAE3-C616BBFECEE8}"/>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20203" xr:uid="{8B14C1B7-0FB4-4E6C-94DD-6FC4F840D490}"/>
    <cellStyle name="40% - Accent3 2 2 4 2 3" xfId="11774" xr:uid="{6FE4AEDF-084F-434A-B478-C1035F64ADA0}"/>
    <cellStyle name="40% - Accent3 2 2 4 2 4" xfId="15985" xr:uid="{4D346F3F-26D6-484B-8AA9-D5E9BE8AD692}"/>
    <cellStyle name="40% - Accent3 2 2 4 3" xfId="5397" xr:uid="{00000000-0005-0000-0000-00001F050000}"/>
    <cellStyle name="40% - Accent3 2 2 4 3 2" xfId="18058" xr:uid="{3030A4AC-7BAA-4788-9F35-32D73F704DCA}"/>
    <cellStyle name="40% - Accent3 2 2 4 4" xfId="9629" xr:uid="{142F0C87-02F9-4970-9395-4D8C853EA04C}"/>
    <cellStyle name="40% - Accent3 2 2 4 5" xfId="13840" xr:uid="{2CF05AB5-A3EB-44B6-BD52-2C990DDF7CF7}"/>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20616" xr:uid="{2775D543-3B00-4542-9FCC-4A051279BC9B}"/>
    <cellStyle name="40% - Accent3 2 2 5 2 3" xfId="12187" xr:uid="{04270927-669A-4E10-9351-30DAD5A60206}"/>
    <cellStyle name="40% - Accent3 2 2 5 2 4" xfId="16398" xr:uid="{556817E7-5687-4FD1-A5E0-58B330284538}"/>
    <cellStyle name="40% - Accent3 2 2 5 3" xfId="5810" xr:uid="{00000000-0005-0000-0000-000023050000}"/>
    <cellStyle name="40% - Accent3 2 2 5 3 2" xfId="18471" xr:uid="{A5064125-47DB-4AD9-8301-28AE99544307}"/>
    <cellStyle name="40% - Accent3 2 2 5 4" xfId="10042" xr:uid="{BDF00BC7-F2CB-494B-B9FE-F3734CED7E55}"/>
    <cellStyle name="40% - Accent3 2 2 5 5" xfId="14253" xr:uid="{BEC17BA0-2A7B-48F6-BE4A-EC7C580F6BFC}"/>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21029" xr:uid="{65D3CE6D-090D-4DB3-AB4D-477754D69620}"/>
    <cellStyle name="40% - Accent3 2 2 6 2 3" xfId="12600" xr:uid="{8D9FF5A8-FD30-41F7-ACB5-B879D85E57F5}"/>
    <cellStyle name="40% - Accent3 2 2 6 2 4" xfId="16811" xr:uid="{CDB6C4D3-9740-4B98-B8DB-90711F4D7511}"/>
    <cellStyle name="40% - Accent3 2 2 6 3" xfId="6223" xr:uid="{00000000-0005-0000-0000-000027050000}"/>
    <cellStyle name="40% - Accent3 2 2 6 3 2" xfId="18884" xr:uid="{C90EC601-3204-4E38-8DD6-8F0330DE4755}"/>
    <cellStyle name="40% - Accent3 2 2 6 4" xfId="10455" xr:uid="{CCA6A78A-895A-4B42-9EFC-9D7AEB46F361}"/>
    <cellStyle name="40% - Accent3 2 2 6 5" xfId="14666" xr:uid="{316AB829-2A27-4879-9779-44B6587A616B}"/>
    <cellStyle name="40% - Accent3 2 2 7" xfId="2330" xr:uid="{00000000-0005-0000-0000-000028050000}"/>
    <cellStyle name="40% - Accent3 2 2 7 2" xfId="6636" xr:uid="{00000000-0005-0000-0000-000029050000}"/>
    <cellStyle name="40% - Accent3 2 2 7 2 2" xfId="19297" xr:uid="{DABD839B-86CE-45DE-A70A-019377199E19}"/>
    <cellStyle name="40% - Accent3 2 2 7 3" xfId="10868" xr:uid="{4FCC68B6-FFD2-4161-BCE9-E28A119B4910}"/>
    <cellStyle name="40% - Accent3 2 2 7 4" xfId="15079" xr:uid="{FA06DF1A-4980-445E-85A8-48A0E590330B}"/>
    <cellStyle name="40% - Accent3 2 2 8" xfId="4570" xr:uid="{00000000-0005-0000-0000-00002A050000}"/>
    <cellStyle name="40% - Accent3 2 2 8 2" xfId="17231" xr:uid="{5DDC29D4-9082-4664-B7D9-62BFFBB3841C}"/>
    <cellStyle name="40% - Accent3 2 2 9" xfId="8802" xr:uid="{FE4D2203-66CB-4922-A1F3-ED29F3D53A46}"/>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9792" xr:uid="{53796149-7EAD-4F3A-B515-1570E882B878}"/>
    <cellStyle name="40% - Accent3 2 3 2 2 3" xfId="11363" xr:uid="{C395FF2B-3245-4EA4-B031-B40B188BA3EF}"/>
    <cellStyle name="40% - Accent3 2 3 2 2 4" xfId="15574" xr:uid="{7BCB3DA6-001D-4AD1-ACDF-009F9BC8894B}"/>
    <cellStyle name="40% - Accent3 2 3 2 3" xfId="4986" xr:uid="{00000000-0005-0000-0000-00002F050000}"/>
    <cellStyle name="40% - Accent3 2 3 2 3 2" xfId="17647" xr:uid="{10235BBD-8BFB-4BCB-B5CB-227D2C4DEC9D}"/>
    <cellStyle name="40% - Accent3 2 3 2 4" xfId="9218" xr:uid="{65B1B7C6-662A-483C-B810-6674932C7A97}"/>
    <cellStyle name="40% - Accent3 2 3 2 5" xfId="13429" xr:uid="{0F15CCBC-99B2-451D-8F8F-4E0605E4EE71}"/>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20205" xr:uid="{1B588650-CE03-47CC-AB94-8F6E19D3EFCF}"/>
    <cellStyle name="40% - Accent3 2 3 3 2 3" xfId="11776" xr:uid="{6AAFEA2C-09FB-40AE-BCAC-69AEED50C8DE}"/>
    <cellStyle name="40% - Accent3 2 3 3 2 4" xfId="15987" xr:uid="{AA12F575-8E12-4513-A910-246B4F760D82}"/>
    <cellStyle name="40% - Accent3 2 3 3 3" xfId="5399" xr:uid="{00000000-0005-0000-0000-000033050000}"/>
    <cellStyle name="40% - Accent3 2 3 3 3 2" xfId="18060" xr:uid="{82EA29D1-B26C-440B-9978-25A126FEBFC1}"/>
    <cellStyle name="40% - Accent3 2 3 3 4" xfId="9631" xr:uid="{B5C3A19B-0E91-4F61-B18F-82C9298214C7}"/>
    <cellStyle name="40% - Accent3 2 3 3 5" xfId="13842" xr:uid="{F1A82B40-6CBC-4D1D-BFAA-F375AF22BB19}"/>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20618" xr:uid="{6AA24909-735F-46DE-9714-1F82B7EE3376}"/>
    <cellStyle name="40% - Accent3 2 3 4 2 3" xfId="12189" xr:uid="{AD4DF1A5-8CB9-49A0-81D2-1709D242942C}"/>
    <cellStyle name="40% - Accent3 2 3 4 2 4" xfId="16400" xr:uid="{945CB4F0-4A8C-498F-AA87-EDC82D06139D}"/>
    <cellStyle name="40% - Accent3 2 3 4 3" xfId="5812" xr:uid="{00000000-0005-0000-0000-000037050000}"/>
    <cellStyle name="40% - Accent3 2 3 4 3 2" xfId="18473" xr:uid="{C954B4DD-8DCF-438A-875C-F234F2283DC7}"/>
    <cellStyle name="40% - Accent3 2 3 4 4" xfId="10044" xr:uid="{FA24F41C-CF3D-475D-83CF-63FFAD8D221C}"/>
    <cellStyle name="40% - Accent3 2 3 4 5" xfId="14255" xr:uid="{627F6C47-1E73-4356-BDE5-8F76DD13CDE9}"/>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21031" xr:uid="{56D1AFDD-99B3-4DC4-B00F-E81966D2BF44}"/>
    <cellStyle name="40% - Accent3 2 3 5 2 3" xfId="12602" xr:uid="{D6723CDF-9259-48B9-A110-8F20E4C4BEDA}"/>
    <cellStyle name="40% - Accent3 2 3 5 2 4" xfId="16813" xr:uid="{0D485157-85F3-4098-9F45-967697531874}"/>
    <cellStyle name="40% - Accent3 2 3 5 3" xfId="6225" xr:uid="{00000000-0005-0000-0000-00003B050000}"/>
    <cellStyle name="40% - Accent3 2 3 5 3 2" xfId="18886" xr:uid="{9D09C0ED-9BDD-4429-B386-C7426BCAF3E3}"/>
    <cellStyle name="40% - Accent3 2 3 5 4" xfId="10457" xr:uid="{40F1E1EE-B679-4462-9C73-8A7752F3CAC4}"/>
    <cellStyle name="40% - Accent3 2 3 5 5" xfId="14668" xr:uid="{1D0FAF61-99BE-47AE-A662-951E5E448807}"/>
    <cellStyle name="40% - Accent3 2 3 6" xfId="2332" xr:uid="{00000000-0005-0000-0000-00003C050000}"/>
    <cellStyle name="40% - Accent3 2 3 6 2" xfId="6638" xr:uid="{00000000-0005-0000-0000-00003D050000}"/>
    <cellStyle name="40% - Accent3 2 3 6 2 2" xfId="19299" xr:uid="{2A89FD7B-EB98-452C-B0D9-3EE7AC41BED8}"/>
    <cellStyle name="40% - Accent3 2 3 6 3" xfId="10870" xr:uid="{6EB5676F-7C5C-4D73-997B-75DDF9B56633}"/>
    <cellStyle name="40% - Accent3 2 3 6 4" xfId="15081" xr:uid="{5EB260B7-90CC-4AB0-833B-A3AAE0C5363F}"/>
    <cellStyle name="40% - Accent3 2 3 7" xfId="4572" xr:uid="{00000000-0005-0000-0000-00003E050000}"/>
    <cellStyle name="40% - Accent3 2 3 7 2" xfId="17233" xr:uid="{317FC1F6-3FF3-4639-A7AF-F7A233046B7D}"/>
    <cellStyle name="40% - Accent3 2 3 8" xfId="8804" xr:uid="{27A27D4B-5BB5-424A-8D65-ABDF822E16E2}"/>
    <cellStyle name="40% - Accent3 2 3 9" xfId="13015" xr:uid="{DB73DE04-3202-4930-92BA-999DD415848B}"/>
    <cellStyle name="40% - Accent3 2 4" xfId="635" xr:uid="{00000000-0005-0000-0000-00003F050000}"/>
    <cellStyle name="40% - Accent3 2 4 2" xfId="2906" xr:uid="{00000000-0005-0000-0000-000040050000}"/>
    <cellStyle name="40% - Accent3 2 4 2 2" xfId="7128" xr:uid="{00000000-0005-0000-0000-000041050000}"/>
    <cellStyle name="40% - Accent3 2 4 2 2 2" xfId="19789" xr:uid="{6F05D3AE-8BD2-45E9-9416-AFE74DC451B3}"/>
    <cellStyle name="40% - Accent3 2 4 2 3" xfId="11360" xr:uid="{E7AD4D2D-C170-40C6-A197-CD47DAEDD793}"/>
    <cellStyle name="40% - Accent3 2 4 2 4" xfId="15571" xr:uid="{8FB37839-4F87-4735-9173-48FBBE423C39}"/>
    <cellStyle name="40% - Accent3 2 4 3" xfId="4983" xr:uid="{00000000-0005-0000-0000-000042050000}"/>
    <cellStyle name="40% - Accent3 2 4 3 2" xfId="17644" xr:uid="{EA66EAA3-45D5-4E68-859D-D9B3DE2FBEB0}"/>
    <cellStyle name="40% - Accent3 2 4 4" xfId="9215" xr:uid="{56F39FBC-5888-4B81-8CB1-92FD012D2C43}"/>
    <cellStyle name="40% - Accent3 2 4 5" xfId="13426" xr:uid="{2894E804-979E-4027-B3F9-4D6BCBFCD731}"/>
    <cellStyle name="40% - Accent3 2 5" xfId="1088" xr:uid="{00000000-0005-0000-0000-000043050000}"/>
    <cellStyle name="40% - Accent3 2 5 2" xfId="3319" xr:uid="{00000000-0005-0000-0000-000044050000}"/>
    <cellStyle name="40% - Accent3 2 5 2 2" xfId="7541" xr:uid="{00000000-0005-0000-0000-000045050000}"/>
    <cellStyle name="40% - Accent3 2 5 2 2 2" xfId="20202" xr:uid="{1A2B9A4C-E3AA-4C1D-BE5C-FFC582B320B3}"/>
    <cellStyle name="40% - Accent3 2 5 2 3" xfId="11773" xr:uid="{E03CFE90-CE27-4E8F-AF71-75CE2382F1FB}"/>
    <cellStyle name="40% - Accent3 2 5 2 4" xfId="15984" xr:uid="{B8B35459-4306-4451-8046-0A85A241E408}"/>
    <cellStyle name="40% - Accent3 2 5 3" xfId="5396" xr:uid="{00000000-0005-0000-0000-000046050000}"/>
    <cellStyle name="40% - Accent3 2 5 3 2" xfId="18057" xr:uid="{2324F9B2-88B4-4532-A727-611532403999}"/>
    <cellStyle name="40% - Accent3 2 5 4" xfId="9628" xr:uid="{35AB4097-0743-4A5E-B9DD-C49F9244E22C}"/>
    <cellStyle name="40% - Accent3 2 5 5" xfId="13839" xr:uid="{5A1B9950-E910-4170-B1FE-5AF8BD34C023}"/>
    <cellStyle name="40% - Accent3 2 6" xfId="1502" xr:uid="{00000000-0005-0000-0000-000047050000}"/>
    <cellStyle name="40% - Accent3 2 6 2" xfId="3732" xr:uid="{00000000-0005-0000-0000-000048050000}"/>
    <cellStyle name="40% - Accent3 2 6 2 2" xfId="7954" xr:uid="{00000000-0005-0000-0000-000049050000}"/>
    <cellStyle name="40% - Accent3 2 6 2 2 2" xfId="20615" xr:uid="{F7715062-5FD7-4FC7-B31B-B0D9BF284C96}"/>
    <cellStyle name="40% - Accent3 2 6 2 3" xfId="12186" xr:uid="{2A714BE0-6567-491E-8D73-3B15BAE63AD0}"/>
    <cellStyle name="40% - Accent3 2 6 2 4" xfId="16397" xr:uid="{4CB80F17-8377-40D1-8B0D-9DA6866FAA81}"/>
    <cellStyle name="40% - Accent3 2 6 3" xfId="5809" xr:uid="{00000000-0005-0000-0000-00004A050000}"/>
    <cellStyle name="40% - Accent3 2 6 3 2" xfId="18470" xr:uid="{B18DA092-24A3-46A3-AEF9-37BFFEB3BEA7}"/>
    <cellStyle name="40% - Accent3 2 6 4" xfId="10041" xr:uid="{B00955D0-7F84-49BF-A700-383F4821665D}"/>
    <cellStyle name="40% - Accent3 2 6 5" xfId="14252" xr:uid="{18CE32B5-166E-4006-9B58-D0F1E310DADB}"/>
    <cellStyle name="40% - Accent3 2 7" xfId="1916" xr:uid="{00000000-0005-0000-0000-00004B050000}"/>
    <cellStyle name="40% - Accent3 2 7 2" xfId="4145" xr:uid="{00000000-0005-0000-0000-00004C050000}"/>
    <cellStyle name="40% - Accent3 2 7 2 2" xfId="8367" xr:uid="{00000000-0005-0000-0000-00004D050000}"/>
    <cellStyle name="40% - Accent3 2 7 2 2 2" xfId="21028" xr:uid="{9C3A26F8-D15C-45D3-85E5-A2AF66B31C93}"/>
    <cellStyle name="40% - Accent3 2 7 2 3" xfId="12599" xr:uid="{AF25436D-2444-4769-86F1-1CCE536258BA}"/>
    <cellStyle name="40% - Accent3 2 7 2 4" xfId="16810" xr:uid="{29B1559D-9436-4724-92FE-27B6D0D83C4A}"/>
    <cellStyle name="40% - Accent3 2 7 3" xfId="6222" xr:uid="{00000000-0005-0000-0000-00004E050000}"/>
    <cellStyle name="40% - Accent3 2 7 3 2" xfId="18883" xr:uid="{B6028848-14F2-46F6-97D7-CAAD41BAA5E6}"/>
    <cellStyle name="40% - Accent3 2 7 4" xfId="10454" xr:uid="{2B4845B8-6075-4470-A1D1-C595C3F7E08C}"/>
    <cellStyle name="40% - Accent3 2 7 5" xfId="14665" xr:uid="{1367C480-8DD4-49A0-ABD9-BAA291910EE4}"/>
    <cellStyle name="40% - Accent3 2 8" xfId="2329" xr:uid="{00000000-0005-0000-0000-00004F050000}"/>
    <cellStyle name="40% - Accent3 2 8 2" xfId="6635" xr:uid="{00000000-0005-0000-0000-000050050000}"/>
    <cellStyle name="40% - Accent3 2 8 2 2" xfId="19296" xr:uid="{734940ED-00A1-4A0A-892D-9A5718774CDA}"/>
    <cellStyle name="40% - Accent3 2 8 3" xfId="10867" xr:uid="{07423A3D-3301-4170-B680-0D07B23E6BCA}"/>
    <cellStyle name="40% - Accent3 2 8 4" xfId="15078" xr:uid="{ACD564CF-5710-4470-B83D-41F3D4086E3C}"/>
    <cellStyle name="40% - Accent3 2 9" xfId="4569" xr:uid="{00000000-0005-0000-0000-000051050000}"/>
    <cellStyle name="40% - Accent3 2 9 2" xfId="17230" xr:uid="{BB9DA256-C3ED-41A0-9871-34196D05559C}"/>
    <cellStyle name="40% - Accent3 3" xfId="70" xr:uid="{00000000-0005-0000-0000-000052050000}"/>
    <cellStyle name="40% - Accent3 3 10" xfId="13016" xr:uid="{5C4A66F9-CE76-4592-A70F-934A377DFE1C}"/>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9794" xr:uid="{AC868181-1DC1-4CCF-8FF2-7702EC1567C1}"/>
    <cellStyle name="40% - Accent3 3 2 2 2 3" xfId="11365" xr:uid="{63E78181-40AD-4346-B293-715E749DB5FA}"/>
    <cellStyle name="40% - Accent3 3 2 2 2 4" xfId="15576" xr:uid="{06BE9FA5-F878-42BB-AE76-08BC36326B22}"/>
    <cellStyle name="40% - Accent3 3 2 2 3" xfId="4988" xr:uid="{00000000-0005-0000-0000-000057050000}"/>
    <cellStyle name="40% - Accent3 3 2 2 3 2" xfId="17649" xr:uid="{F3F4243F-88AB-4FF4-BC82-E0DBE373190A}"/>
    <cellStyle name="40% - Accent3 3 2 2 4" xfId="9220" xr:uid="{DCDFE1F2-C19B-49F0-A109-0821F27EDBA3}"/>
    <cellStyle name="40% - Accent3 3 2 2 5" xfId="13431" xr:uid="{080BC817-936E-4904-86BE-3178D048F3EF}"/>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20207" xr:uid="{4C3332B3-C656-4801-9BFA-B317E55EA24A}"/>
    <cellStyle name="40% - Accent3 3 2 3 2 3" xfId="11778" xr:uid="{35FA1089-04A2-497F-AF7A-BA2A1FC4AA3A}"/>
    <cellStyle name="40% - Accent3 3 2 3 2 4" xfId="15989" xr:uid="{7B587E49-3A9F-4421-81E4-A88818E76CEA}"/>
    <cellStyle name="40% - Accent3 3 2 3 3" xfId="5401" xr:uid="{00000000-0005-0000-0000-00005B050000}"/>
    <cellStyle name="40% - Accent3 3 2 3 3 2" xfId="18062" xr:uid="{DF3E1BCA-98CA-4E9E-AFF1-D569CD371E57}"/>
    <cellStyle name="40% - Accent3 3 2 3 4" xfId="9633" xr:uid="{D9AD2650-79E1-4461-B02C-54D902E53C99}"/>
    <cellStyle name="40% - Accent3 3 2 3 5" xfId="13844" xr:uid="{258A47EF-2F7B-461D-A00E-442396BF0DE1}"/>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20620" xr:uid="{C16731BA-3D00-447E-B799-C172FABB9DA9}"/>
    <cellStyle name="40% - Accent3 3 2 4 2 3" xfId="12191" xr:uid="{E00ED279-3138-4A05-8FFB-F3F0FF14AB0E}"/>
    <cellStyle name="40% - Accent3 3 2 4 2 4" xfId="16402" xr:uid="{E484A3BC-E435-4208-9BDA-A023D91FD6AC}"/>
    <cellStyle name="40% - Accent3 3 2 4 3" xfId="5814" xr:uid="{00000000-0005-0000-0000-00005F050000}"/>
    <cellStyle name="40% - Accent3 3 2 4 3 2" xfId="18475" xr:uid="{26E599BA-1DFD-40C6-ACB4-BC522AE3BAC5}"/>
    <cellStyle name="40% - Accent3 3 2 4 4" xfId="10046" xr:uid="{79A74000-344B-40A0-A1D6-D5049705C71E}"/>
    <cellStyle name="40% - Accent3 3 2 4 5" xfId="14257" xr:uid="{ACD1341F-EE59-4C86-B342-83A9A6EFA2D2}"/>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21033" xr:uid="{1B1CA692-631E-4171-9046-DECED2EF9B5A}"/>
    <cellStyle name="40% - Accent3 3 2 5 2 3" xfId="12604" xr:uid="{F1088E99-8E08-4A62-AC6C-9A9610B5D2D7}"/>
    <cellStyle name="40% - Accent3 3 2 5 2 4" xfId="16815" xr:uid="{0F0AE441-C891-4D97-BD14-12E139851FEE}"/>
    <cellStyle name="40% - Accent3 3 2 5 3" xfId="6227" xr:uid="{00000000-0005-0000-0000-000063050000}"/>
    <cellStyle name="40% - Accent3 3 2 5 3 2" xfId="18888" xr:uid="{ACB3FBB6-C735-4C02-926B-E1879F318806}"/>
    <cellStyle name="40% - Accent3 3 2 5 4" xfId="10459" xr:uid="{3EACD107-096F-45BB-A258-40779656DA48}"/>
    <cellStyle name="40% - Accent3 3 2 5 5" xfId="14670" xr:uid="{34173BDB-6751-4925-93AA-6E910576CD0F}"/>
    <cellStyle name="40% - Accent3 3 2 6" xfId="2334" xr:uid="{00000000-0005-0000-0000-000064050000}"/>
    <cellStyle name="40% - Accent3 3 2 6 2" xfId="6640" xr:uid="{00000000-0005-0000-0000-000065050000}"/>
    <cellStyle name="40% - Accent3 3 2 6 2 2" xfId="19301" xr:uid="{F679DD56-8D82-4F29-BBCF-21A196745D3D}"/>
    <cellStyle name="40% - Accent3 3 2 6 3" xfId="10872" xr:uid="{E6DC70FC-1848-40BF-BA0F-A7CD23058E88}"/>
    <cellStyle name="40% - Accent3 3 2 6 4" xfId="15083" xr:uid="{14228217-AAC6-4182-8FCD-7A1FF9C764C0}"/>
    <cellStyle name="40% - Accent3 3 2 7" xfId="4574" xr:uid="{00000000-0005-0000-0000-000066050000}"/>
    <cellStyle name="40% - Accent3 3 2 7 2" xfId="17235" xr:uid="{C268E018-02CD-42B6-8FC4-D5976821DC5E}"/>
    <cellStyle name="40% - Accent3 3 2 8" xfId="8806" xr:uid="{B3EA2B16-13C2-48A1-BD32-02D8388840A6}"/>
    <cellStyle name="40% - Accent3 3 2 9" xfId="13017" xr:uid="{B90B5780-1D6E-4D13-A243-054C31407F5B}"/>
    <cellStyle name="40% - Accent3 3 3" xfId="639" xr:uid="{00000000-0005-0000-0000-000067050000}"/>
    <cellStyle name="40% - Accent3 3 3 2" xfId="2910" xr:uid="{00000000-0005-0000-0000-000068050000}"/>
    <cellStyle name="40% - Accent3 3 3 2 2" xfId="7132" xr:uid="{00000000-0005-0000-0000-000069050000}"/>
    <cellStyle name="40% - Accent3 3 3 2 2 2" xfId="19793" xr:uid="{AF292A05-B158-4855-87AD-34DA986741A3}"/>
    <cellStyle name="40% - Accent3 3 3 2 3" xfId="11364" xr:uid="{24005E7B-5BF2-43B2-8497-9E11BAFE6EA1}"/>
    <cellStyle name="40% - Accent3 3 3 2 4" xfId="15575" xr:uid="{05C9080A-F3F4-4C1B-ABC4-9AA1F39382F3}"/>
    <cellStyle name="40% - Accent3 3 3 3" xfId="4987" xr:uid="{00000000-0005-0000-0000-00006A050000}"/>
    <cellStyle name="40% - Accent3 3 3 3 2" xfId="17648" xr:uid="{D96287D3-BE2B-4149-A299-7AB92FEC8616}"/>
    <cellStyle name="40% - Accent3 3 3 4" xfId="9219" xr:uid="{67219B03-7655-497C-A7A9-8AD3CC605155}"/>
    <cellStyle name="40% - Accent3 3 3 5" xfId="13430" xr:uid="{C8E68B4E-F46E-4B15-B3DC-7BBB52B467C7}"/>
    <cellStyle name="40% - Accent3 3 4" xfId="1092" xr:uid="{00000000-0005-0000-0000-00006B050000}"/>
    <cellStyle name="40% - Accent3 3 4 2" xfId="3323" xr:uid="{00000000-0005-0000-0000-00006C050000}"/>
    <cellStyle name="40% - Accent3 3 4 2 2" xfId="7545" xr:uid="{00000000-0005-0000-0000-00006D050000}"/>
    <cellStyle name="40% - Accent3 3 4 2 2 2" xfId="20206" xr:uid="{D2D4ABEB-33CD-4A6C-8D4F-90492009587B}"/>
    <cellStyle name="40% - Accent3 3 4 2 3" xfId="11777" xr:uid="{8C4431AC-00F8-4CE6-B3EE-CAF49D33DFE7}"/>
    <cellStyle name="40% - Accent3 3 4 2 4" xfId="15988" xr:uid="{2A08E8C3-5ACA-41B8-B637-60351BB5EA67}"/>
    <cellStyle name="40% - Accent3 3 4 3" xfId="5400" xr:uid="{00000000-0005-0000-0000-00006E050000}"/>
    <cellStyle name="40% - Accent3 3 4 3 2" xfId="18061" xr:uid="{57C7AFF6-A76D-48AA-900D-9BE2BB8EFEF7}"/>
    <cellStyle name="40% - Accent3 3 4 4" xfId="9632" xr:uid="{D6EC47DD-EDB4-4298-B958-FAE244A5A950}"/>
    <cellStyle name="40% - Accent3 3 4 5" xfId="13843" xr:uid="{9897338B-7338-4420-B8B0-83AF24B72199}"/>
    <cellStyle name="40% - Accent3 3 5" xfId="1506" xr:uid="{00000000-0005-0000-0000-00006F050000}"/>
    <cellStyle name="40% - Accent3 3 5 2" xfId="3736" xr:uid="{00000000-0005-0000-0000-000070050000}"/>
    <cellStyle name="40% - Accent3 3 5 2 2" xfId="7958" xr:uid="{00000000-0005-0000-0000-000071050000}"/>
    <cellStyle name="40% - Accent3 3 5 2 2 2" xfId="20619" xr:uid="{57EF8C49-2848-4487-A6B9-9F1976F03677}"/>
    <cellStyle name="40% - Accent3 3 5 2 3" xfId="12190" xr:uid="{FC3B3124-DB76-4D48-9132-0C226A10E47E}"/>
    <cellStyle name="40% - Accent3 3 5 2 4" xfId="16401" xr:uid="{7C2F5966-2D0B-42F4-8431-AD4EB55F820C}"/>
    <cellStyle name="40% - Accent3 3 5 3" xfId="5813" xr:uid="{00000000-0005-0000-0000-000072050000}"/>
    <cellStyle name="40% - Accent3 3 5 3 2" xfId="18474" xr:uid="{332CC9EC-BBA9-4428-8355-840A94F9F20A}"/>
    <cellStyle name="40% - Accent3 3 5 4" xfId="10045" xr:uid="{12688FE9-F905-45F7-B1D7-C4383380801A}"/>
    <cellStyle name="40% - Accent3 3 5 5" xfId="14256" xr:uid="{6C8F3CE9-091C-4218-B878-36D7846D6FE1}"/>
    <cellStyle name="40% - Accent3 3 6" xfId="1920" xr:uid="{00000000-0005-0000-0000-000073050000}"/>
    <cellStyle name="40% - Accent3 3 6 2" xfId="4149" xr:uid="{00000000-0005-0000-0000-000074050000}"/>
    <cellStyle name="40% - Accent3 3 6 2 2" xfId="8371" xr:uid="{00000000-0005-0000-0000-000075050000}"/>
    <cellStyle name="40% - Accent3 3 6 2 2 2" xfId="21032" xr:uid="{CA38B2DF-7AE3-40D0-827A-58C0251C2C36}"/>
    <cellStyle name="40% - Accent3 3 6 2 3" xfId="12603" xr:uid="{A3E09BDD-E61A-4636-AF9C-580F28523BB3}"/>
    <cellStyle name="40% - Accent3 3 6 2 4" xfId="16814" xr:uid="{A94961AE-FE6A-4B38-A270-575F39CEDD9D}"/>
    <cellStyle name="40% - Accent3 3 6 3" xfId="6226" xr:uid="{00000000-0005-0000-0000-000076050000}"/>
    <cellStyle name="40% - Accent3 3 6 3 2" xfId="18887" xr:uid="{61C29580-FA41-4988-B94B-4359FC96E131}"/>
    <cellStyle name="40% - Accent3 3 6 4" xfId="10458" xr:uid="{283060BF-4044-4EF7-8AB8-2FC8D7E493BF}"/>
    <cellStyle name="40% - Accent3 3 6 5" xfId="14669" xr:uid="{43C22423-A4E8-4F6E-B9A8-5AC27AD5EE33}"/>
    <cellStyle name="40% - Accent3 3 7" xfId="2333" xr:uid="{00000000-0005-0000-0000-000077050000}"/>
    <cellStyle name="40% - Accent3 3 7 2" xfId="6639" xr:uid="{00000000-0005-0000-0000-000078050000}"/>
    <cellStyle name="40% - Accent3 3 7 2 2" xfId="19300" xr:uid="{71BEF404-73EE-4B42-AD8D-F3FF624F7246}"/>
    <cellStyle name="40% - Accent3 3 7 3" xfId="10871" xr:uid="{493D92C8-0B00-4B85-923C-18A5F4DB68BF}"/>
    <cellStyle name="40% - Accent3 3 7 4" xfId="15082" xr:uid="{EAF728D8-AF7F-471B-B0E3-66908EA1C7AE}"/>
    <cellStyle name="40% - Accent3 3 8" xfId="4573" xr:uid="{00000000-0005-0000-0000-000079050000}"/>
    <cellStyle name="40% - Accent3 3 8 2" xfId="17234" xr:uid="{C2B55BC9-A56A-4254-A527-312998033307}"/>
    <cellStyle name="40% - Accent3 3 9" xfId="8805" xr:uid="{C749E24D-CFF4-49BE-8B5D-3AF10F5583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9795" xr:uid="{421801A2-9853-4298-8EE5-27A99928DE12}"/>
    <cellStyle name="40% - Accent3 4 2 2 3" xfId="11366" xr:uid="{F6268D6C-15E3-43C3-88AD-902E592E0873}"/>
    <cellStyle name="40% - Accent3 4 2 2 4" xfId="15577" xr:uid="{16557CFA-C9F1-4AE4-AD8B-189D93F3B213}"/>
    <cellStyle name="40% - Accent3 4 2 3" xfId="4989" xr:uid="{00000000-0005-0000-0000-00007E050000}"/>
    <cellStyle name="40% - Accent3 4 2 3 2" xfId="17650" xr:uid="{16533A25-4692-4201-A3FC-A26E6FA4F438}"/>
    <cellStyle name="40% - Accent3 4 2 4" xfId="9221" xr:uid="{A343530D-4A00-4047-8663-9620F01193A3}"/>
    <cellStyle name="40% - Accent3 4 2 5" xfId="13432" xr:uid="{C4A5C3C1-2A98-4BAA-AA1E-A6C2F6E8090C}"/>
    <cellStyle name="40% - Accent3 4 3" xfId="1094" xr:uid="{00000000-0005-0000-0000-00007F050000}"/>
    <cellStyle name="40% - Accent3 4 3 2" xfId="3325" xr:uid="{00000000-0005-0000-0000-000080050000}"/>
    <cellStyle name="40% - Accent3 4 3 2 2" xfId="7547" xr:uid="{00000000-0005-0000-0000-000081050000}"/>
    <cellStyle name="40% - Accent3 4 3 2 2 2" xfId="20208" xr:uid="{7C346927-05C6-4AF5-896D-EDABE6F3E1D0}"/>
    <cellStyle name="40% - Accent3 4 3 2 3" xfId="11779" xr:uid="{3D88C341-6768-4342-A839-E2D89A0A2383}"/>
    <cellStyle name="40% - Accent3 4 3 2 4" xfId="15990" xr:uid="{4BAB8C44-33D6-4DC4-86FA-8DC0D47BE331}"/>
    <cellStyle name="40% - Accent3 4 3 3" xfId="5402" xr:uid="{00000000-0005-0000-0000-000082050000}"/>
    <cellStyle name="40% - Accent3 4 3 3 2" xfId="18063" xr:uid="{D444234B-C85C-4489-8167-F701C5461357}"/>
    <cellStyle name="40% - Accent3 4 3 4" xfId="9634" xr:uid="{E6D1939B-52EC-435D-83B6-6BFA519DA77C}"/>
    <cellStyle name="40% - Accent3 4 3 5" xfId="13845" xr:uid="{9DC5726A-24F9-4E37-96C5-1F88055AE41D}"/>
    <cellStyle name="40% - Accent3 4 4" xfId="1508" xr:uid="{00000000-0005-0000-0000-000083050000}"/>
    <cellStyle name="40% - Accent3 4 4 2" xfId="3738" xr:uid="{00000000-0005-0000-0000-000084050000}"/>
    <cellStyle name="40% - Accent3 4 4 2 2" xfId="7960" xr:uid="{00000000-0005-0000-0000-000085050000}"/>
    <cellStyle name="40% - Accent3 4 4 2 2 2" xfId="20621" xr:uid="{53E0AF92-D09A-48EB-8B4F-695E062FC5DE}"/>
    <cellStyle name="40% - Accent3 4 4 2 3" xfId="12192" xr:uid="{97C55078-31A1-4FB2-926A-FBA290AF0A66}"/>
    <cellStyle name="40% - Accent3 4 4 2 4" xfId="16403" xr:uid="{3D6801FC-FCBC-45CA-9CD5-117FA4A9D815}"/>
    <cellStyle name="40% - Accent3 4 4 3" xfId="5815" xr:uid="{00000000-0005-0000-0000-000086050000}"/>
    <cellStyle name="40% - Accent3 4 4 3 2" xfId="18476" xr:uid="{E8EDC7E6-B011-4E97-A054-D6C63B024C90}"/>
    <cellStyle name="40% - Accent3 4 4 4" xfId="10047" xr:uid="{022A323D-3A1C-4301-B3CB-77DEE4DD4755}"/>
    <cellStyle name="40% - Accent3 4 4 5" xfId="14258" xr:uid="{505228ED-4873-4C58-9932-1F0912CC3CA1}"/>
    <cellStyle name="40% - Accent3 4 5" xfId="1922" xr:uid="{00000000-0005-0000-0000-000087050000}"/>
    <cellStyle name="40% - Accent3 4 5 2" xfId="4151" xr:uid="{00000000-0005-0000-0000-000088050000}"/>
    <cellStyle name="40% - Accent3 4 5 2 2" xfId="8373" xr:uid="{00000000-0005-0000-0000-000089050000}"/>
    <cellStyle name="40% - Accent3 4 5 2 2 2" xfId="21034" xr:uid="{D562E1A4-573F-4968-AC19-1FC5B28B47D5}"/>
    <cellStyle name="40% - Accent3 4 5 2 3" xfId="12605" xr:uid="{9EE99762-AFBD-4733-AAF9-4D86C003AF94}"/>
    <cellStyle name="40% - Accent3 4 5 2 4" xfId="16816" xr:uid="{713CDCBE-9984-439C-B195-AC8285C61F82}"/>
    <cellStyle name="40% - Accent3 4 5 3" xfId="6228" xr:uid="{00000000-0005-0000-0000-00008A050000}"/>
    <cellStyle name="40% - Accent3 4 5 3 2" xfId="18889" xr:uid="{C1CF9BFD-FCFF-4F83-BEFE-A9F740A6DC64}"/>
    <cellStyle name="40% - Accent3 4 5 4" xfId="10460" xr:uid="{83AA1F7F-0308-4743-88A8-D585453593FA}"/>
    <cellStyle name="40% - Accent3 4 5 5" xfId="14671" xr:uid="{70B77D49-5385-48FB-B452-3B189217E9B1}"/>
    <cellStyle name="40% - Accent3 4 6" xfId="2335" xr:uid="{00000000-0005-0000-0000-00008B050000}"/>
    <cellStyle name="40% - Accent3 4 6 2" xfId="6641" xr:uid="{00000000-0005-0000-0000-00008C050000}"/>
    <cellStyle name="40% - Accent3 4 6 2 2" xfId="19302" xr:uid="{887D1CA3-7A92-4469-8235-61AE5597B59D}"/>
    <cellStyle name="40% - Accent3 4 6 3" xfId="10873" xr:uid="{D9326B07-1EEC-45ED-A2BA-D2F0BF1D022B}"/>
    <cellStyle name="40% - Accent3 4 6 4" xfId="15084" xr:uid="{3717209F-85FE-4F77-B79A-04356DDEC9E3}"/>
    <cellStyle name="40% - Accent3 4 7" xfId="4575" xr:uid="{00000000-0005-0000-0000-00008D050000}"/>
    <cellStyle name="40% - Accent3 4 7 2" xfId="17236" xr:uid="{E8F90ECB-CFD7-4349-86B0-FCC280618340}"/>
    <cellStyle name="40% - Accent3 4 8" xfId="8807" xr:uid="{EB8553F0-9C72-4FB5-BA5F-C5715288C4A8}"/>
    <cellStyle name="40% - Accent3 4 9" xfId="13018" xr:uid="{784BB9E0-A6E6-44E7-8026-E92C39820CF2}"/>
    <cellStyle name="40% - Accent3 5" xfId="634" xr:uid="{00000000-0005-0000-0000-00008E050000}"/>
    <cellStyle name="40% - Accent3 5 2" xfId="2905" xr:uid="{00000000-0005-0000-0000-00008F050000}"/>
    <cellStyle name="40% - Accent3 5 2 2" xfId="7127" xr:uid="{00000000-0005-0000-0000-000090050000}"/>
    <cellStyle name="40% - Accent3 5 2 2 2" xfId="19788" xr:uid="{76B650B0-8B91-4D26-8951-D72FC83F59AD}"/>
    <cellStyle name="40% - Accent3 5 2 3" xfId="11359" xr:uid="{A4A157B0-EACF-4564-A47F-57CB7176D614}"/>
    <cellStyle name="40% - Accent3 5 2 4" xfId="15570" xr:uid="{01302258-5F00-4961-8E29-F30A737068F2}"/>
    <cellStyle name="40% - Accent3 5 3" xfId="4982" xr:uid="{00000000-0005-0000-0000-000091050000}"/>
    <cellStyle name="40% - Accent3 5 3 2" xfId="17643" xr:uid="{8F843C4E-52CF-4A55-808A-19F0DC474070}"/>
    <cellStyle name="40% - Accent3 5 4" xfId="9214" xr:uid="{5D8C9DAF-4CB5-40C4-AF2F-25EF1251F175}"/>
    <cellStyle name="40% - Accent3 5 5" xfId="13425" xr:uid="{60474289-D816-4FB6-8246-69856979A464}"/>
    <cellStyle name="40% - Accent3 6" xfId="1087" xr:uid="{00000000-0005-0000-0000-000092050000}"/>
    <cellStyle name="40% - Accent3 6 2" xfId="3318" xr:uid="{00000000-0005-0000-0000-000093050000}"/>
    <cellStyle name="40% - Accent3 6 2 2" xfId="7540" xr:uid="{00000000-0005-0000-0000-000094050000}"/>
    <cellStyle name="40% - Accent3 6 2 2 2" xfId="20201" xr:uid="{E9DEA7C9-7B62-4E56-A90F-CE4625F53F0E}"/>
    <cellStyle name="40% - Accent3 6 2 3" xfId="11772" xr:uid="{0641D410-671B-44A0-B00A-84BD45FB354E}"/>
    <cellStyle name="40% - Accent3 6 2 4" xfId="15983" xr:uid="{B5BD15AC-A0B5-46BF-8C0B-D9CE1A9C8A04}"/>
    <cellStyle name="40% - Accent3 6 3" xfId="5395" xr:uid="{00000000-0005-0000-0000-000095050000}"/>
    <cellStyle name="40% - Accent3 6 3 2" xfId="18056" xr:uid="{3E2A8EE6-00C0-4FDB-B5F1-5C219C69C419}"/>
    <cellStyle name="40% - Accent3 6 4" xfId="9627" xr:uid="{E8DBD9F8-8F56-4F1B-B005-8BF14E053BEB}"/>
    <cellStyle name="40% - Accent3 6 5" xfId="13838" xr:uid="{F9CD2C9C-7A55-461D-AD8F-04323C2A0BE4}"/>
    <cellStyle name="40% - Accent3 7" xfId="1501" xr:uid="{00000000-0005-0000-0000-000096050000}"/>
    <cellStyle name="40% - Accent3 7 2" xfId="3731" xr:uid="{00000000-0005-0000-0000-000097050000}"/>
    <cellStyle name="40% - Accent3 7 2 2" xfId="7953" xr:uid="{00000000-0005-0000-0000-000098050000}"/>
    <cellStyle name="40% - Accent3 7 2 2 2" xfId="20614" xr:uid="{4323AF8D-C474-409D-A448-53DA31744158}"/>
    <cellStyle name="40% - Accent3 7 2 3" xfId="12185" xr:uid="{0B167D47-AF2C-4EDA-AB1D-E62601ED6827}"/>
    <cellStyle name="40% - Accent3 7 2 4" xfId="16396" xr:uid="{45ACD3A7-5B87-47CA-A123-EA24DBC8A72E}"/>
    <cellStyle name="40% - Accent3 7 3" xfId="5808" xr:uid="{00000000-0005-0000-0000-000099050000}"/>
    <cellStyle name="40% - Accent3 7 3 2" xfId="18469" xr:uid="{3C9E5012-0BE1-4781-A985-287BC45CD243}"/>
    <cellStyle name="40% - Accent3 7 4" xfId="10040" xr:uid="{2520E4D3-7DAC-43AB-89DF-4976A81CD1AB}"/>
    <cellStyle name="40% - Accent3 7 5" xfId="14251" xr:uid="{6E9F854E-7EC1-4FE6-8B72-1971213C8F58}"/>
    <cellStyle name="40% - Accent3 8" xfId="1915" xr:uid="{00000000-0005-0000-0000-00009A050000}"/>
    <cellStyle name="40% - Accent3 8 2" xfId="4144" xr:uid="{00000000-0005-0000-0000-00009B050000}"/>
    <cellStyle name="40% - Accent3 8 2 2" xfId="8366" xr:uid="{00000000-0005-0000-0000-00009C050000}"/>
    <cellStyle name="40% - Accent3 8 2 2 2" xfId="21027" xr:uid="{3F497D7C-068B-423E-A7C4-1C57AA142764}"/>
    <cellStyle name="40% - Accent3 8 2 3" xfId="12598" xr:uid="{0D6B9817-783E-4F64-873B-7A1EFA123797}"/>
    <cellStyle name="40% - Accent3 8 2 4" xfId="16809" xr:uid="{F1237201-5017-47B6-A08A-2FA52CAF0CC8}"/>
    <cellStyle name="40% - Accent3 8 3" xfId="6221" xr:uid="{00000000-0005-0000-0000-00009D050000}"/>
    <cellStyle name="40% - Accent3 8 3 2" xfId="18882" xr:uid="{961B4712-E313-4DDF-8523-1FFC1F8F084D}"/>
    <cellStyle name="40% - Accent3 8 4" xfId="10453" xr:uid="{887453DB-44D7-437B-B335-F63BE7D6C1C9}"/>
    <cellStyle name="40% - Accent3 8 5" xfId="14664" xr:uid="{D97B5F30-B86A-4A71-9376-10EA423FCC89}"/>
    <cellStyle name="40% - Accent3 9" xfId="2328" xr:uid="{00000000-0005-0000-0000-00009E050000}"/>
    <cellStyle name="40% - Accent3 9 2" xfId="6634" xr:uid="{00000000-0005-0000-0000-00009F050000}"/>
    <cellStyle name="40% - Accent3 9 2 2" xfId="19295" xr:uid="{21BDD8A5-2740-49C5-82EA-A91DFEC8272B}"/>
    <cellStyle name="40% - Accent3 9 3" xfId="10866" xr:uid="{CF43A95D-8654-42BB-BD80-33F46841A559}"/>
    <cellStyle name="40% - Accent3 9 4" xfId="15077" xr:uid="{48862F27-1D97-48B3-8411-435E318ABA9A}"/>
    <cellStyle name="40% - Accent4" xfId="73" builtinId="43" customBuiltin="1"/>
    <cellStyle name="40% - Accent4 10" xfId="4576" xr:uid="{00000000-0005-0000-0000-0000A1050000}"/>
    <cellStyle name="40% - Accent4 10 2" xfId="17237" xr:uid="{1C714B69-7021-43EF-BD9F-D9EE0A880A0D}"/>
    <cellStyle name="40% - Accent4 11" xfId="8808" xr:uid="{B5A9A0F7-2464-4BCC-A22C-064691F82308}"/>
    <cellStyle name="40% - Accent4 12" xfId="13019" xr:uid="{209C7E3E-6794-4F98-8543-1A137E85E1A5}"/>
    <cellStyle name="40% - Accent4 2" xfId="74" xr:uid="{00000000-0005-0000-0000-0000A2050000}"/>
    <cellStyle name="40% - Accent4 2 10" xfId="8809" xr:uid="{AEF77057-AE89-4828-9BF8-8A273864AD8A}"/>
    <cellStyle name="40% - Accent4 2 11" xfId="13020" xr:uid="{D92A2E03-81BC-482C-845D-A0B65969BD90}"/>
    <cellStyle name="40% - Accent4 2 2" xfId="75" xr:uid="{00000000-0005-0000-0000-0000A3050000}"/>
    <cellStyle name="40% - Accent4 2 2 10" xfId="13021" xr:uid="{19629641-C690-4363-BB20-2AE3491F64FF}"/>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9799" xr:uid="{3C9CE4B6-7EEC-4A5D-AE79-F1F812E98DBD}"/>
    <cellStyle name="40% - Accent4 2 2 2 2 2 3" xfId="11370" xr:uid="{DCF2458F-26E4-46A5-B87F-3614BF86E890}"/>
    <cellStyle name="40% - Accent4 2 2 2 2 2 4" xfId="15581" xr:uid="{6BAC2C3F-4448-4253-A414-394BB295B60E}"/>
    <cellStyle name="40% - Accent4 2 2 2 2 3" xfId="4993" xr:uid="{00000000-0005-0000-0000-0000A8050000}"/>
    <cellStyle name="40% - Accent4 2 2 2 2 3 2" xfId="17654" xr:uid="{0C80614D-D6AD-4991-8B88-925B8076096E}"/>
    <cellStyle name="40% - Accent4 2 2 2 2 4" xfId="9225" xr:uid="{8B66319E-3F21-4AA3-B89E-56E2019298A6}"/>
    <cellStyle name="40% - Accent4 2 2 2 2 5" xfId="13436" xr:uid="{AAF4CF28-80B1-4363-897A-F662BA05DED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20212" xr:uid="{9F3D5A87-98CD-4542-944F-DCB3C7FD2557}"/>
    <cellStyle name="40% - Accent4 2 2 2 3 2 3" xfId="11783" xr:uid="{9E52AF91-8F98-4166-AECC-5F6A6C92DBA5}"/>
    <cellStyle name="40% - Accent4 2 2 2 3 2 4" xfId="15994" xr:uid="{E7F200E7-7552-4BC1-A766-343250325262}"/>
    <cellStyle name="40% - Accent4 2 2 2 3 3" xfId="5406" xr:uid="{00000000-0005-0000-0000-0000AC050000}"/>
    <cellStyle name="40% - Accent4 2 2 2 3 3 2" xfId="18067" xr:uid="{0849491F-D08A-4672-B9D0-54890A0FF407}"/>
    <cellStyle name="40% - Accent4 2 2 2 3 4" xfId="9638" xr:uid="{6600CA1F-CBE4-4687-ACC4-044D80EA617F}"/>
    <cellStyle name="40% - Accent4 2 2 2 3 5" xfId="13849" xr:uid="{DEF39947-5943-4E84-B4C8-B16F89040E86}"/>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20625" xr:uid="{4700E6F3-4EF7-4E02-AE8F-16C7015CF9CF}"/>
    <cellStyle name="40% - Accent4 2 2 2 4 2 3" xfId="12196" xr:uid="{01059988-EEE7-4773-B55D-17E7EBB5D479}"/>
    <cellStyle name="40% - Accent4 2 2 2 4 2 4" xfId="16407" xr:uid="{A4301C82-F1C1-45C1-8B48-C3F8D5C2EA99}"/>
    <cellStyle name="40% - Accent4 2 2 2 4 3" xfId="5819" xr:uid="{00000000-0005-0000-0000-0000B0050000}"/>
    <cellStyle name="40% - Accent4 2 2 2 4 3 2" xfId="18480" xr:uid="{6E1A9467-F0EB-416E-A967-5DC4CCB4E0B9}"/>
    <cellStyle name="40% - Accent4 2 2 2 4 4" xfId="10051" xr:uid="{E4B1DA96-1829-47BA-B8CC-6BD846208CC3}"/>
    <cellStyle name="40% - Accent4 2 2 2 4 5" xfId="14262" xr:uid="{A04F0DE2-87BB-4E5D-A135-B5B0884FA283}"/>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21038" xr:uid="{392F5821-9497-4745-B260-49FB88C22CA8}"/>
    <cellStyle name="40% - Accent4 2 2 2 5 2 3" xfId="12609" xr:uid="{B8A0DF9C-8B15-417E-9322-811081500968}"/>
    <cellStyle name="40% - Accent4 2 2 2 5 2 4" xfId="16820" xr:uid="{D461635F-AC6B-460E-B508-6C8A6C61ECEC}"/>
    <cellStyle name="40% - Accent4 2 2 2 5 3" xfId="6232" xr:uid="{00000000-0005-0000-0000-0000B4050000}"/>
    <cellStyle name="40% - Accent4 2 2 2 5 3 2" xfId="18893" xr:uid="{34ACA8AE-8B36-436E-90F0-FC0F63C1C14A}"/>
    <cellStyle name="40% - Accent4 2 2 2 5 4" xfId="10464" xr:uid="{3141F28F-8D2F-4500-A306-B1E1761777A6}"/>
    <cellStyle name="40% - Accent4 2 2 2 5 5" xfId="14675" xr:uid="{61EF3D55-8763-4ACD-99DF-AF7DEBBCB327}"/>
    <cellStyle name="40% - Accent4 2 2 2 6" xfId="2339" xr:uid="{00000000-0005-0000-0000-0000B5050000}"/>
    <cellStyle name="40% - Accent4 2 2 2 6 2" xfId="6645" xr:uid="{00000000-0005-0000-0000-0000B6050000}"/>
    <cellStyle name="40% - Accent4 2 2 2 6 2 2" xfId="19306" xr:uid="{300EC2FB-5EAD-4C2F-B646-2D639A201844}"/>
    <cellStyle name="40% - Accent4 2 2 2 6 3" xfId="10877" xr:uid="{088EBACF-2AB1-479A-B5EE-C4C54C107345}"/>
    <cellStyle name="40% - Accent4 2 2 2 6 4" xfId="15088" xr:uid="{5798C02A-FCE4-4E00-83E1-49983F1DB9D1}"/>
    <cellStyle name="40% - Accent4 2 2 2 7" xfId="4579" xr:uid="{00000000-0005-0000-0000-0000B7050000}"/>
    <cellStyle name="40% - Accent4 2 2 2 7 2" xfId="17240" xr:uid="{0B5542D2-75D5-4530-8D33-14C88BACEA66}"/>
    <cellStyle name="40% - Accent4 2 2 2 8" xfId="8811" xr:uid="{CF8E1B00-9C45-43A6-89EE-F613CF84A982}"/>
    <cellStyle name="40% - Accent4 2 2 2 9" xfId="13022" xr:uid="{1A8BCEC4-B314-4BAB-9426-9EECA4CCF60F}"/>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9798" xr:uid="{9DEE7535-334B-4055-8251-5F6D3E665D30}"/>
    <cellStyle name="40% - Accent4 2 2 3 2 3" xfId="11369" xr:uid="{8FFCF303-3771-4DB9-B48D-05DBA752E604}"/>
    <cellStyle name="40% - Accent4 2 2 3 2 4" xfId="15580" xr:uid="{7AE17D3A-D919-4518-8076-BE14A1E8C39A}"/>
    <cellStyle name="40% - Accent4 2 2 3 3" xfId="4992" xr:uid="{00000000-0005-0000-0000-0000BB050000}"/>
    <cellStyle name="40% - Accent4 2 2 3 3 2" xfId="17653" xr:uid="{D0270CD2-6DAE-4284-AFB4-57EF80BBC48F}"/>
    <cellStyle name="40% - Accent4 2 2 3 4" xfId="9224" xr:uid="{2CE1A680-713B-4DA4-9579-65A0A7993011}"/>
    <cellStyle name="40% - Accent4 2 2 3 5" xfId="13435" xr:uid="{53D2A0A6-B79F-4ECF-9E41-5145D011F438}"/>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20211" xr:uid="{D5F742A0-4194-4DE7-8331-651E7C15D67D}"/>
    <cellStyle name="40% - Accent4 2 2 4 2 3" xfId="11782" xr:uid="{B214EDF4-24F9-490D-B995-D091DDBC6942}"/>
    <cellStyle name="40% - Accent4 2 2 4 2 4" xfId="15993" xr:uid="{D26E0500-86E5-4D5E-8757-57BC135C558E}"/>
    <cellStyle name="40% - Accent4 2 2 4 3" xfId="5405" xr:uid="{00000000-0005-0000-0000-0000BF050000}"/>
    <cellStyle name="40% - Accent4 2 2 4 3 2" xfId="18066" xr:uid="{E9868CEC-EA54-4750-8CB9-3A61585AED61}"/>
    <cellStyle name="40% - Accent4 2 2 4 4" xfId="9637" xr:uid="{B80319FA-B221-4532-BB19-B0D6B0319C2B}"/>
    <cellStyle name="40% - Accent4 2 2 4 5" xfId="13848" xr:uid="{0830DF18-1103-4BB1-A7E9-6981F547EFBF}"/>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20624" xr:uid="{42CE7615-D225-4211-80F6-826DA70B6686}"/>
    <cellStyle name="40% - Accent4 2 2 5 2 3" xfId="12195" xr:uid="{F9C766CF-758E-4074-A7F9-CB48823D5DD6}"/>
    <cellStyle name="40% - Accent4 2 2 5 2 4" xfId="16406" xr:uid="{1450BB22-500A-4700-B7A8-24D7FB8EF808}"/>
    <cellStyle name="40% - Accent4 2 2 5 3" xfId="5818" xr:uid="{00000000-0005-0000-0000-0000C3050000}"/>
    <cellStyle name="40% - Accent4 2 2 5 3 2" xfId="18479" xr:uid="{ADB65EA1-6E7B-44AA-8598-1156F9A0CF7D}"/>
    <cellStyle name="40% - Accent4 2 2 5 4" xfId="10050" xr:uid="{6D38FD5B-C58A-4C08-AD05-1B463FD5C4B8}"/>
    <cellStyle name="40% - Accent4 2 2 5 5" xfId="14261" xr:uid="{F72C4266-B7CD-4804-9EF8-DF71B3FA23D8}"/>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21037" xr:uid="{C37398ED-6013-47CC-8AD6-653470908A2B}"/>
    <cellStyle name="40% - Accent4 2 2 6 2 3" xfId="12608" xr:uid="{0E65FCF3-7D82-41E7-8187-7479AEF048E9}"/>
    <cellStyle name="40% - Accent4 2 2 6 2 4" xfId="16819" xr:uid="{841A50B2-23DC-4884-92D0-2F07722DC1EE}"/>
    <cellStyle name="40% - Accent4 2 2 6 3" xfId="6231" xr:uid="{00000000-0005-0000-0000-0000C7050000}"/>
    <cellStyle name="40% - Accent4 2 2 6 3 2" xfId="18892" xr:uid="{50D905AC-F09D-4888-91FA-312341624A56}"/>
    <cellStyle name="40% - Accent4 2 2 6 4" xfId="10463" xr:uid="{4B88D54D-0E35-4E2F-9595-EBFC8F35DFC9}"/>
    <cellStyle name="40% - Accent4 2 2 6 5" xfId="14674" xr:uid="{91470CEF-4DF1-4CB8-9E8F-0DBD04F10043}"/>
    <cellStyle name="40% - Accent4 2 2 7" xfId="2338" xr:uid="{00000000-0005-0000-0000-0000C8050000}"/>
    <cellStyle name="40% - Accent4 2 2 7 2" xfId="6644" xr:uid="{00000000-0005-0000-0000-0000C9050000}"/>
    <cellStyle name="40% - Accent4 2 2 7 2 2" xfId="19305" xr:uid="{E24BA341-8798-4EB9-A0C2-0770F85AB78E}"/>
    <cellStyle name="40% - Accent4 2 2 7 3" xfId="10876" xr:uid="{F7E2C921-EFE8-497A-9DB6-88F9CEDFC0E5}"/>
    <cellStyle name="40% - Accent4 2 2 7 4" xfId="15087" xr:uid="{5E00F29D-AB88-4846-BA2A-5A76E462B419}"/>
    <cellStyle name="40% - Accent4 2 2 8" xfId="4578" xr:uid="{00000000-0005-0000-0000-0000CA050000}"/>
    <cellStyle name="40% - Accent4 2 2 8 2" xfId="17239" xr:uid="{63602D6B-83B5-4360-8AAE-4FC13343F903}"/>
    <cellStyle name="40% - Accent4 2 2 9" xfId="8810" xr:uid="{325C9474-EC43-40F7-901F-0E733F00EE64}"/>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9800" xr:uid="{927139A7-0574-446A-94D8-3D479E61B09F}"/>
    <cellStyle name="40% - Accent4 2 3 2 2 3" xfId="11371" xr:uid="{7D0CFC76-1F51-43A4-8CB8-C35EF01C87A1}"/>
    <cellStyle name="40% - Accent4 2 3 2 2 4" xfId="15582" xr:uid="{BC7877E1-AD41-4E4A-9212-4E40C0C090B6}"/>
    <cellStyle name="40% - Accent4 2 3 2 3" xfId="4994" xr:uid="{00000000-0005-0000-0000-0000CF050000}"/>
    <cellStyle name="40% - Accent4 2 3 2 3 2" xfId="17655" xr:uid="{53DCA3AE-79BC-4E59-B9D4-3AD8FA061A82}"/>
    <cellStyle name="40% - Accent4 2 3 2 4" xfId="9226" xr:uid="{933BDCD8-BBDA-48FE-A9EE-9E5F8B466577}"/>
    <cellStyle name="40% - Accent4 2 3 2 5" xfId="13437" xr:uid="{7AC0A240-2237-4955-B283-619AA928E57F}"/>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20213" xr:uid="{C88B0550-A282-4366-BF41-6B9D5DB1A594}"/>
    <cellStyle name="40% - Accent4 2 3 3 2 3" xfId="11784" xr:uid="{77A5735C-2987-42BE-BFC8-F4F01B2EC9C6}"/>
    <cellStyle name="40% - Accent4 2 3 3 2 4" xfId="15995" xr:uid="{2C939BC9-D2A0-4265-8D5B-4CE0DF5D75A6}"/>
    <cellStyle name="40% - Accent4 2 3 3 3" xfId="5407" xr:uid="{00000000-0005-0000-0000-0000D3050000}"/>
    <cellStyle name="40% - Accent4 2 3 3 3 2" xfId="18068" xr:uid="{87636331-4EE4-434D-BDC4-62153BED6323}"/>
    <cellStyle name="40% - Accent4 2 3 3 4" xfId="9639" xr:uid="{E534AAF6-919A-427E-B5BB-7B85E1C07398}"/>
    <cellStyle name="40% - Accent4 2 3 3 5" xfId="13850" xr:uid="{BCF2F60D-EC3A-41BF-A688-8DFEDD7460B5}"/>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20626" xr:uid="{43D7FE46-6312-4CDF-9D41-679EFCA0326B}"/>
    <cellStyle name="40% - Accent4 2 3 4 2 3" xfId="12197" xr:uid="{E06E69B4-5881-4C6F-8587-A1A4A9DF8B05}"/>
    <cellStyle name="40% - Accent4 2 3 4 2 4" xfId="16408" xr:uid="{34624FFD-16BB-4E6D-8655-8347916D0A71}"/>
    <cellStyle name="40% - Accent4 2 3 4 3" xfId="5820" xr:uid="{00000000-0005-0000-0000-0000D7050000}"/>
    <cellStyle name="40% - Accent4 2 3 4 3 2" xfId="18481" xr:uid="{609F28A0-E7E2-4B76-BBA7-B577C2919575}"/>
    <cellStyle name="40% - Accent4 2 3 4 4" xfId="10052" xr:uid="{A2278E60-03B9-45BA-A77D-C83F596FD0E4}"/>
    <cellStyle name="40% - Accent4 2 3 4 5" xfId="14263" xr:uid="{67CBA40F-1B4F-4D20-93D7-77CD41A8BDF6}"/>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21039" xr:uid="{7118BC94-97D9-4585-896A-90D02030F977}"/>
    <cellStyle name="40% - Accent4 2 3 5 2 3" xfId="12610" xr:uid="{4E17E2EA-3EBC-4EDE-844F-7E9D194878B1}"/>
    <cellStyle name="40% - Accent4 2 3 5 2 4" xfId="16821" xr:uid="{0527150D-13E8-4B1D-9440-4A82F6470DC6}"/>
    <cellStyle name="40% - Accent4 2 3 5 3" xfId="6233" xr:uid="{00000000-0005-0000-0000-0000DB050000}"/>
    <cellStyle name="40% - Accent4 2 3 5 3 2" xfId="18894" xr:uid="{FD7F7260-2D6B-4590-8F64-2A64BA8F00B0}"/>
    <cellStyle name="40% - Accent4 2 3 5 4" xfId="10465" xr:uid="{AF1729D8-52F3-402D-952E-F0F8F7706B4F}"/>
    <cellStyle name="40% - Accent4 2 3 5 5" xfId="14676" xr:uid="{F381C5BB-9933-4C77-A404-858FC6D4CECF}"/>
    <cellStyle name="40% - Accent4 2 3 6" xfId="2340" xr:uid="{00000000-0005-0000-0000-0000DC050000}"/>
    <cellStyle name="40% - Accent4 2 3 6 2" xfId="6646" xr:uid="{00000000-0005-0000-0000-0000DD050000}"/>
    <cellStyle name="40% - Accent4 2 3 6 2 2" xfId="19307" xr:uid="{B13AF70E-CE13-461E-898C-3F4F30FA835F}"/>
    <cellStyle name="40% - Accent4 2 3 6 3" xfId="10878" xr:uid="{F317DDE0-B31F-46B8-BACC-2794192B91C9}"/>
    <cellStyle name="40% - Accent4 2 3 6 4" xfId="15089" xr:uid="{AF58AFE8-62B8-42AB-9D6D-A472710766FC}"/>
    <cellStyle name="40% - Accent4 2 3 7" xfId="4580" xr:uid="{00000000-0005-0000-0000-0000DE050000}"/>
    <cellStyle name="40% - Accent4 2 3 7 2" xfId="17241" xr:uid="{C86DA4FF-E6EF-4048-AC7A-AF261B3BBE84}"/>
    <cellStyle name="40% - Accent4 2 3 8" xfId="8812" xr:uid="{1F53A4A8-5A01-435C-B016-37C72CEE899C}"/>
    <cellStyle name="40% - Accent4 2 3 9" xfId="13023" xr:uid="{D81EF86F-E13B-4E5B-8AA9-877AFB53DA9A}"/>
    <cellStyle name="40% - Accent4 2 4" xfId="643" xr:uid="{00000000-0005-0000-0000-0000DF050000}"/>
    <cellStyle name="40% - Accent4 2 4 2" xfId="2914" xr:uid="{00000000-0005-0000-0000-0000E0050000}"/>
    <cellStyle name="40% - Accent4 2 4 2 2" xfId="7136" xr:uid="{00000000-0005-0000-0000-0000E1050000}"/>
    <cellStyle name="40% - Accent4 2 4 2 2 2" xfId="19797" xr:uid="{46A4803B-3075-430B-88A1-7B2B2811DE9E}"/>
    <cellStyle name="40% - Accent4 2 4 2 3" xfId="11368" xr:uid="{016C45D4-FFE4-450C-8654-2EA0515AA549}"/>
    <cellStyle name="40% - Accent4 2 4 2 4" xfId="15579" xr:uid="{88F2933A-3488-41E2-92C2-8878DD674FC0}"/>
    <cellStyle name="40% - Accent4 2 4 3" xfId="4991" xr:uid="{00000000-0005-0000-0000-0000E2050000}"/>
    <cellStyle name="40% - Accent4 2 4 3 2" xfId="17652" xr:uid="{63D50CC7-2F3D-4EC5-8E6A-C13DE83A5F06}"/>
    <cellStyle name="40% - Accent4 2 4 4" xfId="9223" xr:uid="{2E77C437-6D8E-4508-A8E4-5BCC85B2CFC3}"/>
    <cellStyle name="40% - Accent4 2 4 5" xfId="13434" xr:uid="{4FD27785-B907-4978-8D9B-FD8581B5F13D}"/>
    <cellStyle name="40% - Accent4 2 5" xfId="1096" xr:uid="{00000000-0005-0000-0000-0000E3050000}"/>
    <cellStyle name="40% - Accent4 2 5 2" xfId="3327" xr:uid="{00000000-0005-0000-0000-0000E4050000}"/>
    <cellStyle name="40% - Accent4 2 5 2 2" xfId="7549" xr:uid="{00000000-0005-0000-0000-0000E5050000}"/>
    <cellStyle name="40% - Accent4 2 5 2 2 2" xfId="20210" xr:uid="{60554969-3D7A-43E7-B547-352D916CAFDF}"/>
    <cellStyle name="40% - Accent4 2 5 2 3" xfId="11781" xr:uid="{B64F7F7A-7172-4936-974C-F9BBCBFEC48A}"/>
    <cellStyle name="40% - Accent4 2 5 2 4" xfId="15992" xr:uid="{05FCA5A8-F025-44A1-86A7-E7BE0BA1DB18}"/>
    <cellStyle name="40% - Accent4 2 5 3" xfId="5404" xr:uid="{00000000-0005-0000-0000-0000E6050000}"/>
    <cellStyle name="40% - Accent4 2 5 3 2" xfId="18065" xr:uid="{614E2082-20E8-4886-9D09-288D365BFFA0}"/>
    <cellStyle name="40% - Accent4 2 5 4" xfId="9636" xr:uid="{8F6361BD-6ABA-4D78-9607-98F41284ABEE}"/>
    <cellStyle name="40% - Accent4 2 5 5" xfId="13847" xr:uid="{18FA0BBB-71E8-452F-9A9C-B609D5FFADA5}"/>
    <cellStyle name="40% - Accent4 2 6" xfId="1510" xr:uid="{00000000-0005-0000-0000-0000E7050000}"/>
    <cellStyle name="40% - Accent4 2 6 2" xfId="3740" xr:uid="{00000000-0005-0000-0000-0000E8050000}"/>
    <cellStyle name="40% - Accent4 2 6 2 2" xfId="7962" xr:uid="{00000000-0005-0000-0000-0000E9050000}"/>
    <cellStyle name="40% - Accent4 2 6 2 2 2" xfId="20623" xr:uid="{2BA2CB00-E0DA-461B-BA72-1ECEA8A2F046}"/>
    <cellStyle name="40% - Accent4 2 6 2 3" xfId="12194" xr:uid="{A5265068-F24D-4983-95C7-AB713E55B9E5}"/>
    <cellStyle name="40% - Accent4 2 6 2 4" xfId="16405" xr:uid="{BD1A4C54-FBE6-4578-A296-0D91F8B49082}"/>
    <cellStyle name="40% - Accent4 2 6 3" xfId="5817" xr:uid="{00000000-0005-0000-0000-0000EA050000}"/>
    <cellStyle name="40% - Accent4 2 6 3 2" xfId="18478" xr:uid="{DAC78023-18FD-4023-A3C0-C09AC0EA3292}"/>
    <cellStyle name="40% - Accent4 2 6 4" xfId="10049" xr:uid="{362BEAC1-BB86-4502-93BB-307A5EA5AFFC}"/>
    <cellStyle name="40% - Accent4 2 6 5" xfId="14260" xr:uid="{5EF5A5B9-5E7C-4172-926B-D0AFE78A303C}"/>
    <cellStyle name="40% - Accent4 2 7" xfId="1924" xr:uid="{00000000-0005-0000-0000-0000EB050000}"/>
    <cellStyle name="40% - Accent4 2 7 2" xfId="4153" xr:uid="{00000000-0005-0000-0000-0000EC050000}"/>
    <cellStyle name="40% - Accent4 2 7 2 2" xfId="8375" xr:uid="{00000000-0005-0000-0000-0000ED050000}"/>
    <cellStyle name="40% - Accent4 2 7 2 2 2" xfId="21036" xr:uid="{091212F2-E14A-4298-918B-23D5D3576451}"/>
    <cellStyle name="40% - Accent4 2 7 2 3" xfId="12607" xr:uid="{302E8B67-A31B-474E-A864-836375A108DA}"/>
    <cellStyle name="40% - Accent4 2 7 2 4" xfId="16818" xr:uid="{70E821FE-F339-400D-AF3E-42D761FDA9FF}"/>
    <cellStyle name="40% - Accent4 2 7 3" xfId="6230" xr:uid="{00000000-0005-0000-0000-0000EE050000}"/>
    <cellStyle name="40% - Accent4 2 7 3 2" xfId="18891" xr:uid="{816A3409-0ABA-40D8-8221-25DF7C5F35F4}"/>
    <cellStyle name="40% - Accent4 2 7 4" xfId="10462" xr:uid="{E0B25088-AF9A-4670-BE30-0455650B0CF1}"/>
    <cellStyle name="40% - Accent4 2 7 5" xfId="14673" xr:uid="{CDED8F89-8093-4A03-8AD1-83469E45BC58}"/>
    <cellStyle name="40% - Accent4 2 8" xfId="2337" xr:uid="{00000000-0005-0000-0000-0000EF050000}"/>
    <cellStyle name="40% - Accent4 2 8 2" xfId="6643" xr:uid="{00000000-0005-0000-0000-0000F0050000}"/>
    <cellStyle name="40% - Accent4 2 8 2 2" xfId="19304" xr:uid="{9F0685FE-A93E-48B9-A791-A8481AFAC811}"/>
    <cellStyle name="40% - Accent4 2 8 3" xfId="10875" xr:uid="{81E88D97-A2DD-4469-A03D-CA60E52C62FA}"/>
    <cellStyle name="40% - Accent4 2 8 4" xfId="15086" xr:uid="{B050B302-A795-4773-B427-FE55BADA0AE7}"/>
    <cellStyle name="40% - Accent4 2 9" xfId="4577" xr:uid="{00000000-0005-0000-0000-0000F1050000}"/>
    <cellStyle name="40% - Accent4 2 9 2" xfId="17238" xr:uid="{FA9ABB88-B149-432A-947C-27B793AE1AC6}"/>
    <cellStyle name="40% - Accent4 3" xfId="78" xr:uid="{00000000-0005-0000-0000-0000F2050000}"/>
    <cellStyle name="40% - Accent4 3 10" xfId="13024" xr:uid="{970E35F1-120A-459D-B61D-4E3AF7888575}"/>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9802" xr:uid="{9E4E1E88-FBE5-4E41-A31D-0764D59438D9}"/>
    <cellStyle name="40% - Accent4 3 2 2 2 3" xfId="11373" xr:uid="{478142A8-AFDC-4091-A2DE-6308C6A558A8}"/>
    <cellStyle name="40% - Accent4 3 2 2 2 4" xfId="15584" xr:uid="{12725541-448D-4700-9E0D-53AC3C98BE12}"/>
    <cellStyle name="40% - Accent4 3 2 2 3" xfId="4996" xr:uid="{00000000-0005-0000-0000-0000F7050000}"/>
    <cellStyle name="40% - Accent4 3 2 2 3 2" xfId="17657" xr:uid="{03D79A73-17D9-4F90-8294-4178AAEE423F}"/>
    <cellStyle name="40% - Accent4 3 2 2 4" xfId="9228" xr:uid="{DE4FB997-049E-4931-89DA-5749B6E6D035}"/>
    <cellStyle name="40% - Accent4 3 2 2 5" xfId="13439" xr:uid="{5F31DB65-732D-423A-A24D-B22AC5B5EFD5}"/>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20215" xr:uid="{55AA30B0-3950-4493-91B8-D4CAAAC6CD98}"/>
    <cellStyle name="40% - Accent4 3 2 3 2 3" xfId="11786" xr:uid="{FDC4AE56-56D3-4201-BCC1-11C4E8A45C8A}"/>
    <cellStyle name="40% - Accent4 3 2 3 2 4" xfId="15997" xr:uid="{510568A1-6EE2-446E-9152-DF1B38C0F080}"/>
    <cellStyle name="40% - Accent4 3 2 3 3" xfId="5409" xr:uid="{00000000-0005-0000-0000-0000FB050000}"/>
    <cellStyle name="40% - Accent4 3 2 3 3 2" xfId="18070" xr:uid="{BF1DA337-067D-4365-BF05-61D47695F048}"/>
    <cellStyle name="40% - Accent4 3 2 3 4" xfId="9641" xr:uid="{B6D175A1-FDC2-416D-9C4A-46CC9785F89F}"/>
    <cellStyle name="40% - Accent4 3 2 3 5" xfId="13852" xr:uid="{CA681AED-C2A0-4939-AEB3-9E1BCC2690AE}"/>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20628" xr:uid="{F431F8ED-6476-4C76-B1DE-95B6D16ADE18}"/>
    <cellStyle name="40% - Accent4 3 2 4 2 3" xfId="12199" xr:uid="{5BBA9680-628A-4F08-A22F-5CA686BDFE1C}"/>
    <cellStyle name="40% - Accent4 3 2 4 2 4" xfId="16410" xr:uid="{B1D89276-1841-49C3-AC95-07BC64223B2B}"/>
    <cellStyle name="40% - Accent4 3 2 4 3" xfId="5822" xr:uid="{00000000-0005-0000-0000-0000FF050000}"/>
    <cellStyle name="40% - Accent4 3 2 4 3 2" xfId="18483" xr:uid="{A11C2906-385C-4C11-B6F9-C1C5DE3CE773}"/>
    <cellStyle name="40% - Accent4 3 2 4 4" xfId="10054" xr:uid="{91BC08FE-EC9C-449A-92B9-EE64AC42EB6A}"/>
    <cellStyle name="40% - Accent4 3 2 4 5" xfId="14265" xr:uid="{BDE205D5-4B48-484F-B38E-D13D49AE8F7F}"/>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21041" xr:uid="{A19D84E7-191A-4C1F-A10D-7CF98C76895F}"/>
    <cellStyle name="40% - Accent4 3 2 5 2 3" xfId="12612" xr:uid="{1B270D95-EF57-4585-A51E-3677F2FFC7DF}"/>
    <cellStyle name="40% - Accent4 3 2 5 2 4" xfId="16823" xr:uid="{62809F6D-2468-444E-85EC-5A414B95CC11}"/>
    <cellStyle name="40% - Accent4 3 2 5 3" xfId="6235" xr:uid="{00000000-0005-0000-0000-000003060000}"/>
    <cellStyle name="40% - Accent4 3 2 5 3 2" xfId="18896" xr:uid="{F75D8764-2DEF-4CFD-B827-6106091F77D9}"/>
    <cellStyle name="40% - Accent4 3 2 5 4" xfId="10467" xr:uid="{AA59BA7C-0176-4C9F-8AA1-B5B77D05A308}"/>
    <cellStyle name="40% - Accent4 3 2 5 5" xfId="14678" xr:uid="{2EBC638B-1B27-4371-A51C-AC68E150E887}"/>
    <cellStyle name="40% - Accent4 3 2 6" xfId="2342" xr:uid="{00000000-0005-0000-0000-000004060000}"/>
    <cellStyle name="40% - Accent4 3 2 6 2" xfId="6648" xr:uid="{00000000-0005-0000-0000-000005060000}"/>
    <cellStyle name="40% - Accent4 3 2 6 2 2" xfId="19309" xr:uid="{ED004B01-CB8E-4006-B6A6-AC7023563915}"/>
    <cellStyle name="40% - Accent4 3 2 6 3" xfId="10880" xr:uid="{A913AFA1-547C-46B5-A6F0-5817ACF93922}"/>
    <cellStyle name="40% - Accent4 3 2 6 4" xfId="15091" xr:uid="{5AD060E7-DC87-42C3-B7BC-B045BC9CF1C5}"/>
    <cellStyle name="40% - Accent4 3 2 7" xfId="4582" xr:uid="{00000000-0005-0000-0000-000006060000}"/>
    <cellStyle name="40% - Accent4 3 2 7 2" xfId="17243" xr:uid="{DFF092E2-CB5E-4449-92CE-B9E5447A959F}"/>
    <cellStyle name="40% - Accent4 3 2 8" xfId="8814" xr:uid="{73AFC3FF-0C6D-4314-80D1-D89D8A2345EC}"/>
    <cellStyle name="40% - Accent4 3 2 9" xfId="13025" xr:uid="{29797EDD-18BC-4446-9574-8433F9109A1D}"/>
    <cellStyle name="40% - Accent4 3 3" xfId="647" xr:uid="{00000000-0005-0000-0000-000007060000}"/>
    <cellStyle name="40% - Accent4 3 3 2" xfId="2918" xr:uid="{00000000-0005-0000-0000-000008060000}"/>
    <cellStyle name="40% - Accent4 3 3 2 2" xfId="7140" xr:uid="{00000000-0005-0000-0000-000009060000}"/>
    <cellStyle name="40% - Accent4 3 3 2 2 2" xfId="19801" xr:uid="{ED7FD85D-17D6-4D10-A524-6FF04161CD03}"/>
    <cellStyle name="40% - Accent4 3 3 2 3" xfId="11372" xr:uid="{1BFC9B54-AE77-4DC6-8D71-E6ACB8EC52C7}"/>
    <cellStyle name="40% - Accent4 3 3 2 4" xfId="15583" xr:uid="{AFA5C99B-1CAA-4DB0-A1EC-CA3E3544CF07}"/>
    <cellStyle name="40% - Accent4 3 3 3" xfId="4995" xr:uid="{00000000-0005-0000-0000-00000A060000}"/>
    <cellStyle name="40% - Accent4 3 3 3 2" xfId="17656" xr:uid="{ABCA32AC-58C6-4CFF-9BB7-FE4FACE3700A}"/>
    <cellStyle name="40% - Accent4 3 3 4" xfId="9227" xr:uid="{0A8513E2-B5B1-42AF-870D-449AC7367AAE}"/>
    <cellStyle name="40% - Accent4 3 3 5" xfId="13438" xr:uid="{3AE9D8AF-54E5-437D-A28B-F4749DD0FD9D}"/>
    <cellStyle name="40% - Accent4 3 4" xfId="1100" xr:uid="{00000000-0005-0000-0000-00000B060000}"/>
    <cellStyle name="40% - Accent4 3 4 2" xfId="3331" xr:uid="{00000000-0005-0000-0000-00000C060000}"/>
    <cellStyle name="40% - Accent4 3 4 2 2" xfId="7553" xr:uid="{00000000-0005-0000-0000-00000D060000}"/>
    <cellStyle name="40% - Accent4 3 4 2 2 2" xfId="20214" xr:uid="{80949EDA-B55F-44AF-ADB4-F9CFE6455AEF}"/>
    <cellStyle name="40% - Accent4 3 4 2 3" xfId="11785" xr:uid="{3C0F649D-0903-4049-9D77-094351E7ECB4}"/>
    <cellStyle name="40% - Accent4 3 4 2 4" xfId="15996" xr:uid="{E177CF2E-473E-4A15-98A7-AC6462CD915B}"/>
    <cellStyle name="40% - Accent4 3 4 3" xfId="5408" xr:uid="{00000000-0005-0000-0000-00000E060000}"/>
    <cellStyle name="40% - Accent4 3 4 3 2" xfId="18069" xr:uid="{9B39294C-AB95-441A-BCEC-0379BD3C5F91}"/>
    <cellStyle name="40% - Accent4 3 4 4" xfId="9640" xr:uid="{F0E1F36A-BD8E-4B82-9C0E-6B53EB9D7E8A}"/>
    <cellStyle name="40% - Accent4 3 4 5" xfId="13851" xr:uid="{D562D468-637B-48F0-9E6B-EE2934906D70}"/>
    <cellStyle name="40% - Accent4 3 5" xfId="1514" xr:uid="{00000000-0005-0000-0000-00000F060000}"/>
    <cellStyle name="40% - Accent4 3 5 2" xfId="3744" xr:uid="{00000000-0005-0000-0000-000010060000}"/>
    <cellStyle name="40% - Accent4 3 5 2 2" xfId="7966" xr:uid="{00000000-0005-0000-0000-000011060000}"/>
    <cellStyle name="40% - Accent4 3 5 2 2 2" xfId="20627" xr:uid="{B59D4DA3-C62D-44A2-9EBA-7155A45608D9}"/>
    <cellStyle name="40% - Accent4 3 5 2 3" xfId="12198" xr:uid="{53081F52-B146-42B5-B4DA-72B60E72AE1E}"/>
    <cellStyle name="40% - Accent4 3 5 2 4" xfId="16409" xr:uid="{5792C68C-0AC7-4BA4-BF4F-7515B8A22B86}"/>
    <cellStyle name="40% - Accent4 3 5 3" xfId="5821" xr:uid="{00000000-0005-0000-0000-000012060000}"/>
    <cellStyle name="40% - Accent4 3 5 3 2" xfId="18482" xr:uid="{35E0775D-F569-4DC8-9023-F1B2A55D0F78}"/>
    <cellStyle name="40% - Accent4 3 5 4" xfId="10053" xr:uid="{4C03BCFB-8FAB-4A41-8614-634BD5344DE1}"/>
    <cellStyle name="40% - Accent4 3 5 5" xfId="14264" xr:uid="{2D1639D6-D19D-4EAE-A7FF-424A0D6DCBE4}"/>
    <cellStyle name="40% - Accent4 3 6" xfId="1928" xr:uid="{00000000-0005-0000-0000-000013060000}"/>
    <cellStyle name="40% - Accent4 3 6 2" xfId="4157" xr:uid="{00000000-0005-0000-0000-000014060000}"/>
    <cellStyle name="40% - Accent4 3 6 2 2" xfId="8379" xr:uid="{00000000-0005-0000-0000-000015060000}"/>
    <cellStyle name="40% - Accent4 3 6 2 2 2" xfId="21040" xr:uid="{90F433D7-DE01-4D66-8875-59D2E01813ED}"/>
    <cellStyle name="40% - Accent4 3 6 2 3" xfId="12611" xr:uid="{8DBEA98A-3063-4D0B-9A70-0F010E800BBD}"/>
    <cellStyle name="40% - Accent4 3 6 2 4" xfId="16822" xr:uid="{E551EA44-9F59-4B5B-9C0D-7206DFA222DD}"/>
    <cellStyle name="40% - Accent4 3 6 3" xfId="6234" xr:uid="{00000000-0005-0000-0000-000016060000}"/>
    <cellStyle name="40% - Accent4 3 6 3 2" xfId="18895" xr:uid="{268CC8A3-F9E8-4D22-93DC-B80ED80AEA07}"/>
    <cellStyle name="40% - Accent4 3 6 4" xfId="10466" xr:uid="{E7BC4E26-BCFB-486C-9FC1-FF037708D1FF}"/>
    <cellStyle name="40% - Accent4 3 6 5" xfId="14677" xr:uid="{5E978B3F-EE67-4030-90A1-E54383951214}"/>
    <cellStyle name="40% - Accent4 3 7" xfId="2341" xr:uid="{00000000-0005-0000-0000-000017060000}"/>
    <cellStyle name="40% - Accent4 3 7 2" xfId="6647" xr:uid="{00000000-0005-0000-0000-000018060000}"/>
    <cellStyle name="40% - Accent4 3 7 2 2" xfId="19308" xr:uid="{BAFE8F04-8431-4AB1-AB55-58025257AFDD}"/>
    <cellStyle name="40% - Accent4 3 7 3" xfId="10879" xr:uid="{E1B5FB44-34E6-4941-91E4-D6BE1B7D0AF9}"/>
    <cellStyle name="40% - Accent4 3 7 4" xfId="15090" xr:uid="{93327D12-1CB1-484F-9122-A4EC39ECDCDB}"/>
    <cellStyle name="40% - Accent4 3 8" xfId="4581" xr:uid="{00000000-0005-0000-0000-000019060000}"/>
    <cellStyle name="40% - Accent4 3 8 2" xfId="17242" xr:uid="{2ECA45DA-4303-43E2-A895-6FF830A8127C}"/>
    <cellStyle name="40% - Accent4 3 9" xfId="8813" xr:uid="{C0A502D9-6C94-43D6-92E9-0E259AA137E5}"/>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9803" xr:uid="{D777FB38-13A2-4F51-AA72-F79DACED85F7}"/>
    <cellStyle name="40% - Accent4 4 2 2 3" xfId="11374" xr:uid="{0CF41CBB-0193-418D-96EA-61E4390CC8DF}"/>
    <cellStyle name="40% - Accent4 4 2 2 4" xfId="15585" xr:uid="{C6ECEE68-1432-4A25-B32C-E505CB649C99}"/>
    <cellStyle name="40% - Accent4 4 2 3" xfId="4997" xr:uid="{00000000-0005-0000-0000-00001E060000}"/>
    <cellStyle name="40% - Accent4 4 2 3 2" xfId="17658" xr:uid="{F082582C-0AA8-4662-9155-50872329AFB7}"/>
    <cellStyle name="40% - Accent4 4 2 4" xfId="9229" xr:uid="{008414EA-0E79-4EF0-B2A9-745C1DF9E036}"/>
    <cellStyle name="40% - Accent4 4 2 5" xfId="13440" xr:uid="{24746869-8832-444C-9ABB-A12E503606E2}"/>
    <cellStyle name="40% - Accent4 4 3" xfId="1102" xr:uid="{00000000-0005-0000-0000-00001F060000}"/>
    <cellStyle name="40% - Accent4 4 3 2" xfId="3333" xr:uid="{00000000-0005-0000-0000-000020060000}"/>
    <cellStyle name="40% - Accent4 4 3 2 2" xfId="7555" xr:uid="{00000000-0005-0000-0000-000021060000}"/>
    <cellStyle name="40% - Accent4 4 3 2 2 2" xfId="20216" xr:uid="{F87CC131-48B8-41EC-B8D0-6FF6E0240237}"/>
    <cellStyle name="40% - Accent4 4 3 2 3" xfId="11787" xr:uid="{AD4C92A2-AAFD-45B3-94FE-27107A5D5CB5}"/>
    <cellStyle name="40% - Accent4 4 3 2 4" xfId="15998" xr:uid="{0EAFB3B1-A931-4F06-A4D0-3764D23DD485}"/>
    <cellStyle name="40% - Accent4 4 3 3" xfId="5410" xr:uid="{00000000-0005-0000-0000-000022060000}"/>
    <cellStyle name="40% - Accent4 4 3 3 2" xfId="18071" xr:uid="{4E68DBE6-FE00-4B99-9098-03093ADF3C0A}"/>
    <cellStyle name="40% - Accent4 4 3 4" xfId="9642" xr:uid="{F0917B17-16E7-4989-ABA3-E056AB949BDB}"/>
    <cellStyle name="40% - Accent4 4 3 5" xfId="13853" xr:uid="{5DA0B48D-5E1D-4BD0-B7E2-F382F2C60880}"/>
    <cellStyle name="40% - Accent4 4 4" xfId="1516" xr:uid="{00000000-0005-0000-0000-000023060000}"/>
    <cellStyle name="40% - Accent4 4 4 2" xfId="3746" xr:uid="{00000000-0005-0000-0000-000024060000}"/>
    <cellStyle name="40% - Accent4 4 4 2 2" xfId="7968" xr:uid="{00000000-0005-0000-0000-000025060000}"/>
    <cellStyle name="40% - Accent4 4 4 2 2 2" xfId="20629" xr:uid="{4C2892F2-49CA-4981-A2C6-E98058B754A7}"/>
    <cellStyle name="40% - Accent4 4 4 2 3" xfId="12200" xr:uid="{30F8ED64-9EAB-4E1E-83B8-3943D7F78686}"/>
    <cellStyle name="40% - Accent4 4 4 2 4" xfId="16411" xr:uid="{1A946766-3756-4BCF-9DED-96BB38F97A6F}"/>
    <cellStyle name="40% - Accent4 4 4 3" xfId="5823" xr:uid="{00000000-0005-0000-0000-000026060000}"/>
    <cellStyle name="40% - Accent4 4 4 3 2" xfId="18484" xr:uid="{9FB7B394-AB56-429E-A407-22C4FD63A5EB}"/>
    <cellStyle name="40% - Accent4 4 4 4" xfId="10055" xr:uid="{B745B233-7017-4F70-B702-FD253E0CE80E}"/>
    <cellStyle name="40% - Accent4 4 4 5" xfId="14266" xr:uid="{9303F514-675A-488A-9756-5C202E5AF5A0}"/>
    <cellStyle name="40% - Accent4 4 5" xfId="1930" xr:uid="{00000000-0005-0000-0000-000027060000}"/>
    <cellStyle name="40% - Accent4 4 5 2" xfId="4159" xr:uid="{00000000-0005-0000-0000-000028060000}"/>
    <cellStyle name="40% - Accent4 4 5 2 2" xfId="8381" xr:uid="{00000000-0005-0000-0000-000029060000}"/>
    <cellStyle name="40% - Accent4 4 5 2 2 2" xfId="21042" xr:uid="{5BC3E4AB-3CAE-4CBC-B965-9F043A4CAC78}"/>
    <cellStyle name="40% - Accent4 4 5 2 3" xfId="12613" xr:uid="{3DC2C58F-99A4-42CA-BFCE-6DA10115B5CA}"/>
    <cellStyle name="40% - Accent4 4 5 2 4" xfId="16824" xr:uid="{B86AEDB5-5D33-427D-AAFB-38FB53004410}"/>
    <cellStyle name="40% - Accent4 4 5 3" xfId="6236" xr:uid="{00000000-0005-0000-0000-00002A060000}"/>
    <cellStyle name="40% - Accent4 4 5 3 2" xfId="18897" xr:uid="{F5440795-0F68-4359-9E6D-B3475577E8DA}"/>
    <cellStyle name="40% - Accent4 4 5 4" xfId="10468" xr:uid="{BA3200B7-A7B7-443E-B2EE-1CA1B1E7B67F}"/>
    <cellStyle name="40% - Accent4 4 5 5" xfId="14679" xr:uid="{58B84833-7FAA-41D6-8568-488D94060512}"/>
    <cellStyle name="40% - Accent4 4 6" xfId="2343" xr:uid="{00000000-0005-0000-0000-00002B060000}"/>
    <cellStyle name="40% - Accent4 4 6 2" xfId="6649" xr:uid="{00000000-0005-0000-0000-00002C060000}"/>
    <cellStyle name="40% - Accent4 4 6 2 2" xfId="19310" xr:uid="{89061ADB-2414-4748-B865-13DE24B93390}"/>
    <cellStyle name="40% - Accent4 4 6 3" xfId="10881" xr:uid="{F1DB11DA-876A-4D5E-9BC3-B6600A4A1B58}"/>
    <cellStyle name="40% - Accent4 4 6 4" xfId="15092" xr:uid="{B81F7206-3404-402C-8F35-52A2850D1F48}"/>
    <cellStyle name="40% - Accent4 4 7" xfId="4583" xr:uid="{00000000-0005-0000-0000-00002D060000}"/>
    <cellStyle name="40% - Accent4 4 7 2" xfId="17244" xr:uid="{30604CE5-0360-4087-ADE6-BFE18D72C2DB}"/>
    <cellStyle name="40% - Accent4 4 8" xfId="8815" xr:uid="{715AA4FF-C84C-41C5-9BC5-FEE2B7C02AE3}"/>
    <cellStyle name="40% - Accent4 4 9" xfId="13026" xr:uid="{82890C76-9634-4913-A7C7-C9E5B8C7136C}"/>
    <cellStyle name="40% - Accent4 5" xfId="642" xr:uid="{00000000-0005-0000-0000-00002E060000}"/>
    <cellStyle name="40% - Accent4 5 2" xfId="2913" xr:uid="{00000000-0005-0000-0000-00002F060000}"/>
    <cellStyle name="40% - Accent4 5 2 2" xfId="7135" xr:uid="{00000000-0005-0000-0000-000030060000}"/>
    <cellStyle name="40% - Accent4 5 2 2 2" xfId="19796" xr:uid="{1C741FFF-8D4D-4BD7-A46A-E11AB436B1B1}"/>
    <cellStyle name="40% - Accent4 5 2 3" xfId="11367" xr:uid="{9A065E8C-B624-4FEF-99BA-3C6AE7C248A0}"/>
    <cellStyle name="40% - Accent4 5 2 4" xfId="15578" xr:uid="{FE39D1D9-5B12-4C19-8AC9-2B916E2E778B}"/>
    <cellStyle name="40% - Accent4 5 3" xfId="4990" xr:uid="{00000000-0005-0000-0000-000031060000}"/>
    <cellStyle name="40% - Accent4 5 3 2" xfId="17651" xr:uid="{728D3EE4-B4BF-4494-8121-E486D740A5D0}"/>
    <cellStyle name="40% - Accent4 5 4" xfId="9222" xr:uid="{EBCEDB37-60C6-490F-8E9D-C016267FD82E}"/>
    <cellStyle name="40% - Accent4 5 5" xfId="13433" xr:uid="{4B2A432A-8507-4B71-85D3-A1DF55549431}"/>
    <cellStyle name="40% - Accent4 6" xfId="1095" xr:uid="{00000000-0005-0000-0000-000032060000}"/>
    <cellStyle name="40% - Accent4 6 2" xfId="3326" xr:uid="{00000000-0005-0000-0000-000033060000}"/>
    <cellStyle name="40% - Accent4 6 2 2" xfId="7548" xr:uid="{00000000-0005-0000-0000-000034060000}"/>
    <cellStyle name="40% - Accent4 6 2 2 2" xfId="20209" xr:uid="{33AE6631-1622-489A-BE80-693CBB14156B}"/>
    <cellStyle name="40% - Accent4 6 2 3" xfId="11780" xr:uid="{891E4BC1-760D-4DA5-A8EA-4B177CE6D2CF}"/>
    <cellStyle name="40% - Accent4 6 2 4" xfId="15991" xr:uid="{10CB198D-0EF3-4807-BAA2-9F34DE6F3672}"/>
    <cellStyle name="40% - Accent4 6 3" xfId="5403" xr:uid="{00000000-0005-0000-0000-000035060000}"/>
    <cellStyle name="40% - Accent4 6 3 2" xfId="18064" xr:uid="{E1E039C5-4AA3-4D08-8503-FC6726794FA9}"/>
    <cellStyle name="40% - Accent4 6 4" xfId="9635" xr:uid="{4F8A5E62-9E10-4336-9ABC-0D3B94C755A5}"/>
    <cellStyle name="40% - Accent4 6 5" xfId="13846" xr:uid="{6C6535EB-038F-4A61-9564-C052B939D512}"/>
    <cellStyle name="40% - Accent4 7" xfId="1509" xr:uid="{00000000-0005-0000-0000-000036060000}"/>
    <cellStyle name="40% - Accent4 7 2" xfId="3739" xr:uid="{00000000-0005-0000-0000-000037060000}"/>
    <cellStyle name="40% - Accent4 7 2 2" xfId="7961" xr:uid="{00000000-0005-0000-0000-000038060000}"/>
    <cellStyle name="40% - Accent4 7 2 2 2" xfId="20622" xr:uid="{EF8CFD19-BFBC-4DCC-A24F-3207648C6814}"/>
    <cellStyle name="40% - Accent4 7 2 3" xfId="12193" xr:uid="{5A88B3F4-0070-4708-B832-A9ECCF83882B}"/>
    <cellStyle name="40% - Accent4 7 2 4" xfId="16404" xr:uid="{E83804B1-0C1A-4EC9-95C3-770D68368A60}"/>
    <cellStyle name="40% - Accent4 7 3" xfId="5816" xr:uid="{00000000-0005-0000-0000-000039060000}"/>
    <cellStyle name="40% - Accent4 7 3 2" xfId="18477" xr:uid="{CB13F349-B330-4D9C-BBBC-CB36A119E8C1}"/>
    <cellStyle name="40% - Accent4 7 4" xfId="10048" xr:uid="{04CD5A2E-EFFA-4FD4-AEC3-9F50EEADAE97}"/>
    <cellStyle name="40% - Accent4 7 5" xfId="14259" xr:uid="{4791D7F1-557D-4E7E-B9B5-BE1FD5CA23C3}"/>
    <cellStyle name="40% - Accent4 8" xfId="1923" xr:uid="{00000000-0005-0000-0000-00003A060000}"/>
    <cellStyle name="40% - Accent4 8 2" xfId="4152" xr:uid="{00000000-0005-0000-0000-00003B060000}"/>
    <cellStyle name="40% - Accent4 8 2 2" xfId="8374" xr:uid="{00000000-0005-0000-0000-00003C060000}"/>
    <cellStyle name="40% - Accent4 8 2 2 2" xfId="21035" xr:uid="{A95A5B69-CC0A-4271-A2EF-B6429BC1731C}"/>
    <cellStyle name="40% - Accent4 8 2 3" xfId="12606" xr:uid="{9D50FBA9-D079-4643-8E8B-8399BBCCFA57}"/>
    <cellStyle name="40% - Accent4 8 2 4" xfId="16817" xr:uid="{9D5C2180-9E2E-4276-B16C-AC8ED6BD87CC}"/>
    <cellStyle name="40% - Accent4 8 3" xfId="6229" xr:uid="{00000000-0005-0000-0000-00003D060000}"/>
    <cellStyle name="40% - Accent4 8 3 2" xfId="18890" xr:uid="{541AA0A1-F12F-4E6B-AE87-3658C8818B82}"/>
    <cellStyle name="40% - Accent4 8 4" xfId="10461" xr:uid="{7CCD265D-6078-4B0D-A3A7-F840AB39C10A}"/>
    <cellStyle name="40% - Accent4 8 5" xfId="14672" xr:uid="{E5184E74-9206-4496-B046-FD733A0AAB6F}"/>
    <cellStyle name="40% - Accent4 9" xfId="2336" xr:uid="{00000000-0005-0000-0000-00003E060000}"/>
    <cellStyle name="40% - Accent4 9 2" xfId="6642" xr:uid="{00000000-0005-0000-0000-00003F060000}"/>
    <cellStyle name="40% - Accent4 9 2 2" xfId="19303" xr:uid="{77338A02-58C8-4DFD-8B3B-AFC7EED76623}"/>
    <cellStyle name="40% - Accent4 9 3" xfId="10874" xr:uid="{350291E7-42B2-49DA-B2A4-D1B94746A268}"/>
    <cellStyle name="40% - Accent4 9 4" xfId="15085" xr:uid="{CF852D47-0B45-4DC7-BA5D-C917A8C49FB9}"/>
    <cellStyle name="40% - Accent5" xfId="81" builtinId="47" customBuiltin="1"/>
    <cellStyle name="40% - Accent5 10" xfId="4584" xr:uid="{00000000-0005-0000-0000-000041060000}"/>
    <cellStyle name="40% - Accent5 10 2" xfId="17245" xr:uid="{74EFC986-7127-42A1-B3CD-03CF12BD8066}"/>
    <cellStyle name="40% - Accent5 11" xfId="8816" xr:uid="{88C849D0-543F-4A56-B1E0-8E09211EEB2A}"/>
    <cellStyle name="40% - Accent5 12" xfId="13027" xr:uid="{D6670371-9C17-4D73-8AF2-4EF3741D2CC2}"/>
    <cellStyle name="40% - Accent5 2" xfId="82" xr:uid="{00000000-0005-0000-0000-000042060000}"/>
    <cellStyle name="40% - Accent5 2 10" xfId="8817" xr:uid="{DF43B35F-D04A-42F3-926D-F1E11AF28190}"/>
    <cellStyle name="40% - Accent5 2 11" xfId="13028" xr:uid="{A9F270B4-24EC-4B55-81DF-4989F8FBA31A}"/>
    <cellStyle name="40% - Accent5 2 2" xfId="83" xr:uid="{00000000-0005-0000-0000-000043060000}"/>
    <cellStyle name="40% - Accent5 2 2 10" xfId="13029" xr:uid="{1FC99CBC-59F1-4567-A706-F5332437873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9807" xr:uid="{0B6FFA80-B4F4-4236-A690-895ADA0F5B1A}"/>
    <cellStyle name="40% - Accent5 2 2 2 2 2 3" xfId="11378" xr:uid="{B975966C-0F7E-41D3-BE88-145E31224405}"/>
    <cellStyle name="40% - Accent5 2 2 2 2 2 4" xfId="15589" xr:uid="{CC145444-CD11-4816-8E0F-9B4E136619D3}"/>
    <cellStyle name="40% - Accent5 2 2 2 2 3" xfId="5001" xr:uid="{00000000-0005-0000-0000-000048060000}"/>
    <cellStyle name="40% - Accent5 2 2 2 2 3 2" xfId="17662" xr:uid="{6FC0085F-4FE2-45E4-A9CD-EBEC7C063FAC}"/>
    <cellStyle name="40% - Accent5 2 2 2 2 4" xfId="9233" xr:uid="{C5995F62-6CDC-4E8E-87CC-FA268356CA20}"/>
    <cellStyle name="40% - Accent5 2 2 2 2 5" xfId="13444" xr:uid="{679B5C8C-06F0-474D-8B41-674B14FBB419}"/>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20220" xr:uid="{03428CD4-1FF6-4D08-BFEE-7D953C341252}"/>
    <cellStyle name="40% - Accent5 2 2 2 3 2 3" xfId="11791" xr:uid="{A93AEEA7-1DA1-4759-B547-40D149F4DF2B}"/>
    <cellStyle name="40% - Accent5 2 2 2 3 2 4" xfId="16002" xr:uid="{92078F6E-A233-4621-B208-3F2CFA4A4ED6}"/>
    <cellStyle name="40% - Accent5 2 2 2 3 3" xfId="5414" xr:uid="{00000000-0005-0000-0000-00004C060000}"/>
    <cellStyle name="40% - Accent5 2 2 2 3 3 2" xfId="18075" xr:uid="{1A7AAFDD-5174-452C-8279-48C0D0E0D32B}"/>
    <cellStyle name="40% - Accent5 2 2 2 3 4" xfId="9646" xr:uid="{FBB41A5B-AC3D-4E5D-8FA3-4056FBE0F9B5}"/>
    <cellStyle name="40% - Accent5 2 2 2 3 5" xfId="13857" xr:uid="{91FB47F3-434F-49FD-8B79-761F35FDEAB5}"/>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20633" xr:uid="{0962C209-C59F-4A27-B1BA-52E18D59C340}"/>
    <cellStyle name="40% - Accent5 2 2 2 4 2 3" xfId="12204" xr:uid="{284EBACE-DE45-446E-A2E4-5C8592BE825D}"/>
    <cellStyle name="40% - Accent5 2 2 2 4 2 4" xfId="16415" xr:uid="{67980734-6F79-4A19-B2A7-C669BA23F66C}"/>
    <cellStyle name="40% - Accent5 2 2 2 4 3" xfId="5827" xr:uid="{00000000-0005-0000-0000-000050060000}"/>
    <cellStyle name="40% - Accent5 2 2 2 4 3 2" xfId="18488" xr:uid="{0DC08BC5-A4EC-4862-B60A-D2E85E80005A}"/>
    <cellStyle name="40% - Accent5 2 2 2 4 4" xfId="10059" xr:uid="{BEBD50B4-3C13-40C0-AB8D-7B5B395B5505}"/>
    <cellStyle name="40% - Accent5 2 2 2 4 5" xfId="14270" xr:uid="{9924BC7D-2EB3-4552-BB6E-F9EA1832F039}"/>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21046" xr:uid="{578740BD-3B03-48A6-98A9-7C0B6A6A88CD}"/>
    <cellStyle name="40% - Accent5 2 2 2 5 2 3" xfId="12617" xr:uid="{2FD9FD21-93BF-4C32-B3F7-DA88A9CD4F7F}"/>
    <cellStyle name="40% - Accent5 2 2 2 5 2 4" xfId="16828" xr:uid="{A10C7B77-8D65-4681-BC74-247AFEBD65BB}"/>
    <cellStyle name="40% - Accent5 2 2 2 5 3" xfId="6240" xr:uid="{00000000-0005-0000-0000-000054060000}"/>
    <cellStyle name="40% - Accent5 2 2 2 5 3 2" xfId="18901" xr:uid="{0D15FB42-DA78-47A2-9E05-249222378027}"/>
    <cellStyle name="40% - Accent5 2 2 2 5 4" xfId="10472" xr:uid="{DB8F2503-1B00-4763-B5DD-7A81C5C1A398}"/>
    <cellStyle name="40% - Accent5 2 2 2 5 5" xfId="14683" xr:uid="{568DD195-347A-4E86-8E33-44B03B1D8851}"/>
    <cellStyle name="40% - Accent5 2 2 2 6" xfId="2347" xr:uid="{00000000-0005-0000-0000-000055060000}"/>
    <cellStyle name="40% - Accent5 2 2 2 6 2" xfId="6653" xr:uid="{00000000-0005-0000-0000-000056060000}"/>
    <cellStyle name="40% - Accent5 2 2 2 6 2 2" xfId="19314" xr:uid="{FD40A418-8AE6-44D5-AC41-CA50B1F5A70D}"/>
    <cellStyle name="40% - Accent5 2 2 2 6 3" xfId="10885" xr:uid="{A93A2B92-1D96-48F3-AA68-A48A3AEF10FC}"/>
    <cellStyle name="40% - Accent5 2 2 2 6 4" xfId="15096" xr:uid="{20FC52DA-21D0-4BA0-8281-7BE0074E958C}"/>
    <cellStyle name="40% - Accent5 2 2 2 7" xfId="4587" xr:uid="{00000000-0005-0000-0000-000057060000}"/>
    <cellStyle name="40% - Accent5 2 2 2 7 2" xfId="17248" xr:uid="{8E85ABBF-8C55-4C42-BB1E-3F8099FC3F31}"/>
    <cellStyle name="40% - Accent5 2 2 2 8" xfId="8819" xr:uid="{81C9A77F-0C04-4BC5-B417-16CB4C0145BD}"/>
    <cellStyle name="40% - Accent5 2 2 2 9" xfId="13030" xr:uid="{371F5B94-FA6A-429C-A5F7-7D4D24AD0503}"/>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9806" xr:uid="{AB8BD2C5-B6FF-49D4-B30F-9A5ABAC68796}"/>
    <cellStyle name="40% - Accent5 2 2 3 2 3" xfId="11377" xr:uid="{B0E6B809-5E1B-486E-8941-0F7C90CD0B6D}"/>
    <cellStyle name="40% - Accent5 2 2 3 2 4" xfId="15588" xr:uid="{8AF14363-0687-457C-94DC-444E31EE4888}"/>
    <cellStyle name="40% - Accent5 2 2 3 3" xfId="5000" xr:uid="{00000000-0005-0000-0000-00005B060000}"/>
    <cellStyle name="40% - Accent5 2 2 3 3 2" xfId="17661" xr:uid="{440835C3-F4B4-4D90-BB4C-2B186E44D28F}"/>
    <cellStyle name="40% - Accent5 2 2 3 4" xfId="9232" xr:uid="{BFB5E5FA-4329-414A-BD66-D79A0F9BAFFF}"/>
    <cellStyle name="40% - Accent5 2 2 3 5" xfId="13443" xr:uid="{417BBCD3-2953-4B0A-B0C8-3DD6FB0B8A77}"/>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20219" xr:uid="{4666ECD7-C37F-4B07-B100-94C162FA1CD1}"/>
    <cellStyle name="40% - Accent5 2 2 4 2 3" xfId="11790" xr:uid="{FB56D464-5EFF-4076-B376-98773B5BB8DE}"/>
    <cellStyle name="40% - Accent5 2 2 4 2 4" xfId="16001" xr:uid="{2DE2581D-C3A0-48B6-B0A3-AB6F449D86E6}"/>
    <cellStyle name="40% - Accent5 2 2 4 3" xfId="5413" xr:uid="{00000000-0005-0000-0000-00005F060000}"/>
    <cellStyle name="40% - Accent5 2 2 4 3 2" xfId="18074" xr:uid="{FA9931EA-0378-4459-9742-26624A6BC011}"/>
    <cellStyle name="40% - Accent5 2 2 4 4" xfId="9645" xr:uid="{73E6E28C-A48B-4562-B7EC-CED444FE2FFB}"/>
    <cellStyle name="40% - Accent5 2 2 4 5" xfId="13856" xr:uid="{05A0D1B7-5EBF-43FF-A374-C5DFE3104E03}"/>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20632" xr:uid="{D70F760E-0102-4863-BCB3-879B1403FFD4}"/>
    <cellStyle name="40% - Accent5 2 2 5 2 3" xfId="12203" xr:uid="{C289A407-4DDC-49CA-B8D2-933D4745D3C3}"/>
    <cellStyle name="40% - Accent5 2 2 5 2 4" xfId="16414" xr:uid="{75937289-8888-482A-A5FE-3083D6F81302}"/>
    <cellStyle name="40% - Accent5 2 2 5 3" xfId="5826" xr:uid="{00000000-0005-0000-0000-000063060000}"/>
    <cellStyle name="40% - Accent5 2 2 5 3 2" xfId="18487" xr:uid="{1F81DA8B-CD18-43FA-B98A-519988B3334A}"/>
    <cellStyle name="40% - Accent5 2 2 5 4" xfId="10058" xr:uid="{0E23508E-DB1D-471C-91EE-51D98DF3A843}"/>
    <cellStyle name="40% - Accent5 2 2 5 5" xfId="14269" xr:uid="{5AEFCEEB-8D36-4F28-B96C-AE29C32BC675}"/>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21045" xr:uid="{BFD749AC-C8EC-48C4-9C49-ABD6BC7AF7A3}"/>
    <cellStyle name="40% - Accent5 2 2 6 2 3" xfId="12616" xr:uid="{76D059C0-3373-45E4-912A-B3280F23F15F}"/>
    <cellStyle name="40% - Accent5 2 2 6 2 4" xfId="16827" xr:uid="{B9A5729E-8FD7-4EB2-B6C5-739553A7B9C0}"/>
    <cellStyle name="40% - Accent5 2 2 6 3" xfId="6239" xr:uid="{00000000-0005-0000-0000-000067060000}"/>
    <cellStyle name="40% - Accent5 2 2 6 3 2" xfId="18900" xr:uid="{CFCE2191-B82C-46F8-81ED-73093639970E}"/>
    <cellStyle name="40% - Accent5 2 2 6 4" xfId="10471" xr:uid="{713D07A0-A3E8-4945-85A7-5FB61C696450}"/>
    <cellStyle name="40% - Accent5 2 2 6 5" xfId="14682" xr:uid="{13137B71-631F-410F-8041-4E00B0CFE619}"/>
    <cellStyle name="40% - Accent5 2 2 7" xfId="2346" xr:uid="{00000000-0005-0000-0000-000068060000}"/>
    <cellStyle name="40% - Accent5 2 2 7 2" xfId="6652" xr:uid="{00000000-0005-0000-0000-000069060000}"/>
    <cellStyle name="40% - Accent5 2 2 7 2 2" xfId="19313" xr:uid="{2638ABC2-6331-4388-B66B-A6A2FA0B9417}"/>
    <cellStyle name="40% - Accent5 2 2 7 3" xfId="10884" xr:uid="{2065CE5D-0692-4BE8-9889-C017DF75C568}"/>
    <cellStyle name="40% - Accent5 2 2 7 4" xfId="15095" xr:uid="{F9DC5305-D155-49E8-8523-F9CDC345FCBE}"/>
    <cellStyle name="40% - Accent5 2 2 8" xfId="4586" xr:uid="{00000000-0005-0000-0000-00006A060000}"/>
    <cellStyle name="40% - Accent5 2 2 8 2" xfId="17247" xr:uid="{30616100-8A1B-4BC6-842C-96DC8CE1C0E6}"/>
    <cellStyle name="40% - Accent5 2 2 9" xfId="8818" xr:uid="{5AAA9D9B-6CF9-45CA-8ABD-6E25EA25FFD8}"/>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9808" xr:uid="{B3B5B4DD-9D5D-4A0C-9319-51847F915CCB}"/>
    <cellStyle name="40% - Accent5 2 3 2 2 3" xfId="11379" xr:uid="{EF83BA7D-A83C-42CA-A060-0416302EB60E}"/>
    <cellStyle name="40% - Accent5 2 3 2 2 4" xfId="15590" xr:uid="{D52BF824-F8D9-4B46-8E00-818100E1C029}"/>
    <cellStyle name="40% - Accent5 2 3 2 3" xfId="5002" xr:uid="{00000000-0005-0000-0000-00006F060000}"/>
    <cellStyle name="40% - Accent5 2 3 2 3 2" xfId="17663" xr:uid="{C8F218E6-2AA7-4BD8-BD73-BE05FB621065}"/>
    <cellStyle name="40% - Accent5 2 3 2 4" xfId="9234" xr:uid="{BE48B2CB-EFB1-4599-BE42-7CF65CAA637E}"/>
    <cellStyle name="40% - Accent5 2 3 2 5" xfId="13445" xr:uid="{BE59C754-4DDC-45B9-BAEB-EE97992E44A3}"/>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20221" xr:uid="{57754A20-3E2B-4501-8F02-DBE321753927}"/>
    <cellStyle name="40% - Accent5 2 3 3 2 3" xfId="11792" xr:uid="{D4708FE9-F40C-4617-864A-52B05B92C433}"/>
    <cellStyle name="40% - Accent5 2 3 3 2 4" xfId="16003" xr:uid="{28F903A2-228B-49BA-B223-E417FA72AECD}"/>
    <cellStyle name="40% - Accent5 2 3 3 3" xfId="5415" xr:uid="{00000000-0005-0000-0000-000073060000}"/>
    <cellStyle name="40% - Accent5 2 3 3 3 2" xfId="18076" xr:uid="{3774291E-281D-481C-A9AF-50314FD9CD6B}"/>
    <cellStyle name="40% - Accent5 2 3 3 4" xfId="9647" xr:uid="{E36BAE31-E9C5-48FF-BF70-7FC0E4F46E7A}"/>
    <cellStyle name="40% - Accent5 2 3 3 5" xfId="13858" xr:uid="{D82277A5-2961-41E8-A5B1-159CD6ED2EC5}"/>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20634" xr:uid="{9C8FAD0A-3A3F-4DC9-BCA5-0B03CECD4A14}"/>
    <cellStyle name="40% - Accent5 2 3 4 2 3" xfId="12205" xr:uid="{4AD70C4B-CFEF-4FCB-BB72-AFCE7A3F405B}"/>
    <cellStyle name="40% - Accent5 2 3 4 2 4" xfId="16416" xr:uid="{217A12D7-8AE0-4683-9673-952134387AEB}"/>
    <cellStyle name="40% - Accent5 2 3 4 3" xfId="5828" xr:uid="{00000000-0005-0000-0000-000077060000}"/>
    <cellStyle name="40% - Accent5 2 3 4 3 2" xfId="18489" xr:uid="{B4B92263-A19C-4A9E-98C9-988D44E55265}"/>
    <cellStyle name="40% - Accent5 2 3 4 4" xfId="10060" xr:uid="{2F1D0C1D-2903-41C0-95F4-696E0B9CD313}"/>
    <cellStyle name="40% - Accent5 2 3 4 5" xfId="14271" xr:uid="{2D4F348C-06EF-417E-A6DB-624D5B4DD508}"/>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21047" xr:uid="{24BC4F21-27E4-4F69-A028-CFEBFAA92914}"/>
    <cellStyle name="40% - Accent5 2 3 5 2 3" xfId="12618" xr:uid="{38825264-3C24-4A56-A8F5-FBC573C4790C}"/>
    <cellStyle name="40% - Accent5 2 3 5 2 4" xfId="16829" xr:uid="{054ED721-2960-4AB3-8F41-1B71A265BAB0}"/>
    <cellStyle name="40% - Accent5 2 3 5 3" xfId="6241" xr:uid="{00000000-0005-0000-0000-00007B060000}"/>
    <cellStyle name="40% - Accent5 2 3 5 3 2" xfId="18902" xr:uid="{A9F6525B-CF89-4B9B-9669-367365606786}"/>
    <cellStyle name="40% - Accent5 2 3 5 4" xfId="10473" xr:uid="{6BC9265D-1109-48D8-9BDD-8E97ADFD1EB5}"/>
    <cellStyle name="40% - Accent5 2 3 5 5" xfId="14684" xr:uid="{3E243C67-12A5-428B-AE40-43595D6253F5}"/>
    <cellStyle name="40% - Accent5 2 3 6" xfId="2348" xr:uid="{00000000-0005-0000-0000-00007C060000}"/>
    <cellStyle name="40% - Accent5 2 3 6 2" xfId="6654" xr:uid="{00000000-0005-0000-0000-00007D060000}"/>
    <cellStyle name="40% - Accent5 2 3 6 2 2" xfId="19315" xr:uid="{ADA08681-4896-4E1F-93E6-4E06C482EC82}"/>
    <cellStyle name="40% - Accent5 2 3 6 3" xfId="10886" xr:uid="{274BD50C-CD32-49AE-9D04-226184110584}"/>
    <cellStyle name="40% - Accent5 2 3 6 4" xfId="15097" xr:uid="{46191EBF-B024-4F95-84B6-21D49948D9CD}"/>
    <cellStyle name="40% - Accent5 2 3 7" xfId="4588" xr:uid="{00000000-0005-0000-0000-00007E060000}"/>
    <cellStyle name="40% - Accent5 2 3 7 2" xfId="17249" xr:uid="{1EC4D3B2-1FFB-4B26-8614-C4227C6C1C4F}"/>
    <cellStyle name="40% - Accent5 2 3 8" xfId="8820" xr:uid="{6A6B956F-927A-44C6-86CC-96D0E33954D7}"/>
    <cellStyle name="40% - Accent5 2 3 9" xfId="13031" xr:uid="{743CDA03-CCB8-4B50-A3A5-32D40F359FEB}"/>
    <cellStyle name="40% - Accent5 2 4" xfId="651" xr:uid="{00000000-0005-0000-0000-00007F060000}"/>
    <cellStyle name="40% - Accent5 2 4 2" xfId="2922" xr:uid="{00000000-0005-0000-0000-000080060000}"/>
    <cellStyle name="40% - Accent5 2 4 2 2" xfId="7144" xr:uid="{00000000-0005-0000-0000-000081060000}"/>
    <cellStyle name="40% - Accent5 2 4 2 2 2" xfId="19805" xr:uid="{BC168B55-D92C-42B2-8DF9-56E9A61254AB}"/>
    <cellStyle name="40% - Accent5 2 4 2 3" xfId="11376" xr:uid="{EF8F5676-101D-47E5-A4EE-13EDD64B5C38}"/>
    <cellStyle name="40% - Accent5 2 4 2 4" xfId="15587" xr:uid="{5A5A7615-A81C-49C5-BEAC-B11E67C8E7C4}"/>
    <cellStyle name="40% - Accent5 2 4 3" xfId="4999" xr:uid="{00000000-0005-0000-0000-000082060000}"/>
    <cellStyle name="40% - Accent5 2 4 3 2" xfId="17660" xr:uid="{34F127D7-34A7-42E4-A844-0104CF414A5C}"/>
    <cellStyle name="40% - Accent5 2 4 4" xfId="9231" xr:uid="{6D1BFD8A-1428-44FF-B633-7E0566A47C0F}"/>
    <cellStyle name="40% - Accent5 2 4 5" xfId="13442" xr:uid="{83430025-1D9A-4BB1-B9F2-A2B0C86A11B5}"/>
    <cellStyle name="40% - Accent5 2 5" xfId="1104" xr:uid="{00000000-0005-0000-0000-000083060000}"/>
    <cellStyle name="40% - Accent5 2 5 2" xfId="3335" xr:uid="{00000000-0005-0000-0000-000084060000}"/>
    <cellStyle name="40% - Accent5 2 5 2 2" xfId="7557" xr:uid="{00000000-0005-0000-0000-000085060000}"/>
    <cellStyle name="40% - Accent5 2 5 2 2 2" xfId="20218" xr:uid="{E55572F2-A821-49B4-B693-A33A7575D9B5}"/>
    <cellStyle name="40% - Accent5 2 5 2 3" xfId="11789" xr:uid="{CB734185-6F2D-4532-B3C6-38C33B7AC7E0}"/>
    <cellStyle name="40% - Accent5 2 5 2 4" xfId="16000" xr:uid="{74BAD4A5-3E89-4876-A135-15660861A773}"/>
    <cellStyle name="40% - Accent5 2 5 3" xfId="5412" xr:uid="{00000000-0005-0000-0000-000086060000}"/>
    <cellStyle name="40% - Accent5 2 5 3 2" xfId="18073" xr:uid="{CD146EB7-0032-41CC-90EE-CAB078E0EAA7}"/>
    <cellStyle name="40% - Accent5 2 5 4" xfId="9644" xr:uid="{B57565AA-3E66-4649-A87E-AE2FF28699E5}"/>
    <cellStyle name="40% - Accent5 2 5 5" xfId="13855" xr:uid="{2FF71047-BAF4-49A8-94D5-EB4B1FF19F0F}"/>
    <cellStyle name="40% - Accent5 2 6" xfId="1518" xr:uid="{00000000-0005-0000-0000-000087060000}"/>
    <cellStyle name="40% - Accent5 2 6 2" xfId="3748" xr:uid="{00000000-0005-0000-0000-000088060000}"/>
    <cellStyle name="40% - Accent5 2 6 2 2" xfId="7970" xr:uid="{00000000-0005-0000-0000-000089060000}"/>
    <cellStyle name="40% - Accent5 2 6 2 2 2" xfId="20631" xr:uid="{09095307-0A33-4D04-BD4C-11A34D6108EC}"/>
    <cellStyle name="40% - Accent5 2 6 2 3" xfId="12202" xr:uid="{10B3C6FC-B91B-4BFC-94E8-7F445446CF8D}"/>
    <cellStyle name="40% - Accent5 2 6 2 4" xfId="16413" xr:uid="{E4E64407-D324-4E25-962D-3F007F5FC24B}"/>
    <cellStyle name="40% - Accent5 2 6 3" xfId="5825" xr:uid="{00000000-0005-0000-0000-00008A060000}"/>
    <cellStyle name="40% - Accent5 2 6 3 2" xfId="18486" xr:uid="{75D0790D-5D65-445D-8EBE-ABCE5AD4FF9B}"/>
    <cellStyle name="40% - Accent5 2 6 4" xfId="10057" xr:uid="{CD5B0A9B-B079-4DD4-9AF2-904E85C896A4}"/>
    <cellStyle name="40% - Accent5 2 6 5" xfId="14268" xr:uid="{28D54E46-E563-4515-98B1-FF238F7DA009}"/>
    <cellStyle name="40% - Accent5 2 7" xfId="1932" xr:uid="{00000000-0005-0000-0000-00008B060000}"/>
    <cellStyle name="40% - Accent5 2 7 2" xfId="4161" xr:uid="{00000000-0005-0000-0000-00008C060000}"/>
    <cellStyle name="40% - Accent5 2 7 2 2" xfId="8383" xr:uid="{00000000-0005-0000-0000-00008D060000}"/>
    <cellStyle name="40% - Accent5 2 7 2 2 2" xfId="21044" xr:uid="{F8A517F4-A913-4428-A3A9-A2E520651235}"/>
    <cellStyle name="40% - Accent5 2 7 2 3" xfId="12615" xr:uid="{AE3A9146-9A86-4775-87FA-15A33C2F5024}"/>
    <cellStyle name="40% - Accent5 2 7 2 4" xfId="16826" xr:uid="{518A2A55-7486-42A1-B867-A7123FDD0A45}"/>
    <cellStyle name="40% - Accent5 2 7 3" xfId="6238" xr:uid="{00000000-0005-0000-0000-00008E060000}"/>
    <cellStyle name="40% - Accent5 2 7 3 2" xfId="18899" xr:uid="{4B3AAA37-1E85-484B-9DE2-ECC2873F52A5}"/>
    <cellStyle name="40% - Accent5 2 7 4" xfId="10470" xr:uid="{65369CFF-C662-4721-9B30-05359EE8364B}"/>
    <cellStyle name="40% - Accent5 2 7 5" xfId="14681" xr:uid="{FE0F36BA-492B-4B9C-8314-85CB3AC77E3D}"/>
    <cellStyle name="40% - Accent5 2 8" xfId="2345" xr:uid="{00000000-0005-0000-0000-00008F060000}"/>
    <cellStyle name="40% - Accent5 2 8 2" xfId="6651" xr:uid="{00000000-0005-0000-0000-000090060000}"/>
    <cellStyle name="40% - Accent5 2 8 2 2" xfId="19312" xr:uid="{4B565A04-7FD6-494F-A697-81FD971FB7B1}"/>
    <cellStyle name="40% - Accent5 2 8 3" xfId="10883" xr:uid="{FE60900D-AFF0-4592-9D91-3898001B4E1F}"/>
    <cellStyle name="40% - Accent5 2 8 4" xfId="15094" xr:uid="{D51F3DF6-0291-404B-98F1-A9B397E4C965}"/>
    <cellStyle name="40% - Accent5 2 9" xfId="4585" xr:uid="{00000000-0005-0000-0000-000091060000}"/>
    <cellStyle name="40% - Accent5 2 9 2" xfId="17246" xr:uid="{E51E82F2-EE8D-42AC-9F63-BA007D401551}"/>
    <cellStyle name="40% - Accent5 3" xfId="86" xr:uid="{00000000-0005-0000-0000-000092060000}"/>
    <cellStyle name="40% - Accent5 3 10" xfId="13032" xr:uid="{D61A3CDC-6D68-4237-B66E-969B9FBDE4DA}"/>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9810" xr:uid="{C4E83053-35D1-489C-A573-1DE91E14E910}"/>
    <cellStyle name="40% - Accent5 3 2 2 2 3" xfId="11381" xr:uid="{6D80CB4B-89C3-4123-9B92-22059EE60168}"/>
    <cellStyle name="40% - Accent5 3 2 2 2 4" xfId="15592" xr:uid="{D388B1EB-DA39-44DD-BC2D-921B5DA9E014}"/>
    <cellStyle name="40% - Accent5 3 2 2 3" xfId="5004" xr:uid="{00000000-0005-0000-0000-000097060000}"/>
    <cellStyle name="40% - Accent5 3 2 2 3 2" xfId="17665" xr:uid="{7549F0F7-3F49-40B2-84BF-6B1F3371A741}"/>
    <cellStyle name="40% - Accent5 3 2 2 4" xfId="9236" xr:uid="{6CCD2EF0-7B43-4370-BFF4-00075822BCD6}"/>
    <cellStyle name="40% - Accent5 3 2 2 5" xfId="13447" xr:uid="{DEABEF6B-E37A-42D4-9802-452056780415}"/>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20223" xr:uid="{2D084BA3-F442-4843-A293-4CA4AE24C6CE}"/>
    <cellStyle name="40% - Accent5 3 2 3 2 3" xfId="11794" xr:uid="{06001E7B-06E6-445A-ACBB-35FF9A5259A5}"/>
    <cellStyle name="40% - Accent5 3 2 3 2 4" xfId="16005" xr:uid="{FB184C03-309C-4483-A890-8DA8AA69A90F}"/>
    <cellStyle name="40% - Accent5 3 2 3 3" xfId="5417" xr:uid="{00000000-0005-0000-0000-00009B060000}"/>
    <cellStyle name="40% - Accent5 3 2 3 3 2" xfId="18078" xr:uid="{4CCC437C-4889-4F03-B4AD-835A7B310299}"/>
    <cellStyle name="40% - Accent5 3 2 3 4" xfId="9649" xr:uid="{B1407CB1-A340-4DFA-91E2-06306ED136C5}"/>
    <cellStyle name="40% - Accent5 3 2 3 5" xfId="13860" xr:uid="{BE4D881E-B501-4CA7-BDFF-A141AC6D33BC}"/>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20636" xr:uid="{EC170C1F-5001-48CD-AF0C-426CFD94EFB7}"/>
    <cellStyle name="40% - Accent5 3 2 4 2 3" xfId="12207" xr:uid="{1D174F29-A659-4814-AEA3-4A5D75515B00}"/>
    <cellStyle name="40% - Accent5 3 2 4 2 4" xfId="16418" xr:uid="{B6BC3E07-335F-4C35-9781-D9B385199F80}"/>
    <cellStyle name="40% - Accent5 3 2 4 3" xfId="5830" xr:uid="{00000000-0005-0000-0000-00009F060000}"/>
    <cellStyle name="40% - Accent5 3 2 4 3 2" xfId="18491" xr:uid="{E61B94D0-E523-4B48-BD53-887EFE3A3CE8}"/>
    <cellStyle name="40% - Accent5 3 2 4 4" xfId="10062" xr:uid="{BFA27B7E-1F6E-40CB-88E0-3B8AA7CF036D}"/>
    <cellStyle name="40% - Accent5 3 2 4 5" xfId="14273" xr:uid="{83344CF4-9500-478B-B197-BDE377CCA4D7}"/>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21049" xr:uid="{ED1D0F97-E812-4142-AA12-DCECD2DD09DD}"/>
    <cellStyle name="40% - Accent5 3 2 5 2 3" xfId="12620" xr:uid="{9A2B25A6-FFA4-44AA-BFA4-3393D09E600F}"/>
    <cellStyle name="40% - Accent5 3 2 5 2 4" xfId="16831" xr:uid="{042BF3DA-ADC7-4A77-A33A-37FFBCC32097}"/>
    <cellStyle name="40% - Accent5 3 2 5 3" xfId="6243" xr:uid="{00000000-0005-0000-0000-0000A3060000}"/>
    <cellStyle name="40% - Accent5 3 2 5 3 2" xfId="18904" xr:uid="{8A4B01E9-37C8-42B0-81DB-1079FD9D2185}"/>
    <cellStyle name="40% - Accent5 3 2 5 4" xfId="10475" xr:uid="{DEBCFB51-08F1-4C56-B958-72CD34C463A2}"/>
    <cellStyle name="40% - Accent5 3 2 5 5" xfId="14686" xr:uid="{C83EAAE4-9B58-40DF-9951-B54710E47A7B}"/>
    <cellStyle name="40% - Accent5 3 2 6" xfId="2350" xr:uid="{00000000-0005-0000-0000-0000A4060000}"/>
    <cellStyle name="40% - Accent5 3 2 6 2" xfId="6656" xr:uid="{00000000-0005-0000-0000-0000A5060000}"/>
    <cellStyle name="40% - Accent5 3 2 6 2 2" xfId="19317" xr:uid="{CFD58766-271C-4CEB-9249-98DF088DBF82}"/>
    <cellStyle name="40% - Accent5 3 2 6 3" xfId="10888" xr:uid="{E1CA4BA4-25A5-4E82-B098-44D6AD705201}"/>
    <cellStyle name="40% - Accent5 3 2 6 4" xfId="15099" xr:uid="{36359848-79C9-43BB-9C04-E76CCC44EC7A}"/>
    <cellStyle name="40% - Accent5 3 2 7" xfId="4590" xr:uid="{00000000-0005-0000-0000-0000A6060000}"/>
    <cellStyle name="40% - Accent5 3 2 7 2" xfId="17251" xr:uid="{A4A0F2EF-D600-4FC5-A3CB-91393B5ABA32}"/>
    <cellStyle name="40% - Accent5 3 2 8" xfId="8822" xr:uid="{B0C082B1-4BE5-4CAA-BA24-549EBDF2430A}"/>
    <cellStyle name="40% - Accent5 3 2 9" xfId="13033" xr:uid="{A643BECC-A75E-40C4-B245-3E4014FF20E9}"/>
    <cellStyle name="40% - Accent5 3 3" xfId="655" xr:uid="{00000000-0005-0000-0000-0000A7060000}"/>
    <cellStyle name="40% - Accent5 3 3 2" xfId="2926" xr:uid="{00000000-0005-0000-0000-0000A8060000}"/>
    <cellStyle name="40% - Accent5 3 3 2 2" xfId="7148" xr:uid="{00000000-0005-0000-0000-0000A9060000}"/>
    <cellStyle name="40% - Accent5 3 3 2 2 2" xfId="19809" xr:uid="{F8450060-22DA-4B42-B5AB-EFC694F3DDBF}"/>
    <cellStyle name="40% - Accent5 3 3 2 3" xfId="11380" xr:uid="{1AAFDFD7-DAA9-46F6-B6A5-C05C037EF981}"/>
    <cellStyle name="40% - Accent5 3 3 2 4" xfId="15591" xr:uid="{A9614462-8007-4C77-A979-03941B2B5A0E}"/>
    <cellStyle name="40% - Accent5 3 3 3" xfId="5003" xr:uid="{00000000-0005-0000-0000-0000AA060000}"/>
    <cellStyle name="40% - Accent5 3 3 3 2" xfId="17664" xr:uid="{B06565BB-2C9F-4ECA-8A22-27F310097292}"/>
    <cellStyle name="40% - Accent5 3 3 4" xfId="9235" xr:uid="{4B5B3B2A-E7C1-4B01-BEFB-30DC75DB4135}"/>
    <cellStyle name="40% - Accent5 3 3 5" xfId="13446" xr:uid="{4DAA798C-4299-47FA-94BE-4F2D2259136B}"/>
    <cellStyle name="40% - Accent5 3 4" xfId="1108" xr:uid="{00000000-0005-0000-0000-0000AB060000}"/>
    <cellStyle name="40% - Accent5 3 4 2" xfId="3339" xr:uid="{00000000-0005-0000-0000-0000AC060000}"/>
    <cellStyle name="40% - Accent5 3 4 2 2" xfId="7561" xr:uid="{00000000-0005-0000-0000-0000AD060000}"/>
    <cellStyle name="40% - Accent5 3 4 2 2 2" xfId="20222" xr:uid="{25E1717A-3F2C-432D-A339-A992817CF525}"/>
    <cellStyle name="40% - Accent5 3 4 2 3" xfId="11793" xr:uid="{A0907158-71C4-4FC4-887A-7945853AFDFC}"/>
    <cellStyle name="40% - Accent5 3 4 2 4" xfId="16004" xr:uid="{CE9E450D-DA72-4954-ABEC-DA79EF0B40C2}"/>
    <cellStyle name="40% - Accent5 3 4 3" xfId="5416" xr:uid="{00000000-0005-0000-0000-0000AE060000}"/>
    <cellStyle name="40% - Accent5 3 4 3 2" xfId="18077" xr:uid="{84719A89-EE8D-4846-BD7D-B49B01F502F5}"/>
    <cellStyle name="40% - Accent5 3 4 4" xfId="9648" xr:uid="{80D9C33A-965E-49F4-B09E-1482B22F81BB}"/>
    <cellStyle name="40% - Accent5 3 4 5" xfId="13859" xr:uid="{8E20BD5A-A0DA-4057-8A53-17F8B8168EB2}"/>
    <cellStyle name="40% - Accent5 3 5" xfId="1522" xr:uid="{00000000-0005-0000-0000-0000AF060000}"/>
    <cellStyle name="40% - Accent5 3 5 2" xfId="3752" xr:uid="{00000000-0005-0000-0000-0000B0060000}"/>
    <cellStyle name="40% - Accent5 3 5 2 2" xfId="7974" xr:uid="{00000000-0005-0000-0000-0000B1060000}"/>
    <cellStyle name="40% - Accent5 3 5 2 2 2" xfId="20635" xr:uid="{BC57C5D2-C9A7-46B7-9C86-4A5136721722}"/>
    <cellStyle name="40% - Accent5 3 5 2 3" xfId="12206" xr:uid="{7144647B-3A4D-49B3-BA73-E9208967F98C}"/>
    <cellStyle name="40% - Accent5 3 5 2 4" xfId="16417" xr:uid="{197BF2F1-1F3B-4E34-916B-B0CCFFA7DE71}"/>
    <cellStyle name="40% - Accent5 3 5 3" xfId="5829" xr:uid="{00000000-0005-0000-0000-0000B2060000}"/>
    <cellStyle name="40% - Accent5 3 5 3 2" xfId="18490" xr:uid="{794BE93F-2B94-4830-8A48-E34ACFD3FA6E}"/>
    <cellStyle name="40% - Accent5 3 5 4" xfId="10061" xr:uid="{D8CC4303-2694-4CAC-A286-24402A7A2197}"/>
    <cellStyle name="40% - Accent5 3 5 5" xfId="14272" xr:uid="{766AB097-2B5F-45A1-A3CE-E545B6622BF4}"/>
    <cellStyle name="40% - Accent5 3 6" xfId="1936" xr:uid="{00000000-0005-0000-0000-0000B3060000}"/>
    <cellStyle name="40% - Accent5 3 6 2" xfId="4165" xr:uid="{00000000-0005-0000-0000-0000B4060000}"/>
    <cellStyle name="40% - Accent5 3 6 2 2" xfId="8387" xr:uid="{00000000-0005-0000-0000-0000B5060000}"/>
    <cellStyle name="40% - Accent5 3 6 2 2 2" xfId="21048" xr:uid="{D694C718-EC42-4FA1-BA2C-CB31E034E86E}"/>
    <cellStyle name="40% - Accent5 3 6 2 3" xfId="12619" xr:uid="{31E22DDA-FE58-4408-909C-ABC926A8DD99}"/>
    <cellStyle name="40% - Accent5 3 6 2 4" xfId="16830" xr:uid="{5B33333E-3468-4908-B95E-1020C291DE40}"/>
    <cellStyle name="40% - Accent5 3 6 3" xfId="6242" xr:uid="{00000000-0005-0000-0000-0000B6060000}"/>
    <cellStyle name="40% - Accent5 3 6 3 2" xfId="18903" xr:uid="{F7C9C8C7-27F3-42C1-8ACB-8923FEC7CB69}"/>
    <cellStyle name="40% - Accent5 3 6 4" xfId="10474" xr:uid="{AF30D167-597C-46CF-81A2-A57B3A7F7E31}"/>
    <cellStyle name="40% - Accent5 3 6 5" xfId="14685" xr:uid="{C4FF9087-C16A-4ABF-B2FA-81E7A21A8D2F}"/>
    <cellStyle name="40% - Accent5 3 7" xfId="2349" xr:uid="{00000000-0005-0000-0000-0000B7060000}"/>
    <cellStyle name="40% - Accent5 3 7 2" xfId="6655" xr:uid="{00000000-0005-0000-0000-0000B8060000}"/>
    <cellStyle name="40% - Accent5 3 7 2 2" xfId="19316" xr:uid="{9A553783-03AD-41A9-A3C7-C4D69C670285}"/>
    <cellStyle name="40% - Accent5 3 7 3" xfId="10887" xr:uid="{F5BA9EA9-7E97-416F-AEC0-1F5B228629EF}"/>
    <cellStyle name="40% - Accent5 3 7 4" xfId="15098" xr:uid="{F0E505ED-21F7-49F3-B2F8-3D079AB52448}"/>
    <cellStyle name="40% - Accent5 3 8" xfId="4589" xr:uid="{00000000-0005-0000-0000-0000B9060000}"/>
    <cellStyle name="40% - Accent5 3 8 2" xfId="17250" xr:uid="{BD209BDB-F53B-4A60-991C-FB33BB833F03}"/>
    <cellStyle name="40% - Accent5 3 9" xfId="8821" xr:uid="{9D127AE7-D418-41FA-B544-E2604D938E96}"/>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9811" xr:uid="{430E5EE4-0026-4EB1-B3D1-71D73B14991B}"/>
    <cellStyle name="40% - Accent5 4 2 2 3" xfId="11382" xr:uid="{F5893251-B239-455A-8CCB-F7C65E14EFDB}"/>
    <cellStyle name="40% - Accent5 4 2 2 4" xfId="15593" xr:uid="{F98BD3AF-4886-40F0-B7BF-028CA7A4C5EF}"/>
    <cellStyle name="40% - Accent5 4 2 3" xfId="5005" xr:uid="{00000000-0005-0000-0000-0000BE060000}"/>
    <cellStyle name="40% - Accent5 4 2 3 2" xfId="17666" xr:uid="{388747EC-B939-486D-9BBD-374ECDCBB8AD}"/>
    <cellStyle name="40% - Accent5 4 2 4" xfId="9237" xr:uid="{844DC0E7-A349-4566-B52F-FC33A4F6F9A4}"/>
    <cellStyle name="40% - Accent5 4 2 5" xfId="13448" xr:uid="{D106B10E-AAD5-400A-A643-D9B656CB4805}"/>
    <cellStyle name="40% - Accent5 4 3" xfId="1110" xr:uid="{00000000-0005-0000-0000-0000BF060000}"/>
    <cellStyle name="40% - Accent5 4 3 2" xfId="3341" xr:uid="{00000000-0005-0000-0000-0000C0060000}"/>
    <cellStyle name="40% - Accent5 4 3 2 2" xfId="7563" xr:uid="{00000000-0005-0000-0000-0000C1060000}"/>
    <cellStyle name="40% - Accent5 4 3 2 2 2" xfId="20224" xr:uid="{7F1A7CC6-283F-4BD2-8DBD-4CC36B908028}"/>
    <cellStyle name="40% - Accent5 4 3 2 3" xfId="11795" xr:uid="{712FF3F2-4460-4057-BE74-91F0C14EAE63}"/>
    <cellStyle name="40% - Accent5 4 3 2 4" xfId="16006" xr:uid="{D67CE0EB-F6B3-42D6-A250-8FF3BA5DA3B0}"/>
    <cellStyle name="40% - Accent5 4 3 3" xfId="5418" xr:uid="{00000000-0005-0000-0000-0000C2060000}"/>
    <cellStyle name="40% - Accent5 4 3 3 2" xfId="18079" xr:uid="{702E19B9-A483-4950-BBF0-825C80B49055}"/>
    <cellStyle name="40% - Accent5 4 3 4" xfId="9650" xr:uid="{AC2DDAA1-ACC9-4834-B85D-4B8EFF919837}"/>
    <cellStyle name="40% - Accent5 4 3 5" xfId="13861" xr:uid="{498DFF84-425B-4264-A3FA-7FDDE58D1268}"/>
    <cellStyle name="40% - Accent5 4 4" xfId="1524" xr:uid="{00000000-0005-0000-0000-0000C3060000}"/>
    <cellStyle name="40% - Accent5 4 4 2" xfId="3754" xr:uid="{00000000-0005-0000-0000-0000C4060000}"/>
    <cellStyle name="40% - Accent5 4 4 2 2" xfId="7976" xr:uid="{00000000-0005-0000-0000-0000C5060000}"/>
    <cellStyle name="40% - Accent5 4 4 2 2 2" xfId="20637" xr:uid="{87558732-5DCF-4B65-A8EE-0970CBE0F1D4}"/>
    <cellStyle name="40% - Accent5 4 4 2 3" xfId="12208" xr:uid="{F9A3AEFE-E07D-4080-9F91-5E609B99CDFD}"/>
    <cellStyle name="40% - Accent5 4 4 2 4" xfId="16419" xr:uid="{00A657E6-C2F3-43B9-8C2A-6D47B7799E1B}"/>
    <cellStyle name="40% - Accent5 4 4 3" xfId="5831" xr:uid="{00000000-0005-0000-0000-0000C6060000}"/>
    <cellStyle name="40% - Accent5 4 4 3 2" xfId="18492" xr:uid="{3B8B49FF-343E-4498-BB6A-61780C97DF86}"/>
    <cellStyle name="40% - Accent5 4 4 4" xfId="10063" xr:uid="{8A56BA63-1B7B-4774-B562-8CD5C711032A}"/>
    <cellStyle name="40% - Accent5 4 4 5" xfId="14274" xr:uid="{0510F313-B1D8-4804-993E-E0521BEAFC4D}"/>
    <cellStyle name="40% - Accent5 4 5" xfId="1938" xr:uid="{00000000-0005-0000-0000-0000C7060000}"/>
    <cellStyle name="40% - Accent5 4 5 2" xfId="4167" xr:uid="{00000000-0005-0000-0000-0000C8060000}"/>
    <cellStyle name="40% - Accent5 4 5 2 2" xfId="8389" xr:uid="{00000000-0005-0000-0000-0000C9060000}"/>
    <cellStyle name="40% - Accent5 4 5 2 2 2" xfId="21050" xr:uid="{DE63DC31-B4B4-49DC-9788-3E93BDCCAF37}"/>
    <cellStyle name="40% - Accent5 4 5 2 3" xfId="12621" xr:uid="{DC625BAC-84A6-4E2B-8FC8-ACD00F8FF954}"/>
    <cellStyle name="40% - Accent5 4 5 2 4" xfId="16832" xr:uid="{4E91691B-0513-4240-8344-84DA8D3F80FD}"/>
    <cellStyle name="40% - Accent5 4 5 3" xfId="6244" xr:uid="{00000000-0005-0000-0000-0000CA060000}"/>
    <cellStyle name="40% - Accent5 4 5 3 2" xfId="18905" xr:uid="{A6C41183-3419-4CDE-B9A0-9B5459708C7B}"/>
    <cellStyle name="40% - Accent5 4 5 4" xfId="10476" xr:uid="{C1EE69E6-8E4F-4DD8-96AA-14A5E78E5BAE}"/>
    <cellStyle name="40% - Accent5 4 5 5" xfId="14687" xr:uid="{BA6A5B25-4A15-41B7-B724-36531B1C4B15}"/>
    <cellStyle name="40% - Accent5 4 6" xfId="2351" xr:uid="{00000000-0005-0000-0000-0000CB060000}"/>
    <cellStyle name="40% - Accent5 4 6 2" xfId="6657" xr:uid="{00000000-0005-0000-0000-0000CC060000}"/>
    <cellStyle name="40% - Accent5 4 6 2 2" xfId="19318" xr:uid="{2FFEDE18-194F-4F03-96BF-1C412C49BB1F}"/>
    <cellStyle name="40% - Accent5 4 6 3" xfId="10889" xr:uid="{BB035714-24BF-48F3-8EFC-6BE7062B51BE}"/>
    <cellStyle name="40% - Accent5 4 6 4" xfId="15100" xr:uid="{80BD9EC3-0789-4A8C-BE0B-C7E522662610}"/>
    <cellStyle name="40% - Accent5 4 7" xfId="4591" xr:uid="{00000000-0005-0000-0000-0000CD060000}"/>
    <cellStyle name="40% - Accent5 4 7 2" xfId="17252" xr:uid="{F14F8DDA-AB69-4EE2-90CD-FA3A1953F984}"/>
    <cellStyle name="40% - Accent5 4 8" xfId="8823" xr:uid="{D59CC252-48E3-4CEE-A485-6AD99AB96390}"/>
    <cellStyle name="40% - Accent5 4 9" xfId="13034" xr:uid="{C6E36CC5-F061-4AE6-806D-72CA63EA2F6E}"/>
    <cellStyle name="40% - Accent5 5" xfId="650" xr:uid="{00000000-0005-0000-0000-0000CE060000}"/>
    <cellStyle name="40% - Accent5 5 2" xfId="2921" xr:uid="{00000000-0005-0000-0000-0000CF060000}"/>
    <cellStyle name="40% - Accent5 5 2 2" xfId="7143" xr:uid="{00000000-0005-0000-0000-0000D0060000}"/>
    <cellStyle name="40% - Accent5 5 2 2 2" xfId="19804" xr:uid="{68E928F7-289B-4484-B788-C9C8E85BEFAE}"/>
    <cellStyle name="40% - Accent5 5 2 3" xfId="11375" xr:uid="{D186E2E0-90A0-46B6-B7C9-609D0F26237F}"/>
    <cellStyle name="40% - Accent5 5 2 4" xfId="15586" xr:uid="{99A5A988-C562-436F-9802-A5B677AFE8EE}"/>
    <cellStyle name="40% - Accent5 5 3" xfId="4998" xr:uid="{00000000-0005-0000-0000-0000D1060000}"/>
    <cellStyle name="40% - Accent5 5 3 2" xfId="17659" xr:uid="{E93D1DEE-E12A-4AB3-BCE8-8CC6A567F8FE}"/>
    <cellStyle name="40% - Accent5 5 4" xfId="9230" xr:uid="{9667254A-CA0B-4A79-9A86-FD63B9695FB8}"/>
    <cellStyle name="40% - Accent5 5 5" xfId="13441" xr:uid="{77085FE9-A5D5-45A4-B78F-DA32D600F80B}"/>
    <cellStyle name="40% - Accent5 6" xfId="1103" xr:uid="{00000000-0005-0000-0000-0000D2060000}"/>
    <cellStyle name="40% - Accent5 6 2" xfId="3334" xr:uid="{00000000-0005-0000-0000-0000D3060000}"/>
    <cellStyle name="40% - Accent5 6 2 2" xfId="7556" xr:uid="{00000000-0005-0000-0000-0000D4060000}"/>
    <cellStyle name="40% - Accent5 6 2 2 2" xfId="20217" xr:uid="{A8E9E194-0354-4168-9301-3BD0B0BAD369}"/>
    <cellStyle name="40% - Accent5 6 2 3" xfId="11788" xr:uid="{F98A8183-78B0-4227-8A08-1B383721B9A8}"/>
    <cellStyle name="40% - Accent5 6 2 4" xfId="15999" xr:uid="{E5EC937F-A642-4AA0-9CFE-F013A631073D}"/>
    <cellStyle name="40% - Accent5 6 3" xfId="5411" xr:uid="{00000000-0005-0000-0000-0000D5060000}"/>
    <cellStyle name="40% - Accent5 6 3 2" xfId="18072" xr:uid="{DFB0703B-37D1-4E3A-9150-2DA4D4B546E5}"/>
    <cellStyle name="40% - Accent5 6 4" xfId="9643" xr:uid="{7ED33777-4732-4A05-A9D2-09DF08B4EDD3}"/>
    <cellStyle name="40% - Accent5 6 5" xfId="13854" xr:uid="{72C1E602-CF7C-4E4C-A978-472AC9CAFDB0}"/>
    <cellStyle name="40% - Accent5 7" xfId="1517" xr:uid="{00000000-0005-0000-0000-0000D6060000}"/>
    <cellStyle name="40% - Accent5 7 2" xfId="3747" xr:uid="{00000000-0005-0000-0000-0000D7060000}"/>
    <cellStyle name="40% - Accent5 7 2 2" xfId="7969" xr:uid="{00000000-0005-0000-0000-0000D8060000}"/>
    <cellStyle name="40% - Accent5 7 2 2 2" xfId="20630" xr:uid="{AF09A590-350C-48F1-9AA2-57ACC2AB1BBE}"/>
    <cellStyle name="40% - Accent5 7 2 3" xfId="12201" xr:uid="{1A66D246-6426-47B5-9168-7EEE24DE94D8}"/>
    <cellStyle name="40% - Accent5 7 2 4" xfId="16412" xr:uid="{E755D410-CA50-4ACF-A7E8-779D15B89E39}"/>
    <cellStyle name="40% - Accent5 7 3" xfId="5824" xr:uid="{00000000-0005-0000-0000-0000D9060000}"/>
    <cellStyle name="40% - Accent5 7 3 2" xfId="18485" xr:uid="{59B8298B-C8A3-491F-A16C-855E23EE953D}"/>
    <cellStyle name="40% - Accent5 7 4" xfId="10056" xr:uid="{A3C05CE8-1F13-4258-910D-B815A6EE8280}"/>
    <cellStyle name="40% - Accent5 7 5" xfId="14267" xr:uid="{71F6DF59-098B-4593-B3CC-00DCE08EA115}"/>
    <cellStyle name="40% - Accent5 8" xfId="1931" xr:uid="{00000000-0005-0000-0000-0000DA060000}"/>
    <cellStyle name="40% - Accent5 8 2" xfId="4160" xr:uid="{00000000-0005-0000-0000-0000DB060000}"/>
    <cellStyle name="40% - Accent5 8 2 2" xfId="8382" xr:uid="{00000000-0005-0000-0000-0000DC060000}"/>
    <cellStyle name="40% - Accent5 8 2 2 2" xfId="21043" xr:uid="{9AB49A42-CDBD-497F-8A6A-E975A61F5F9B}"/>
    <cellStyle name="40% - Accent5 8 2 3" xfId="12614" xr:uid="{965CC898-9DBE-46D1-881D-CA6CD5E93FFE}"/>
    <cellStyle name="40% - Accent5 8 2 4" xfId="16825" xr:uid="{1D607F13-602A-440E-B35D-25D0E93EAB46}"/>
    <cellStyle name="40% - Accent5 8 3" xfId="6237" xr:uid="{00000000-0005-0000-0000-0000DD060000}"/>
    <cellStyle name="40% - Accent5 8 3 2" xfId="18898" xr:uid="{17D4F246-A058-4628-A20B-976E2EFD2C83}"/>
    <cellStyle name="40% - Accent5 8 4" xfId="10469" xr:uid="{DD035D25-68F3-4D7D-B13C-5F463389BF81}"/>
    <cellStyle name="40% - Accent5 8 5" xfId="14680" xr:uid="{B27A2D54-9F5A-4DB4-B94A-D279F6503E45}"/>
    <cellStyle name="40% - Accent5 9" xfId="2344" xr:uid="{00000000-0005-0000-0000-0000DE060000}"/>
    <cellStyle name="40% - Accent5 9 2" xfId="6650" xr:uid="{00000000-0005-0000-0000-0000DF060000}"/>
    <cellStyle name="40% - Accent5 9 2 2" xfId="19311" xr:uid="{5B66105E-8B57-42F1-94F3-C9B69B786ECA}"/>
    <cellStyle name="40% - Accent5 9 3" xfId="10882" xr:uid="{4095712E-ED79-48A2-B3B8-FBA3887C13E5}"/>
    <cellStyle name="40% - Accent5 9 4" xfId="15093" xr:uid="{72E29905-1E7D-4835-8D3A-7CC64FD945ED}"/>
    <cellStyle name="40% - Accent6" xfId="89" builtinId="51" customBuiltin="1"/>
    <cellStyle name="40% - Accent6 10" xfId="4592" xr:uid="{00000000-0005-0000-0000-0000E1060000}"/>
    <cellStyle name="40% - Accent6 10 2" xfId="17253" xr:uid="{AD6C8321-2FBB-43DC-8EFE-088BDC606425}"/>
    <cellStyle name="40% - Accent6 11" xfId="8824" xr:uid="{5146D125-C5C8-4F99-AFC3-04366AC9CF64}"/>
    <cellStyle name="40% - Accent6 12" xfId="13035" xr:uid="{D389235B-FF4E-4ABF-8BBC-7D9202491FBC}"/>
    <cellStyle name="40% - Accent6 2" xfId="90" xr:uid="{00000000-0005-0000-0000-0000E2060000}"/>
    <cellStyle name="40% - Accent6 2 10" xfId="8825" xr:uid="{9D4C164B-EFF8-435F-BD2F-93D74FD80982}"/>
    <cellStyle name="40% - Accent6 2 11" xfId="13036" xr:uid="{361DAF26-A2F3-4942-87FE-26E944009810}"/>
    <cellStyle name="40% - Accent6 2 2" xfId="91" xr:uid="{00000000-0005-0000-0000-0000E3060000}"/>
    <cellStyle name="40% - Accent6 2 2 10" xfId="13037" xr:uid="{85EC3061-0D8C-42CF-82D5-B219F9675B5E}"/>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9815" xr:uid="{64AEF942-1205-4771-AEAD-1C8759DA72AA}"/>
    <cellStyle name="40% - Accent6 2 2 2 2 2 3" xfId="11386" xr:uid="{D76512BE-F980-4F1B-B9C9-ADD8329FC5EB}"/>
    <cellStyle name="40% - Accent6 2 2 2 2 2 4" xfId="15597" xr:uid="{AC883C1F-C746-40AC-9601-406D75F21FCF}"/>
    <cellStyle name="40% - Accent6 2 2 2 2 3" xfId="5009" xr:uid="{00000000-0005-0000-0000-0000E8060000}"/>
    <cellStyle name="40% - Accent6 2 2 2 2 3 2" xfId="17670" xr:uid="{11C8B817-D905-4D6D-A55F-B0FA4ED4B131}"/>
    <cellStyle name="40% - Accent6 2 2 2 2 4" xfId="9241" xr:uid="{7F638138-C6E7-425E-A447-0927CA1F877E}"/>
    <cellStyle name="40% - Accent6 2 2 2 2 5" xfId="13452" xr:uid="{24C92D0C-906D-45B8-AC10-C0B7DB538AC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20228" xr:uid="{B4DF17DD-1530-49EF-A75F-2A55AE61419C}"/>
    <cellStyle name="40% - Accent6 2 2 2 3 2 3" xfId="11799" xr:uid="{19E3098E-2BD3-4442-A17E-19F061C04A10}"/>
    <cellStyle name="40% - Accent6 2 2 2 3 2 4" xfId="16010" xr:uid="{72475272-E060-46C5-93B7-DDD87A19B374}"/>
    <cellStyle name="40% - Accent6 2 2 2 3 3" xfId="5422" xr:uid="{00000000-0005-0000-0000-0000EC060000}"/>
    <cellStyle name="40% - Accent6 2 2 2 3 3 2" xfId="18083" xr:uid="{DF3D34F3-4E46-4F51-B265-A446BE349B7A}"/>
    <cellStyle name="40% - Accent6 2 2 2 3 4" xfId="9654" xr:uid="{13C24BDC-C58B-4876-A1AA-6F21A02CAAD8}"/>
    <cellStyle name="40% - Accent6 2 2 2 3 5" xfId="13865" xr:uid="{14E16ED2-2FB9-416E-877E-CF2450BAD697}"/>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20641" xr:uid="{A9A3A3DE-C9D9-4825-9EE6-8463C965FE05}"/>
    <cellStyle name="40% - Accent6 2 2 2 4 2 3" xfId="12212" xr:uid="{8DD7F752-4FC0-4FE7-A817-74E5826ABBF7}"/>
    <cellStyle name="40% - Accent6 2 2 2 4 2 4" xfId="16423" xr:uid="{51B499F0-E6BF-4139-A4B5-C88DAEA1D8B1}"/>
    <cellStyle name="40% - Accent6 2 2 2 4 3" xfId="5835" xr:uid="{00000000-0005-0000-0000-0000F0060000}"/>
    <cellStyle name="40% - Accent6 2 2 2 4 3 2" xfId="18496" xr:uid="{249B1C76-A3DE-499F-82CF-CE3E4B50966F}"/>
    <cellStyle name="40% - Accent6 2 2 2 4 4" xfId="10067" xr:uid="{0247973F-B7CC-4F0E-9E1B-66B5D7E6812A}"/>
    <cellStyle name="40% - Accent6 2 2 2 4 5" xfId="14278" xr:uid="{E06195C0-59EC-4902-9977-C9FB0CF0BE47}"/>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21054" xr:uid="{A971B418-3C62-4635-91B9-A8006315A983}"/>
    <cellStyle name="40% - Accent6 2 2 2 5 2 3" xfId="12625" xr:uid="{222C9123-1E00-4DD3-9B59-80E52F79B140}"/>
    <cellStyle name="40% - Accent6 2 2 2 5 2 4" xfId="16836" xr:uid="{ADA206EB-B466-41C6-A99C-87DC90E1C992}"/>
    <cellStyle name="40% - Accent6 2 2 2 5 3" xfId="6248" xr:uid="{00000000-0005-0000-0000-0000F4060000}"/>
    <cellStyle name="40% - Accent6 2 2 2 5 3 2" xfId="18909" xr:uid="{F045003D-C46C-4590-8642-3E2B1B944F7F}"/>
    <cellStyle name="40% - Accent6 2 2 2 5 4" xfId="10480" xr:uid="{2D7918A4-8645-4B09-9522-806622C77380}"/>
    <cellStyle name="40% - Accent6 2 2 2 5 5" xfId="14691" xr:uid="{16204A5A-479C-41E7-83B9-3B734EE7CA41}"/>
    <cellStyle name="40% - Accent6 2 2 2 6" xfId="2355" xr:uid="{00000000-0005-0000-0000-0000F5060000}"/>
    <cellStyle name="40% - Accent6 2 2 2 6 2" xfId="6661" xr:uid="{00000000-0005-0000-0000-0000F6060000}"/>
    <cellStyle name="40% - Accent6 2 2 2 6 2 2" xfId="19322" xr:uid="{43F55A06-4052-48FF-B720-63A9E27DEFCA}"/>
    <cellStyle name="40% - Accent6 2 2 2 6 3" xfId="10893" xr:uid="{9E205B10-D3A6-4965-B81F-DDB5F5F86F71}"/>
    <cellStyle name="40% - Accent6 2 2 2 6 4" xfId="15104" xr:uid="{03C3189D-5742-496E-A74D-906DA08FFB1B}"/>
    <cellStyle name="40% - Accent6 2 2 2 7" xfId="4595" xr:uid="{00000000-0005-0000-0000-0000F7060000}"/>
    <cellStyle name="40% - Accent6 2 2 2 7 2" xfId="17256" xr:uid="{4100F745-CF15-4FAE-87DD-F38342CE8C88}"/>
    <cellStyle name="40% - Accent6 2 2 2 8" xfId="8827" xr:uid="{2A93C8C5-2E4A-4928-8AB9-AE8D0F1D663F}"/>
    <cellStyle name="40% - Accent6 2 2 2 9" xfId="13038" xr:uid="{63C04403-D0A1-4462-BF18-C6F38B371F77}"/>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9814" xr:uid="{9256C5CA-3212-45BA-8D2C-BE70B517E2A7}"/>
    <cellStyle name="40% - Accent6 2 2 3 2 3" xfId="11385" xr:uid="{DFC2FD03-9187-4831-BF0F-7BFE28620FC3}"/>
    <cellStyle name="40% - Accent6 2 2 3 2 4" xfId="15596" xr:uid="{08188921-381F-4286-9AA6-B2978744DDC2}"/>
    <cellStyle name="40% - Accent6 2 2 3 3" xfId="5008" xr:uid="{00000000-0005-0000-0000-0000FB060000}"/>
    <cellStyle name="40% - Accent6 2 2 3 3 2" xfId="17669" xr:uid="{69432215-5251-4CE1-A6AA-E747A6864332}"/>
    <cellStyle name="40% - Accent6 2 2 3 4" xfId="9240" xr:uid="{2B67F95D-A7D9-4EF2-BE1E-F7E6B4F74DDE}"/>
    <cellStyle name="40% - Accent6 2 2 3 5" xfId="13451" xr:uid="{AD091BE3-8344-4DD6-A801-195749E4A899}"/>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20227" xr:uid="{56CD4956-B2BF-4ABC-9A07-A4D53284A398}"/>
    <cellStyle name="40% - Accent6 2 2 4 2 3" xfId="11798" xr:uid="{A7518CDD-88EC-4FCF-B12B-64A86905B487}"/>
    <cellStyle name="40% - Accent6 2 2 4 2 4" xfId="16009" xr:uid="{0D6BF869-DB8C-420A-9D78-1525B97E5769}"/>
    <cellStyle name="40% - Accent6 2 2 4 3" xfId="5421" xr:uid="{00000000-0005-0000-0000-0000FF060000}"/>
    <cellStyle name="40% - Accent6 2 2 4 3 2" xfId="18082" xr:uid="{AF3A51CF-4DBE-4A60-9354-68D134C9E32A}"/>
    <cellStyle name="40% - Accent6 2 2 4 4" xfId="9653" xr:uid="{0E43043E-0668-46DD-BE60-ADEE9D3FF570}"/>
    <cellStyle name="40% - Accent6 2 2 4 5" xfId="13864" xr:uid="{240BF8E9-4E4E-4161-8E90-E0F89732C555}"/>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20640" xr:uid="{AA3B0E90-EB41-41A0-8753-F09FBF08E9E7}"/>
    <cellStyle name="40% - Accent6 2 2 5 2 3" xfId="12211" xr:uid="{A9F1E8DA-1E03-4123-9057-16FBE5E7AB99}"/>
    <cellStyle name="40% - Accent6 2 2 5 2 4" xfId="16422" xr:uid="{C3CDF6AD-9DD7-4709-9C6A-5324AE13F62C}"/>
    <cellStyle name="40% - Accent6 2 2 5 3" xfId="5834" xr:uid="{00000000-0005-0000-0000-000003070000}"/>
    <cellStyle name="40% - Accent6 2 2 5 3 2" xfId="18495" xr:uid="{E31CFCD7-0550-4EA2-A24E-00D2747C70CC}"/>
    <cellStyle name="40% - Accent6 2 2 5 4" xfId="10066" xr:uid="{401F883E-19E1-4224-975F-9F3865C8A863}"/>
    <cellStyle name="40% - Accent6 2 2 5 5" xfId="14277" xr:uid="{0DD25F8F-2516-4698-861D-F3DBEF7056CC}"/>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21053" xr:uid="{BAB8B10E-B17D-4421-BF15-B4BF24DCCAFE}"/>
    <cellStyle name="40% - Accent6 2 2 6 2 3" xfId="12624" xr:uid="{E960D71C-F8D0-45C2-97FC-CCCEF98C8935}"/>
    <cellStyle name="40% - Accent6 2 2 6 2 4" xfId="16835" xr:uid="{7653571E-4529-4356-9682-CC7886C13E0F}"/>
    <cellStyle name="40% - Accent6 2 2 6 3" xfId="6247" xr:uid="{00000000-0005-0000-0000-000007070000}"/>
    <cellStyle name="40% - Accent6 2 2 6 3 2" xfId="18908" xr:uid="{A0BD6F21-C075-4ACD-B478-916B06EF4415}"/>
    <cellStyle name="40% - Accent6 2 2 6 4" xfId="10479" xr:uid="{5AB42F95-B12E-4527-8DEA-B8CCFDF3E773}"/>
    <cellStyle name="40% - Accent6 2 2 6 5" xfId="14690" xr:uid="{FB840438-7320-4A19-81FE-243D378621C1}"/>
    <cellStyle name="40% - Accent6 2 2 7" xfId="2354" xr:uid="{00000000-0005-0000-0000-000008070000}"/>
    <cellStyle name="40% - Accent6 2 2 7 2" xfId="6660" xr:uid="{00000000-0005-0000-0000-000009070000}"/>
    <cellStyle name="40% - Accent6 2 2 7 2 2" xfId="19321" xr:uid="{39224122-E905-40D9-BBB1-37A55A2C67C5}"/>
    <cellStyle name="40% - Accent6 2 2 7 3" xfId="10892" xr:uid="{ECEC1413-6282-4B26-AB1E-0194BA8F1F5B}"/>
    <cellStyle name="40% - Accent6 2 2 7 4" xfId="15103" xr:uid="{CBB12AD6-52C4-4B64-A182-48912E044732}"/>
    <cellStyle name="40% - Accent6 2 2 8" xfId="4594" xr:uid="{00000000-0005-0000-0000-00000A070000}"/>
    <cellStyle name="40% - Accent6 2 2 8 2" xfId="17255" xr:uid="{EA756799-0149-46B6-9C4E-5D9EFE24819A}"/>
    <cellStyle name="40% - Accent6 2 2 9" xfId="8826" xr:uid="{D45B0992-797E-42D0-922D-1A4F6E8D451D}"/>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9816" xr:uid="{22550781-7BE1-4C09-813B-22563E879914}"/>
    <cellStyle name="40% - Accent6 2 3 2 2 3" xfId="11387" xr:uid="{0C189638-AB51-4817-9117-39A57229CFE7}"/>
    <cellStyle name="40% - Accent6 2 3 2 2 4" xfId="15598" xr:uid="{AB252ED9-463B-4D88-A9E1-E9FA59198665}"/>
    <cellStyle name="40% - Accent6 2 3 2 3" xfId="5010" xr:uid="{00000000-0005-0000-0000-00000F070000}"/>
    <cellStyle name="40% - Accent6 2 3 2 3 2" xfId="17671" xr:uid="{350ACE7A-0DBD-42A8-856F-0E7DFA50C56D}"/>
    <cellStyle name="40% - Accent6 2 3 2 4" xfId="9242" xr:uid="{A77B56AD-22EE-45BA-91A2-A32E4F825357}"/>
    <cellStyle name="40% - Accent6 2 3 2 5" xfId="13453" xr:uid="{BDE35B12-585D-40AE-A625-16C62BABB62B}"/>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20229" xr:uid="{BFF5E9B8-4572-41F5-A9C4-9FD5D768E944}"/>
    <cellStyle name="40% - Accent6 2 3 3 2 3" xfId="11800" xr:uid="{EB61194A-BACC-4F93-8EF4-CA057D75CEBB}"/>
    <cellStyle name="40% - Accent6 2 3 3 2 4" xfId="16011" xr:uid="{4F25C1B6-BB67-4189-BB89-DB91BC7ED664}"/>
    <cellStyle name="40% - Accent6 2 3 3 3" xfId="5423" xr:uid="{00000000-0005-0000-0000-000013070000}"/>
    <cellStyle name="40% - Accent6 2 3 3 3 2" xfId="18084" xr:uid="{3E9B0198-1A0C-47B8-B7AB-76379CE97307}"/>
    <cellStyle name="40% - Accent6 2 3 3 4" xfId="9655" xr:uid="{CB00F64F-CE11-46CB-A713-5324813739D3}"/>
    <cellStyle name="40% - Accent6 2 3 3 5" xfId="13866" xr:uid="{58FB4DBE-0A37-4948-800D-164E82A3A4D0}"/>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20642" xr:uid="{955FF300-3DF0-4461-83F7-85FA424779E4}"/>
    <cellStyle name="40% - Accent6 2 3 4 2 3" xfId="12213" xr:uid="{31C5DDF1-79A4-4F1D-8A8A-1BD7E491621D}"/>
    <cellStyle name="40% - Accent6 2 3 4 2 4" xfId="16424" xr:uid="{23796926-8A1F-4F01-AEF5-3C2AA3AC46A7}"/>
    <cellStyle name="40% - Accent6 2 3 4 3" xfId="5836" xr:uid="{00000000-0005-0000-0000-000017070000}"/>
    <cellStyle name="40% - Accent6 2 3 4 3 2" xfId="18497" xr:uid="{F541269F-07E9-418C-8224-230692E38C71}"/>
    <cellStyle name="40% - Accent6 2 3 4 4" xfId="10068" xr:uid="{DFF4FC03-3E0E-4FAD-86B9-64B8C780F84F}"/>
    <cellStyle name="40% - Accent6 2 3 4 5" xfId="14279" xr:uid="{6F1F1DF7-536D-443C-9F39-615C57AF8262}"/>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21055" xr:uid="{05524E91-A357-4BAF-B13C-38964DE88E09}"/>
    <cellStyle name="40% - Accent6 2 3 5 2 3" xfId="12626" xr:uid="{40171470-91FA-4F54-BA0B-B816E5799610}"/>
    <cellStyle name="40% - Accent6 2 3 5 2 4" xfId="16837" xr:uid="{689DA234-870D-4325-BAD1-FAF1CE37E8F7}"/>
    <cellStyle name="40% - Accent6 2 3 5 3" xfId="6249" xr:uid="{00000000-0005-0000-0000-00001B070000}"/>
    <cellStyle name="40% - Accent6 2 3 5 3 2" xfId="18910" xr:uid="{BEBF89B0-2181-4B74-940C-F287A59DBA0B}"/>
    <cellStyle name="40% - Accent6 2 3 5 4" xfId="10481" xr:uid="{3C734D73-2625-4595-B392-EA5799D0A019}"/>
    <cellStyle name="40% - Accent6 2 3 5 5" xfId="14692" xr:uid="{E6BFEEBD-2C7A-4E2E-A520-654F960E8E32}"/>
    <cellStyle name="40% - Accent6 2 3 6" xfId="2356" xr:uid="{00000000-0005-0000-0000-00001C070000}"/>
    <cellStyle name="40% - Accent6 2 3 6 2" xfId="6662" xr:uid="{00000000-0005-0000-0000-00001D070000}"/>
    <cellStyle name="40% - Accent6 2 3 6 2 2" xfId="19323" xr:uid="{012FEAAF-E139-47ED-BEF7-886A035D0025}"/>
    <cellStyle name="40% - Accent6 2 3 6 3" xfId="10894" xr:uid="{BF62AB87-031F-473C-B537-E49BE1258FA2}"/>
    <cellStyle name="40% - Accent6 2 3 6 4" xfId="15105" xr:uid="{62E53B38-9607-48D1-8CD7-0D70F1CA874D}"/>
    <cellStyle name="40% - Accent6 2 3 7" xfId="4596" xr:uid="{00000000-0005-0000-0000-00001E070000}"/>
    <cellStyle name="40% - Accent6 2 3 7 2" xfId="17257" xr:uid="{0BF2A881-6C9A-43C2-9B50-6F7FEB89EE11}"/>
    <cellStyle name="40% - Accent6 2 3 8" xfId="8828" xr:uid="{8EA3A720-E8FC-4AF4-8A7D-D8F4D8C2A8EF}"/>
    <cellStyle name="40% - Accent6 2 3 9" xfId="13039" xr:uid="{29A639C9-26D5-4D42-A95F-0CAF402C1054}"/>
    <cellStyle name="40% - Accent6 2 4" xfId="659" xr:uid="{00000000-0005-0000-0000-00001F070000}"/>
    <cellStyle name="40% - Accent6 2 4 2" xfId="2930" xr:uid="{00000000-0005-0000-0000-000020070000}"/>
    <cellStyle name="40% - Accent6 2 4 2 2" xfId="7152" xr:uid="{00000000-0005-0000-0000-000021070000}"/>
    <cellStyle name="40% - Accent6 2 4 2 2 2" xfId="19813" xr:uid="{7C97D102-FE2B-4DA1-BA21-3E4A81DF73C9}"/>
    <cellStyle name="40% - Accent6 2 4 2 3" xfId="11384" xr:uid="{833FE06E-2B7A-4854-AA29-CDE99B296E50}"/>
    <cellStyle name="40% - Accent6 2 4 2 4" xfId="15595" xr:uid="{CD00C376-4CB4-435C-B855-C70D2D9299D1}"/>
    <cellStyle name="40% - Accent6 2 4 3" xfId="5007" xr:uid="{00000000-0005-0000-0000-000022070000}"/>
    <cellStyle name="40% - Accent6 2 4 3 2" xfId="17668" xr:uid="{B55EA1ED-921E-4F5C-B132-2960DE7EB26B}"/>
    <cellStyle name="40% - Accent6 2 4 4" xfId="9239" xr:uid="{6BD8D75C-56E9-4255-AE90-B92E3D4532F3}"/>
    <cellStyle name="40% - Accent6 2 4 5" xfId="13450" xr:uid="{830B5AE9-B357-4920-9B45-3C11A8C21873}"/>
    <cellStyle name="40% - Accent6 2 5" xfId="1112" xr:uid="{00000000-0005-0000-0000-000023070000}"/>
    <cellStyle name="40% - Accent6 2 5 2" xfId="3343" xr:uid="{00000000-0005-0000-0000-000024070000}"/>
    <cellStyle name="40% - Accent6 2 5 2 2" xfId="7565" xr:uid="{00000000-0005-0000-0000-000025070000}"/>
    <cellStyle name="40% - Accent6 2 5 2 2 2" xfId="20226" xr:uid="{0EC980FD-1FE5-4478-92FD-F8DA31809AF7}"/>
    <cellStyle name="40% - Accent6 2 5 2 3" xfId="11797" xr:uid="{F2A840EC-84D3-4A33-822B-142863C31420}"/>
    <cellStyle name="40% - Accent6 2 5 2 4" xfId="16008" xr:uid="{62AC2ACD-92A6-4F3C-A6A9-FBC529F713D9}"/>
    <cellStyle name="40% - Accent6 2 5 3" xfId="5420" xr:uid="{00000000-0005-0000-0000-000026070000}"/>
    <cellStyle name="40% - Accent6 2 5 3 2" xfId="18081" xr:uid="{982AD67C-35E6-4FE6-A293-3EB6C16FFEA6}"/>
    <cellStyle name="40% - Accent6 2 5 4" xfId="9652" xr:uid="{61E9BF7F-9691-4E90-BF31-0A8C2742BDE5}"/>
    <cellStyle name="40% - Accent6 2 5 5" xfId="13863" xr:uid="{F44ADB16-4D51-447E-907A-77D211503B38}"/>
    <cellStyle name="40% - Accent6 2 6" xfId="1526" xr:uid="{00000000-0005-0000-0000-000027070000}"/>
    <cellStyle name="40% - Accent6 2 6 2" xfId="3756" xr:uid="{00000000-0005-0000-0000-000028070000}"/>
    <cellStyle name="40% - Accent6 2 6 2 2" xfId="7978" xr:uid="{00000000-0005-0000-0000-000029070000}"/>
    <cellStyle name="40% - Accent6 2 6 2 2 2" xfId="20639" xr:uid="{9BA4A41A-D5D4-4236-A8E2-55BDDDF48609}"/>
    <cellStyle name="40% - Accent6 2 6 2 3" xfId="12210" xr:uid="{67FC7EDC-5C7B-499C-ACEE-DC4AB7633230}"/>
    <cellStyle name="40% - Accent6 2 6 2 4" xfId="16421" xr:uid="{D6837D46-C268-489D-A4B2-D0025DF286A2}"/>
    <cellStyle name="40% - Accent6 2 6 3" xfId="5833" xr:uid="{00000000-0005-0000-0000-00002A070000}"/>
    <cellStyle name="40% - Accent6 2 6 3 2" xfId="18494" xr:uid="{891F84EA-79FA-4917-8EEC-E9B1AA274DF0}"/>
    <cellStyle name="40% - Accent6 2 6 4" xfId="10065" xr:uid="{AB736F69-3B19-4F7B-A1E9-E1426B9933B7}"/>
    <cellStyle name="40% - Accent6 2 6 5" xfId="14276" xr:uid="{ACB9F643-667B-4582-B5D6-E94B4E7BA12A}"/>
    <cellStyle name="40% - Accent6 2 7" xfId="1940" xr:uid="{00000000-0005-0000-0000-00002B070000}"/>
    <cellStyle name="40% - Accent6 2 7 2" xfId="4169" xr:uid="{00000000-0005-0000-0000-00002C070000}"/>
    <cellStyle name="40% - Accent6 2 7 2 2" xfId="8391" xr:uid="{00000000-0005-0000-0000-00002D070000}"/>
    <cellStyle name="40% - Accent6 2 7 2 2 2" xfId="21052" xr:uid="{33E9DF12-3961-4C99-96D1-25122071AA94}"/>
    <cellStyle name="40% - Accent6 2 7 2 3" xfId="12623" xr:uid="{AFB19967-85D2-4ECE-9788-D44FC3CE4417}"/>
    <cellStyle name="40% - Accent6 2 7 2 4" xfId="16834" xr:uid="{D843BE33-32B2-459F-B17D-0F0A5379A038}"/>
    <cellStyle name="40% - Accent6 2 7 3" xfId="6246" xr:uid="{00000000-0005-0000-0000-00002E070000}"/>
    <cellStyle name="40% - Accent6 2 7 3 2" xfId="18907" xr:uid="{E7958D46-0C69-489A-BE58-863C8E08EF2F}"/>
    <cellStyle name="40% - Accent6 2 7 4" xfId="10478" xr:uid="{C0CF8444-C26F-426A-A38B-21E9C2B049D2}"/>
    <cellStyle name="40% - Accent6 2 7 5" xfId="14689" xr:uid="{DA445533-3C3E-47B6-BBEC-9631CD62D9FA}"/>
    <cellStyle name="40% - Accent6 2 8" xfId="2353" xr:uid="{00000000-0005-0000-0000-00002F070000}"/>
    <cellStyle name="40% - Accent6 2 8 2" xfId="6659" xr:uid="{00000000-0005-0000-0000-000030070000}"/>
    <cellStyle name="40% - Accent6 2 8 2 2" xfId="19320" xr:uid="{1C3E1AA7-8D15-4CF3-8563-9C7E44256D34}"/>
    <cellStyle name="40% - Accent6 2 8 3" xfId="10891" xr:uid="{CF94B870-A5E4-4502-9EE0-3FBAADB70F24}"/>
    <cellStyle name="40% - Accent6 2 8 4" xfId="15102" xr:uid="{11BF5022-E91C-4A2D-9F0A-121CB7F1AA9B}"/>
    <cellStyle name="40% - Accent6 2 9" xfId="4593" xr:uid="{00000000-0005-0000-0000-000031070000}"/>
    <cellStyle name="40% - Accent6 2 9 2" xfId="17254" xr:uid="{66D607FF-4E8C-4A32-904C-C1311D84E7F3}"/>
    <cellStyle name="40% - Accent6 3" xfId="94" xr:uid="{00000000-0005-0000-0000-000032070000}"/>
    <cellStyle name="40% - Accent6 3 10" xfId="13040" xr:uid="{B2924316-E768-4904-BD98-4195B3098904}"/>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9818" xr:uid="{962004C1-AC4A-4D95-9D59-7333BDF7E401}"/>
    <cellStyle name="40% - Accent6 3 2 2 2 3" xfId="11389" xr:uid="{8F892D9A-EC27-4E7F-8ABD-3587A1B3EA2E}"/>
    <cellStyle name="40% - Accent6 3 2 2 2 4" xfId="15600" xr:uid="{B12E8C64-82DB-44DA-BFC4-C695942D740F}"/>
    <cellStyle name="40% - Accent6 3 2 2 3" xfId="5012" xr:uid="{00000000-0005-0000-0000-000037070000}"/>
    <cellStyle name="40% - Accent6 3 2 2 3 2" xfId="17673" xr:uid="{CF8E3150-90D5-4823-98C4-BAA6156E8B9F}"/>
    <cellStyle name="40% - Accent6 3 2 2 4" xfId="9244" xr:uid="{46E21B7C-983B-41B4-9A3F-FCD317E18821}"/>
    <cellStyle name="40% - Accent6 3 2 2 5" xfId="13455" xr:uid="{871C6E3A-8D4A-4A0A-A0D6-44B0A6412C0A}"/>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20231" xr:uid="{F2E5F5A0-C66D-43D2-87F9-2A2AC5F0795F}"/>
    <cellStyle name="40% - Accent6 3 2 3 2 3" xfId="11802" xr:uid="{21B08442-E15F-4F89-A4E2-2381C5B06BBD}"/>
    <cellStyle name="40% - Accent6 3 2 3 2 4" xfId="16013" xr:uid="{10AD3724-A48A-421C-BB47-4BBF277CE4DD}"/>
    <cellStyle name="40% - Accent6 3 2 3 3" xfId="5425" xr:uid="{00000000-0005-0000-0000-00003B070000}"/>
    <cellStyle name="40% - Accent6 3 2 3 3 2" xfId="18086" xr:uid="{AF145E87-C62B-4B06-ABE8-63979F2FC77F}"/>
    <cellStyle name="40% - Accent6 3 2 3 4" xfId="9657" xr:uid="{723F3394-62AF-42C1-8850-3458B5454072}"/>
    <cellStyle name="40% - Accent6 3 2 3 5" xfId="13868" xr:uid="{0CB165F1-2C68-4990-BE8A-5DAB7FB114E6}"/>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20644" xr:uid="{4BB9819A-3455-4D8B-A1F1-695DCC8A0C2A}"/>
    <cellStyle name="40% - Accent6 3 2 4 2 3" xfId="12215" xr:uid="{C28A458A-150F-4B96-ABF9-9C7325658C3D}"/>
    <cellStyle name="40% - Accent6 3 2 4 2 4" xfId="16426" xr:uid="{13C0DAD6-FE7D-4D17-B801-9E7969BF6DE9}"/>
    <cellStyle name="40% - Accent6 3 2 4 3" xfId="5838" xr:uid="{00000000-0005-0000-0000-00003F070000}"/>
    <cellStyle name="40% - Accent6 3 2 4 3 2" xfId="18499" xr:uid="{A5657973-A611-4BF7-ADE6-95B57B714A96}"/>
    <cellStyle name="40% - Accent6 3 2 4 4" xfId="10070" xr:uid="{2158E746-73B9-4B20-A1F6-F995A5F6030C}"/>
    <cellStyle name="40% - Accent6 3 2 4 5" xfId="14281" xr:uid="{952F9916-A30E-4AA8-9541-C5556BAA0BB4}"/>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21057" xr:uid="{4ECD43A8-A61C-430B-9A62-A19F9BB986A6}"/>
    <cellStyle name="40% - Accent6 3 2 5 2 3" xfId="12628" xr:uid="{F5386253-5536-4AAD-86FF-B5AD49A60782}"/>
    <cellStyle name="40% - Accent6 3 2 5 2 4" xfId="16839" xr:uid="{F0DB7AF1-54D1-4F74-ABE8-3275F37CFECB}"/>
    <cellStyle name="40% - Accent6 3 2 5 3" xfId="6251" xr:uid="{00000000-0005-0000-0000-000043070000}"/>
    <cellStyle name="40% - Accent6 3 2 5 3 2" xfId="18912" xr:uid="{C2968AAA-C4B7-4011-9A46-5EE247BA95E9}"/>
    <cellStyle name="40% - Accent6 3 2 5 4" xfId="10483" xr:uid="{8A6A9147-7199-4B68-8A23-09F73A5BB422}"/>
    <cellStyle name="40% - Accent6 3 2 5 5" xfId="14694" xr:uid="{B6AE7484-D242-467A-9C0C-6BB673E6A79A}"/>
    <cellStyle name="40% - Accent6 3 2 6" xfId="2358" xr:uid="{00000000-0005-0000-0000-000044070000}"/>
    <cellStyle name="40% - Accent6 3 2 6 2" xfId="6664" xr:uid="{00000000-0005-0000-0000-000045070000}"/>
    <cellStyle name="40% - Accent6 3 2 6 2 2" xfId="19325" xr:uid="{A83E60E4-2999-468C-A1E2-E4B9580B06E6}"/>
    <cellStyle name="40% - Accent6 3 2 6 3" xfId="10896" xr:uid="{7126349C-7A14-4EB2-8D7C-039C2FC8D4F0}"/>
    <cellStyle name="40% - Accent6 3 2 6 4" xfId="15107" xr:uid="{C604F6F4-21F4-451F-8118-09E8E8F8E5F1}"/>
    <cellStyle name="40% - Accent6 3 2 7" xfId="4598" xr:uid="{00000000-0005-0000-0000-000046070000}"/>
    <cellStyle name="40% - Accent6 3 2 7 2" xfId="17259" xr:uid="{3547D152-D8B6-409B-90D5-4DA64F50D12D}"/>
    <cellStyle name="40% - Accent6 3 2 8" xfId="8830" xr:uid="{773178D4-6BDE-40AB-9B79-716C7D18071D}"/>
    <cellStyle name="40% - Accent6 3 2 9" xfId="13041" xr:uid="{515A144E-F9C3-42BD-BE59-686CB10229D2}"/>
    <cellStyle name="40% - Accent6 3 3" xfId="663" xr:uid="{00000000-0005-0000-0000-000047070000}"/>
    <cellStyle name="40% - Accent6 3 3 2" xfId="2934" xr:uid="{00000000-0005-0000-0000-000048070000}"/>
    <cellStyle name="40% - Accent6 3 3 2 2" xfId="7156" xr:uid="{00000000-0005-0000-0000-000049070000}"/>
    <cellStyle name="40% - Accent6 3 3 2 2 2" xfId="19817" xr:uid="{BC61EC46-C1BB-4077-96F6-93B338B52B0F}"/>
    <cellStyle name="40% - Accent6 3 3 2 3" xfId="11388" xr:uid="{1AA316B8-7442-4946-BA7E-1C285AC3749E}"/>
    <cellStyle name="40% - Accent6 3 3 2 4" xfId="15599" xr:uid="{9754FDD6-8F8A-41D2-9A74-084F1CCA475F}"/>
    <cellStyle name="40% - Accent6 3 3 3" xfId="5011" xr:uid="{00000000-0005-0000-0000-00004A070000}"/>
    <cellStyle name="40% - Accent6 3 3 3 2" xfId="17672" xr:uid="{6A7A570C-4AFD-48C0-95A5-1AFAA15561C5}"/>
    <cellStyle name="40% - Accent6 3 3 4" xfId="9243" xr:uid="{117598FE-8551-41CA-8D66-11C60FBCD5E9}"/>
    <cellStyle name="40% - Accent6 3 3 5" xfId="13454" xr:uid="{335FCDDE-DD95-48F1-868D-90E666B06F9F}"/>
    <cellStyle name="40% - Accent6 3 4" xfId="1116" xr:uid="{00000000-0005-0000-0000-00004B070000}"/>
    <cellStyle name="40% - Accent6 3 4 2" xfId="3347" xr:uid="{00000000-0005-0000-0000-00004C070000}"/>
    <cellStyle name="40% - Accent6 3 4 2 2" xfId="7569" xr:uid="{00000000-0005-0000-0000-00004D070000}"/>
    <cellStyle name="40% - Accent6 3 4 2 2 2" xfId="20230" xr:uid="{BF388310-0A33-4BE1-9F4F-4F1AD8B9CF63}"/>
    <cellStyle name="40% - Accent6 3 4 2 3" xfId="11801" xr:uid="{8EEB14C6-560C-4B3B-8DF5-F728E1CC2FBE}"/>
    <cellStyle name="40% - Accent6 3 4 2 4" xfId="16012" xr:uid="{30230CEC-772B-46DD-B347-EBE531D26820}"/>
    <cellStyle name="40% - Accent6 3 4 3" xfId="5424" xr:uid="{00000000-0005-0000-0000-00004E070000}"/>
    <cellStyle name="40% - Accent6 3 4 3 2" xfId="18085" xr:uid="{8E2860F4-FF39-4AD2-AF3D-901731B2DFE5}"/>
    <cellStyle name="40% - Accent6 3 4 4" xfId="9656" xr:uid="{E90F2EBF-15EA-43A2-BA8B-CA060967C598}"/>
    <cellStyle name="40% - Accent6 3 4 5" xfId="13867" xr:uid="{69776D63-7A69-41C9-9C1A-7D828C117F5E}"/>
    <cellStyle name="40% - Accent6 3 5" xfId="1530" xr:uid="{00000000-0005-0000-0000-00004F070000}"/>
    <cellStyle name="40% - Accent6 3 5 2" xfId="3760" xr:uid="{00000000-0005-0000-0000-000050070000}"/>
    <cellStyle name="40% - Accent6 3 5 2 2" xfId="7982" xr:uid="{00000000-0005-0000-0000-000051070000}"/>
    <cellStyle name="40% - Accent6 3 5 2 2 2" xfId="20643" xr:uid="{744209D5-8DE7-4927-9E96-56A589E51D8D}"/>
    <cellStyle name="40% - Accent6 3 5 2 3" xfId="12214" xr:uid="{AE544DC8-D047-4EC8-9922-8BEED3B5FBFB}"/>
    <cellStyle name="40% - Accent6 3 5 2 4" xfId="16425" xr:uid="{AF64E6E5-FD69-4337-918A-5D7964CF3315}"/>
    <cellStyle name="40% - Accent6 3 5 3" xfId="5837" xr:uid="{00000000-0005-0000-0000-000052070000}"/>
    <cellStyle name="40% - Accent6 3 5 3 2" xfId="18498" xr:uid="{15E2FD3D-0EC2-48F5-9E1B-ED286C187AF5}"/>
    <cellStyle name="40% - Accent6 3 5 4" xfId="10069" xr:uid="{340D54C3-6F99-46F2-8AD9-6AEB4889D95B}"/>
    <cellStyle name="40% - Accent6 3 5 5" xfId="14280" xr:uid="{1E5E7E6D-4BC9-47D4-A8B1-6F2B5C4CA82C}"/>
    <cellStyle name="40% - Accent6 3 6" xfId="1944" xr:uid="{00000000-0005-0000-0000-000053070000}"/>
    <cellStyle name="40% - Accent6 3 6 2" xfId="4173" xr:uid="{00000000-0005-0000-0000-000054070000}"/>
    <cellStyle name="40% - Accent6 3 6 2 2" xfId="8395" xr:uid="{00000000-0005-0000-0000-000055070000}"/>
    <cellStyle name="40% - Accent6 3 6 2 2 2" xfId="21056" xr:uid="{39D756CC-74FD-4500-A355-FD5EEABB98EB}"/>
    <cellStyle name="40% - Accent6 3 6 2 3" xfId="12627" xr:uid="{21F45BF4-668B-441C-B6A9-C7D8CB7718B2}"/>
    <cellStyle name="40% - Accent6 3 6 2 4" xfId="16838" xr:uid="{D678306A-EA8A-4CB2-9715-26092246DCD4}"/>
    <cellStyle name="40% - Accent6 3 6 3" xfId="6250" xr:uid="{00000000-0005-0000-0000-000056070000}"/>
    <cellStyle name="40% - Accent6 3 6 3 2" xfId="18911" xr:uid="{13FD6CCF-2810-499B-8C61-C90FB9B027EC}"/>
    <cellStyle name="40% - Accent6 3 6 4" xfId="10482" xr:uid="{0513BD16-08B9-4ABE-86A4-027690950300}"/>
    <cellStyle name="40% - Accent6 3 6 5" xfId="14693" xr:uid="{CBB3922B-8A68-4859-BCBA-44EF4DE92427}"/>
    <cellStyle name="40% - Accent6 3 7" xfId="2357" xr:uid="{00000000-0005-0000-0000-000057070000}"/>
    <cellStyle name="40% - Accent6 3 7 2" xfId="6663" xr:uid="{00000000-0005-0000-0000-000058070000}"/>
    <cellStyle name="40% - Accent6 3 7 2 2" xfId="19324" xr:uid="{808C2263-477F-4F5A-BDD7-F6D7FC25A1F4}"/>
    <cellStyle name="40% - Accent6 3 7 3" xfId="10895" xr:uid="{CEF96FB2-6DD1-4EFD-A0B0-D7130956584A}"/>
    <cellStyle name="40% - Accent6 3 7 4" xfId="15106" xr:uid="{D9CEBB17-0204-4D6C-BFDC-D2B266FF9C98}"/>
    <cellStyle name="40% - Accent6 3 8" xfId="4597" xr:uid="{00000000-0005-0000-0000-000059070000}"/>
    <cellStyle name="40% - Accent6 3 8 2" xfId="17258" xr:uid="{0F6844FB-56FA-4B0F-83A5-25A25EE71480}"/>
    <cellStyle name="40% - Accent6 3 9" xfId="8829" xr:uid="{70301C00-1EF6-4B53-8761-CE155D2F2DF7}"/>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9819" xr:uid="{EECD51DD-6E9A-47F4-BBF9-42D44CD1B7C1}"/>
    <cellStyle name="40% - Accent6 4 2 2 3" xfId="11390" xr:uid="{4FE1F6C0-096D-4C58-BAEE-4C07007161B9}"/>
    <cellStyle name="40% - Accent6 4 2 2 4" xfId="15601" xr:uid="{6E3DB17E-791E-4363-B240-6415F88EA00D}"/>
    <cellStyle name="40% - Accent6 4 2 3" xfId="5013" xr:uid="{00000000-0005-0000-0000-00005E070000}"/>
    <cellStyle name="40% - Accent6 4 2 3 2" xfId="17674" xr:uid="{C8DE972A-6C4C-4E8B-94F8-BF7B174A663B}"/>
    <cellStyle name="40% - Accent6 4 2 4" xfId="9245" xr:uid="{23732EA3-6137-49E7-A01E-A41D07917B9E}"/>
    <cellStyle name="40% - Accent6 4 2 5" xfId="13456" xr:uid="{2A29AB70-6834-4382-B7A0-C82214668824}"/>
    <cellStyle name="40% - Accent6 4 3" xfId="1118" xr:uid="{00000000-0005-0000-0000-00005F070000}"/>
    <cellStyle name="40% - Accent6 4 3 2" xfId="3349" xr:uid="{00000000-0005-0000-0000-000060070000}"/>
    <cellStyle name="40% - Accent6 4 3 2 2" xfId="7571" xr:uid="{00000000-0005-0000-0000-000061070000}"/>
    <cellStyle name="40% - Accent6 4 3 2 2 2" xfId="20232" xr:uid="{353F3EB4-E294-4C33-8B99-CEAD90A5B8ED}"/>
    <cellStyle name="40% - Accent6 4 3 2 3" xfId="11803" xr:uid="{02EE63CD-31C1-4C9F-8B86-59B005DB89BB}"/>
    <cellStyle name="40% - Accent6 4 3 2 4" xfId="16014" xr:uid="{7BE7EA5B-5700-46AE-AAC6-CEBF88D42491}"/>
    <cellStyle name="40% - Accent6 4 3 3" xfId="5426" xr:uid="{00000000-0005-0000-0000-000062070000}"/>
    <cellStyle name="40% - Accent6 4 3 3 2" xfId="18087" xr:uid="{58EE425F-1BF5-45E6-9220-8BAA28B3BDB5}"/>
    <cellStyle name="40% - Accent6 4 3 4" xfId="9658" xr:uid="{B644971B-87C0-4B54-B8E2-BC21858C9353}"/>
    <cellStyle name="40% - Accent6 4 3 5" xfId="13869" xr:uid="{215A5BFB-6176-454E-95BD-A171020465D3}"/>
    <cellStyle name="40% - Accent6 4 4" xfId="1532" xr:uid="{00000000-0005-0000-0000-000063070000}"/>
    <cellStyle name="40% - Accent6 4 4 2" xfId="3762" xr:uid="{00000000-0005-0000-0000-000064070000}"/>
    <cellStyle name="40% - Accent6 4 4 2 2" xfId="7984" xr:uid="{00000000-0005-0000-0000-000065070000}"/>
    <cellStyle name="40% - Accent6 4 4 2 2 2" xfId="20645" xr:uid="{F2BE870C-E52D-4815-A3F6-B0CD01F2182E}"/>
    <cellStyle name="40% - Accent6 4 4 2 3" xfId="12216" xr:uid="{D116A163-A5A8-4F9C-B347-A4E0AB60D2A2}"/>
    <cellStyle name="40% - Accent6 4 4 2 4" xfId="16427" xr:uid="{C251DDD0-1BFC-4953-8472-BA8C49B119D9}"/>
    <cellStyle name="40% - Accent6 4 4 3" xfId="5839" xr:uid="{00000000-0005-0000-0000-000066070000}"/>
    <cellStyle name="40% - Accent6 4 4 3 2" xfId="18500" xr:uid="{16739845-1407-4370-9BDC-8B0F4C56A7CF}"/>
    <cellStyle name="40% - Accent6 4 4 4" xfId="10071" xr:uid="{957F9F99-41DC-460C-8BE7-F362AE322EAC}"/>
    <cellStyle name="40% - Accent6 4 4 5" xfId="14282" xr:uid="{C7A8A197-E28A-4C5C-A04C-EEB8551D2E15}"/>
    <cellStyle name="40% - Accent6 4 5" xfId="1946" xr:uid="{00000000-0005-0000-0000-000067070000}"/>
    <cellStyle name="40% - Accent6 4 5 2" xfId="4175" xr:uid="{00000000-0005-0000-0000-000068070000}"/>
    <cellStyle name="40% - Accent6 4 5 2 2" xfId="8397" xr:uid="{00000000-0005-0000-0000-000069070000}"/>
    <cellStyle name="40% - Accent6 4 5 2 2 2" xfId="21058" xr:uid="{94DA27FF-39F0-45C2-9FC3-DC1CF2FE120F}"/>
    <cellStyle name="40% - Accent6 4 5 2 3" xfId="12629" xr:uid="{049C1F3F-C6E6-4F00-869B-38CEB5F36E62}"/>
    <cellStyle name="40% - Accent6 4 5 2 4" xfId="16840" xr:uid="{982691E4-54D4-456A-8EFD-4D435C14A54F}"/>
    <cellStyle name="40% - Accent6 4 5 3" xfId="6252" xr:uid="{00000000-0005-0000-0000-00006A070000}"/>
    <cellStyle name="40% - Accent6 4 5 3 2" xfId="18913" xr:uid="{02B80018-9719-4C08-8810-4755F01DCF26}"/>
    <cellStyle name="40% - Accent6 4 5 4" xfId="10484" xr:uid="{BEBAF913-F511-468A-B40D-F4C15078B5F7}"/>
    <cellStyle name="40% - Accent6 4 5 5" xfId="14695" xr:uid="{93FBB6B5-398D-4A2D-AFFB-89FB46C8CB91}"/>
    <cellStyle name="40% - Accent6 4 6" xfId="2359" xr:uid="{00000000-0005-0000-0000-00006B070000}"/>
    <cellStyle name="40% - Accent6 4 6 2" xfId="6665" xr:uid="{00000000-0005-0000-0000-00006C070000}"/>
    <cellStyle name="40% - Accent6 4 6 2 2" xfId="19326" xr:uid="{D01BEA56-9036-4F05-84F0-231B8AF52216}"/>
    <cellStyle name="40% - Accent6 4 6 3" xfId="10897" xr:uid="{13876B45-A2ED-47E8-887C-0FF6D1F3F0C3}"/>
    <cellStyle name="40% - Accent6 4 6 4" xfId="15108" xr:uid="{9E0DCD17-C6BE-460E-8476-81B4958E9604}"/>
    <cellStyle name="40% - Accent6 4 7" xfId="4599" xr:uid="{00000000-0005-0000-0000-00006D070000}"/>
    <cellStyle name="40% - Accent6 4 7 2" xfId="17260" xr:uid="{4A38E802-DA04-4142-AFFE-5C0C8EF2026B}"/>
    <cellStyle name="40% - Accent6 4 8" xfId="8831" xr:uid="{98A6B580-2071-407F-871B-B30A5B720085}"/>
    <cellStyle name="40% - Accent6 4 9" xfId="13042" xr:uid="{42CACC46-D03B-499C-8AB5-1D1B91847DF0}"/>
    <cellStyle name="40% - Accent6 5" xfId="658" xr:uid="{00000000-0005-0000-0000-00006E070000}"/>
    <cellStyle name="40% - Accent6 5 2" xfId="2929" xr:uid="{00000000-0005-0000-0000-00006F070000}"/>
    <cellStyle name="40% - Accent6 5 2 2" xfId="7151" xr:uid="{00000000-0005-0000-0000-000070070000}"/>
    <cellStyle name="40% - Accent6 5 2 2 2" xfId="19812" xr:uid="{3E66E9AC-4427-4A0F-A701-536031F78D16}"/>
    <cellStyle name="40% - Accent6 5 2 3" xfId="11383" xr:uid="{F8A2C2A9-C23B-4D07-BB24-856CB188ACFA}"/>
    <cellStyle name="40% - Accent6 5 2 4" xfId="15594" xr:uid="{2BBC8437-AEFC-4C6F-B8EF-4FA95619EECB}"/>
    <cellStyle name="40% - Accent6 5 3" xfId="5006" xr:uid="{00000000-0005-0000-0000-000071070000}"/>
    <cellStyle name="40% - Accent6 5 3 2" xfId="17667" xr:uid="{F825E3CE-1268-4F64-B1E5-886E7698E3C6}"/>
    <cellStyle name="40% - Accent6 5 4" xfId="9238" xr:uid="{79126F04-4007-4C82-AE76-FB251E1CEB18}"/>
    <cellStyle name="40% - Accent6 5 5" xfId="13449" xr:uid="{59153DF3-B37C-4768-9679-396E2D1B81C5}"/>
    <cellStyle name="40% - Accent6 6" xfId="1111" xr:uid="{00000000-0005-0000-0000-000072070000}"/>
    <cellStyle name="40% - Accent6 6 2" xfId="3342" xr:uid="{00000000-0005-0000-0000-000073070000}"/>
    <cellStyle name="40% - Accent6 6 2 2" xfId="7564" xr:uid="{00000000-0005-0000-0000-000074070000}"/>
    <cellStyle name="40% - Accent6 6 2 2 2" xfId="20225" xr:uid="{6A9242BA-6CB7-4B74-9924-16D63C7ACCA8}"/>
    <cellStyle name="40% - Accent6 6 2 3" xfId="11796" xr:uid="{B542D89C-A3F2-435A-8386-8E2605910A53}"/>
    <cellStyle name="40% - Accent6 6 2 4" xfId="16007" xr:uid="{EB146439-34BC-4C71-A687-C20D6D2DB69D}"/>
    <cellStyle name="40% - Accent6 6 3" xfId="5419" xr:uid="{00000000-0005-0000-0000-000075070000}"/>
    <cellStyle name="40% - Accent6 6 3 2" xfId="18080" xr:uid="{3877D8C9-E7D6-4102-8D5A-20AAA3385DFD}"/>
    <cellStyle name="40% - Accent6 6 4" xfId="9651" xr:uid="{463C80F3-2144-4171-9C23-0089A70A4CE6}"/>
    <cellStyle name="40% - Accent6 6 5" xfId="13862" xr:uid="{92A526CE-4065-4FBF-A28F-293ACF590324}"/>
    <cellStyle name="40% - Accent6 7" xfId="1525" xr:uid="{00000000-0005-0000-0000-000076070000}"/>
    <cellStyle name="40% - Accent6 7 2" xfId="3755" xr:uid="{00000000-0005-0000-0000-000077070000}"/>
    <cellStyle name="40% - Accent6 7 2 2" xfId="7977" xr:uid="{00000000-0005-0000-0000-000078070000}"/>
    <cellStyle name="40% - Accent6 7 2 2 2" xfId="20638" xr:uid="{B8C1F9F0-F6F1-44A8-8224-41082E01B6D2}"/>
    <cellStyle name="40% - Accent6 7 2 3" xfId="12209" xr:uid="{DBC9F5A8-3809-4054-9495-28CAE2B0C76B}"/>
    <cellStyle name="40% - Accent6 7 2 4" xfId="16420" xr:uid="{0351246E-7CC5-4810-8755-5954DF12B1C9}"/>
    <cellStyle name="40% - Accent6 7 3" xfId="5832" xr:uid="{00000000-0005-0000-0000-000079070000}"/>
    <cellStyle name="40% - Accent6 7 3 2" xfId="18493" xr:uid="{C59E0789-E69D-4029-AA0E-51F2F1E542EA}"/>
    <cellStyle name="40% - Accent6 7 4" xfId="10064" xr:uid="{A6C75CD5-AA27-4B59-AFD6-8CBAF60BAFF4}"/>
    <cellStyle name="40% - Accent6 7 5" xfId="14275" xr:uid="{834828F7-F6A6-44D8-B9BF-FEE4919582CF}"/>
    <cellStyle name="40% - Accent6 8" xfId="1939" xr:uid="{00000000-0005-0000-0000-00007A070000}"/>
    <cellStyle name="40% - Accent6 8 2" xfId="4168" xr:uid="{00000000-0005-0000-0000-00007B070000}"/>
    <cellStyle name="40% - Accent6 8 2 2" xfId="8390" xr:uid="{00000000-0005-0000-0000-00007C070000}"/>
    <cellStyle name="40% - Accent6 8 2 2 2" xfId="21051" xr:uid="{6F167CFB-802D-4ED3-B66E-9A91E255C6B1}"/>
    <cellStyle name="40% - Accent6 8 2 3" xfId="12622" xr:uid="{A30444FB-9C22-4992-8434-507E6FB97856}"/>
    <cellStyle name="40% - Accent6 8 2 4" xfId="16833" xr:uid="{0E6B5D80-6348-4486-B9DA-C4F0E24217B5}"/>
    <cellStyle name="40% - Accent6 8 3" xfId="6245" xr:uid="{00000000-0005-0000-0000-00007D070000}"/>
    <cellStyle name="40% - Accent6 8 3 2" xfId="18906" xr:uid="{C1A95A4F-3036-430A-9EBD-F60565542B9D}"/>
    <cellStyle name="40% - Accent6 8 4" xfId="10477" xr:uid="{973FDEB9-6F24-4154-8C54-5A74D959D4D0}"/>
    <cellStyle name="40% - Accent6 8 5" xfId="14688" xr:uid="{347AB7EA-5B74-432F-86AE-885806F2CE06}"/>
    <cellStyle name="40% - Accent6 9" xfId="2352" xr:uid="{00000000-0005-0000-0000-00007E070000}"/>
    <cellStyle name="40% - Accent6 9 2" xfId="6658" xr:uid="{00000000-0005-0000-0000-00007F070000}"/>
    <cellStyle name="40% - Accent6 9 2 2" xfId="19319" xr:uid="{ECDF1D0D-F2CE-40DD-9C9A-30D55F64423B}"/>
    <cellStyle name="40% - Accent6 9 3" xfId="10890" xr:uid="{F8878D24-F95C-4BBB-928B-0C00A5CF7C68}"/>
    <cellStyle name="40% - Accent6 9 4" xfId="15101" xr:uid="{7A19FCF7-29E5-4C96-A7DC-021C0262FF6B}"/>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9644" xr:uid="{94EE947A-E298-4009-BD97-B12BC8BAA645}"/>
    <cellStyle name="Comma 4 2 2 2 10 3" xfId="11215" xr:uid="{B96E80D0-330F-4BE7-A95D-09753E7521E1}"/>
    <cellStyle name="Comma 4 2 2 2 10 4" xfId="15426" xr:uid="{8C979857-984D-4F65-8855-0E21A652CC58}"/>
    <cellStyle name="Comma 4 2 2 2 11" xfId="4600" xr:uid="{00000000-0005-0000-0000-0000A3070000}"/>
    <cellStyle name="Comma 4 2 2 2 11 2" xfId="17261" xr:uid="{96DF83E2-BF57-4A8C-8D87-FF75C87F7D68}"/>
    <cellStyle name="Comma 4 2 2 2 12" xfId="8832" xr:uid="{12CD3DA2-A4A9-471C-9EA1-42C45079F585}"/>
    <cellStyle name="Comma 4 2 2 2 13" xfId="13043" xr:uid="{4C44A694-F886-4BF6-9363-1111FC4445E1}"/>
    <cellStyle name="Comma 4 2 2 2 2" xfId="129" xr:uid="{00000000-0005-0000-0000-0000A4070000}"/>
    <cellStyle name="Comma 4 2 2 2 2 10" xfId="4601" xr:uid="{00000000-0005-0000-0000-0000A5070000}"/>
    <cellStyle name="Comma 4 2 2 2 2 10 2" xfId="17262" xr:uid="{45E831CC-3D90-4672-BF18-8879C6C67675}"/>
    <cellStyle name="Comma 4 2 2 2 2 11" xfId="8833" xr:uid="{87527DB1-8962-427E-BE1B-5354174A7E55}"/>
    <cellStyle name="Comma 4 2 2 2 2 12" xfId="13044" xr:uid="{C1FB5AC6-129C-4150-A65D-6B36D8C5AD5F}"/>
    <cellStyle name="Comma 4 2 2 2 2 2" xfId="130" xr:uid="{00000000-0005-0000-0000-0000A6070000}"/>
    <cellStyle name="Comma 4 2 2 2 2 2 10" xfId="8834" xr:uid="{78DF14DF-FC39-4461-AE80-2790EC7312E6}"/>
    <cellStyle name="Comma 4 2 2 2 2 2 11" xfId="13045" xr:uid="{161210D6-946A-4605-A99D-B2818887C35B}"/>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9822" xr:uid="{829ED062-6C6F-4003-8E38-EE885EF79A8D}"/>
    <cellStyle name="Comma 4 2 2 2 2 2 2 2 3" xfId="11393" xr:uid="{21D1BC66-8DC2-4DB1-BCFA-0E393C958C30}"/>
    <cellStyle name="Comma 4 2 2 2 2 2 2 2 4" xfId="15604" xr:uid="{5C74B464-05B8-4B60-A91C-6F16345B8FFE}"/>
    <cellStyle name="Comma 4 2 2 2 2 2 2 3" xfId="5016" xr:uid="{00000000-0005-0000-0000-0000AA070000}"/>
    <cellStyle name="Comma 4 2 2 2 2 2 2 3 2" xfId="17677" xr:uid="{0735B1C1-2D18-4DF7-886B-1FE4C44193F7}"/>
    <cellStyle name="Comma 4 2 2 2 2 2 2 4" xfId="9248" xr:uid="{9DD2D13B-B871-4829-890D-75649E6D3738}"/>
    <cellStyle name="Comma 4 2 2 2 2 2 2 5" xfId="13459" xr:uid="{FAC1B4BD-CCAC-4682-A7C8-A7F3F2D4B124}"/>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20235" xr:uid="{AE731DF2-0578-48E1-8916-C75A677F7E01}"/>
    <cellStyle name="Comma 4 2 2 2 2 2 3 2 3" xfId="11806" xr:uid="{B36C67DE-6E42-4B0E-BC0F-076AF729D0DA}"/>
    <cellStyle name="Comma 4 2 2 2 2 2 3 2 4" xfId="16017" xr:uid="{24B0829C-C4EC-4CFD-B447-DAE08021033E}"/>
    <cellStyle name="Comma 4 2 2 2 2 2 3 3" xfId="5429" xr:uid="{00000000-0005-0000-0000-0000AE070000}"/>
    <cellStyle name="Comma 4 2 2 2 2 2 3 3 2" xfId="18090" xr:uid="{37ED9255-3C5C-4FB1-90ED-9ADD3430BEDB}"/>
    <cellStyle name="Comma 4 2 2 2 2 2 3 4" xfId="9661" xr:uid="{20C88E6A-D530-406E-A17E-71E9ADF59D7A}"/>
    <cellStyle name="Comma 4 2 2 2 2 2 3 5" xfId="13872" xr:uid="{ADD8DCB2-D2A5-4DF7-8734-1EB0F3BB1AF8}"/>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20648" xr:uid="{C124BF1C-330E-4754-A98C-38B568367223}"/>
    <cellStyle name="Comma 4 2 2 2 2 2 4 2 3" xfId="12219" xr:uid="{A61919D1-2B59-475F-AEE3-1A47D7BEEDE9}"/>
    <cellStyle name="Comma 4 2 2 2 2 2 4 2 4" xfId="16430" xr:uid="{67AA64B2-B9EC-4F33-A374-1010978FFC99}"/>
    <cellStyle name="Comma 4 2 2 2 2 2 4 3" xfId="5842" xr:uid="{00000000-0005-0000-0000-0000B2070000}"/>
    <cellStyle name="Comma 4 2 2 2 2 2 4 3 2" xfId="18503" xr:uid="{6605DBB5-E57A-45EF-8CEF-0C9CFAF35039}"/>
    <cellStyle name="Comma 4 2 2 2 2 2 4 4" xfId="10074" xr:uid="{778E7E0A-A72C-48E9-82C9-E5D994D8249B}"/>
    <cellStyle name="Comma 4 2 2 2 2 2 4 5" xfId="14285" xr:uid="{E7CBDA35-BBC9-4B74-8879-3FF1B6D70002}"/>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21061" xr:uid="{F1715CA6-951A-4AA6-9135-967EC15F54CB}"/>
    <cellStyle name="Comma 4 2 2 2 2 2 5 2 3" xfId="12632" xr:uid="{42AD37B4-4E05-403D-9B0C-0662679EA3AE}"/>
    <cellStyle name="Comma 4 2 2 2 2 2 5 2 4" xfId="16843" xr:uid="{E8D68370-FA5E-43BE-A0C0-8631C29FD5A9}"/>
    <cellStyle name="Comma 4 2 2 2 2 2 5 3" xfId="6255" xr:uid="{00000000-0005-0000-0000-0000B6070000}"/>
    <cellStyle name="Comma 4 2 2 2 2 2 5 3 2" xfId="18916" xr:uid="{9AF09BB0-5A65-4A01-B5A9-3DDF56695B6B}"/>
    <cellStyle name="Comma 4 2 2 2 2 2 5 4" xfId="10487" xr:uid="{825B1D0C-0417-4772-97A8-476BB15C959C}"/>
    <cellStyle name="Comma 4 2 2 2 2 2 5 5" xfId="14698" xr:uid="{3337C9FD-AC63-4735-873C-8B1113830893}"/>
    <cellStyle name="Comma 4 2 2 2 2 2 6" xfId="2384" xr:uid="{00000000-0005-0000-0000-0000B7070000}"/>
    <cellStyle name="Comma 4 2 2 2 2 2 6 2" xfId="6668" xr:uid="{00000000-0005-0000-0000-0000B8070000}"/>
    <cellStyle name="Comma 4 2 2 2 2 2 6 2 2" xfId="19329" xr:uid="{97EE0D7B-AB98-4903-BC49-69683502AC66}"/>
    <cellStyle name="Comma 4 2 2 2 2 2 6 3" xfId="10900" xr:uid="{E8CAD4F3-DF7F-4E27-951F-229B231387BD}"/>
    <cellStyle name="Comma 4 2 2 2 2 2 6 4" xfId="15111" xr:uid="{19885CBC-8D40-4A7C-BF7A-B9EE2F74456D}"/>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9646" xr:uid="{6CE56C97-834C-4BE2-8A0C-4A38DE59402B}"/>
    <cellStyle name="Comma 4 2 2 2 2 2 8 3" xfId="11217" xr:uid="{B2D7B7B9-7A02-401B-B989-1B32E2D929C5}"/>
    <cellStyle name="Comma 4 2 2 2 2 2 8 4" xfId="15428" xr:uid="{47D30D03-3695-4689-8D15-A613559630AC}"/>
    <cellStyle name="Comma 4 2 2 2 2 2 9" xfId="4602" xr:uid="{00000000-0005-0000-0000-0000BC070000}"/>
    <cellStyle name="Comma 4 2 2 2 2 2 9 2" xfId="17263" xr:uid="{A63F1F8F-0F72-4F6E-8D5E-4F7F3211E417}"/>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9821" xr:uid="{AA2632C4-923C-446C-A6C1-CB92CFB15A98}"/>
    <cellStyle name="Comma 4 2 2 2 2 3 2 3" xfId="11392" xr:uid="{51B78FF8-91E8-455F-9724-32F81D67D012}"/>
    <cellStyle name="Comma 4 2 2 2 2 3 2 4" xfId="15603" xr:uid="{94451C49-B9BC-484A-AE76-5BB3077942E9}"/>
    <cellStyle name="Comma 4 2 2 2 2 3 3" xfId="5015" xr:uid="{00000000-0005-0000-0000-0000C0070000}"/>
    <cellStyle name="Comma 4 2 2 2 2 3 3 2" xfId="17676" xr:uid="{0E82321F-64D8-42C9-B27B-5D419EECE717}"/>
    <cellStyle name="Comma 4 2 2 2 2 3 4" xfId="9247" xr:uid="{41331405-2E97-4EF3-A032-72E993D69CC0}"/>
    <cellStyle name="Comma 4 2 2 2 2 3 5" xfId="13458" xr:uid="{62BB18E1-072A-446E-A1D5-8990F846E16B}"/>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20234" xr:uid="{0BEEEC5B-C5C5-4228-8A68-1ADBB84E8548}"/>
    <cellStyle name="Comma 4 2 2 2 2 4 2 3" xfId="11805" xr:uid="{63D6F561-CAA6-4903-B6E1-FC5097B78A8F}"/>
    <cellStyle name="Comma 4 2 2 2 2 4 2 4" xfId="16016" xr:uid="{FB31308C-F9F0-440D-8E67-42240A077BFB}"/>
    <cellStyle name="Comma 4 2 2 2 2 4 3" xfId="5428" xr:uid="{00000000-0005-0000-0000-0000C4070000}"/>
    <cellStyle name="Comma 4 2 2 2 2 4 3 2" xfId="18089" xr:uid="{28151665-DD52-4FB4-8AD8-138B1083E1EE}"/>
    <cellStyle name="Comma 4 2 2 2 2 4 4" xfId="9660" xr:uid="{94CD9238-E6DD-4AFE-A06B-B20CF42D1681}"/>
    <cellStyle name="Comma 4 2 2 2 2 4 5" xfId="13871" xr:uid="{D97825D7-47B7-46A6-A39B-91B5C27956E4}"/>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20647" xr:uid="{B50B1E1A-A19F-4EEC-94DC-385BD939B5E8}"/>
    <cellStyle name="Comma 4 2 2 2 2 5 2 3" xfId="12218" xr:uid="{56C0A53F-D18D-4404-A3B9-CC611CD8AE15}"/>
    <cellStyle name="Comma 4 2 2 2 2 5 2 4" xfId="16429" xr:uid="{56E2966D-756D-430B-BDFB-C72832BF473C}"/>
    <cellStyle name="Comma 4 2 2 2 2 5 3" xfId="5841" xr:uid="{00000000-0005-0000-0000-0000C8070000}"/>
    <cellStyle name="Comma 4 2 2 2 2 5 3 2" xfId="18502" xr:uid="{6D9C05B8-739A-4DE3-B79D-F6A3134CAF83}"/>
    <cellStyle name="Comma 4 2 2 2 2 5 4" xfId="10073" xr:uid="{67CD8B54-D163-4110-B6BE-A370C542E8C4}"/>
    <cellStyle name="Comma 4 2 2 2 2 5 5" xfId="14284" xr:uid="{9FDEB035-BBEB-471A-89F7-5268CD2AED19}"/>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21060" xr:uid="{CC74CF25-9A93-4F60-ADFE-5369D876ACF2}"/>
    <cellStyle name="Comma 4 2 2 2 2 6 2 3" xfId="12631" xr:uid="{0E87E190-EA20-45AD-BDCE-60F292F4AC30}"/>
    <cellStyle name="Comma 4 2 2 2 2 6 2 4" xfId="16842" xr:uid="{1D4CF578-0FA5-4AAD-81BA-1DF2061F00B9}"/>
    <cellStyle name="Comma 4 2 2 2 2 6 3" xfId="6254" xr:uid="{00000000-0005-0000-0000-0000CC070000}"/>
    <cellStyle name="Comma 4 2 2 2 2 6 3 2" xfId="18915" xr:uid="{2D284EB7-415F-4179-9539-4E0910351EBF}"/>
    <cellStyle name="Comma 4 2 2 2 2 6 4" xfId="10486" xr:uid="{1AB20C2D-1C90-4127-A28F-E93A1939E93E}"/>
    <cellStyle name="Comma 4 2 2 2 2 6 5" xfId="14697" xr:uid="{B5BFB0F0-BC71-451B-8D7D-FC990657A425}"/>
    <cellStyle name="Comma 4 2 2 2 2 7" xfId="2383" xr:uid="{00000000-0005-0000-0000-0000CD070000}"/>
    <cellStyle name="Comma 4 2 2 2 2 7 2" xfId="6667" xr:uid="{00000000-0005-0000-0000-0000CE070000}"/>
    <cellStyle name="Comma 4 2 2 2 2 7 2 2" xfId="19328" xr:uid="{3003BEBF-8A99-48C5-9BC5-17BE371D56D4}"/>
    <cellStyle name="Comma 4 2 2 2 2 7 3" xfId="10899" xr:uid="{7896CCB5-BBBF-4706-AE45-87CA0B56242E}"/>
    <cellStyle name="Comma 4 2 2 2 2 7 4" xfId="15110" xr:uid="{8D26BB48-9C37-430B-95D9-068D9A144686}"/>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9645" xr:uid="{38B4FFD4-03F6-4EE6-9592-30B13C5BEB10}"/>
    <cellStyle name="Comma 4 2 2 2 2 9 3" xfId="11216" xr:uid="{1E342A4E-B95A-475B-B5B5-A27A67A1CAA8}"/>
    <cellStyle name="Comma 4 2 2 2 2 9 4" xfId="15427" xr:uid="{BC8049F7-E3EC-49D1-A9E0-FCE320A89FEF}"/>
    <cellStyle name="Comma 4 2 2 2 3" xfId="131" xr:uid="{00000000-0005-0000-0000-0000D2070000}"/>
    <cellStyle name="Comma 4 2 2 2 3 10" xfId="8835" xr:uid="{576FDBBD-E34D-43BA-A986-B57897C079CB}"/>
    <cellStyle name="Comma 4 2 2 2 3 11" xfId="13046" xr:uid="{50BBC785-3166-4501-A4C0-82B809DB295A}"/>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9823" xr:uid="{BB98796C-112E-41C7-B9AF-795CC91D36F2}"/>
    <cellStyle name="Comma 4 2 2 2 3 2 2 3" xfId="11394" xr:uid="{D127BA6C-314F-4AF3-A93D-A08B84D10EBB}"/>
    <cellStyle name="Comma 4 2 2 2 3 2 2 4" xfId="15605" xr:uid="{19489073-021B-4A14-A5DB-51E795E8BE84}"/>
    <cellStyle name="Comma 4 2 2 2 3 2 3" xfId="5017" xr:uid="{00000000-0005-0000-0000-0000D6070000}"/>
    <cellStyle name="Comma 4 2 2 2 3 2 3 2" xfId="17678" xr:uid="{8FE75ED1-F16D-466B-8387-62AAAF18C1F0}"/>
    <cellStyle name="Comma 4 2 2 2 3 2 4" xfId="9249" xr:uid="{6D16B857-BB9C-422D-8913-A6D43ABF4584}"/>
    <cellStyle name="Comma 4 2 2 2 3 2 5" xfId="13460" xr:uid="{7A5E89E8-17B9-44B1-9BED-DE3992652E41}"/>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20236" xr:uid="{97D64A0B-CE81-4090-98B3-CA1E97409536}"/>
    <cellStyle name="Comma 4 2 2 2 3 3 2 3" xfId="11807" xr:uid="{6511112E-A51E-4F2B-8264-7D5814865E35}"/>
    <cellStyle name="Comma 4 2 2 2 3 3 2 4" xfId="16018" xr:uid="{30D6423C-AC8C-4082-BD87-6950C3A1324F}"/>
    <cellStyle name="Comma 4 2 2 2 3 3 3" xfId="5430" xr:uid="{00000000-0005-0000-0000-0000DA070000}"/>
    <cellStyle name="Comma 4 2 2 2 3 3 3 2" xfId="18091" xr:uid="{D908C1FB-477D-4E77-8954-4729142BB10B}"/>
    <cellStyle name="Comma 4 2 2 2 3 3 4" xfId="9662" xr:uid="{07AC4AA8-C074-44F8-8BBB-BC4FEE3316C2}"/>
    <cellStyle name="Comma 4 2 2 2 3 3 5" xfId="13873" xr:uid="{B7356EE4-1E63-489E-A17F-44DFECC6FB04}"/>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20649" xr:uid="{C1F61FC4-83BD-4B75-A625-E890EAB884FD}"/>
    <cellStyle name="Comma 4 2 2 2 3 4 2 3" xfId="12220" xr:uid="{6B6FC952-37E3-40B5-AC22-DA64904E05F7}"/>
    <cellStyle name="Comma 4 2 2 2 3 4 2 4" xfId="16431" xr:uid="{C867B9B9-B428-4E4C-98B3-9B0399978A8B}"/>
    <cellStyle name="Comma 4 2 2 2 3 4 3" xfId="5843" xr:uid="{00000000-0005-0000-0000-0000DE070000}"/>
    <cellStyle name="Comma 4 2 2 2 3 4 3 2" xfId="18504" xr:uid="{9F545E43-BD16-4F8E-A53E-595362E4BB16}"/>
    <cellStyle name="Comma 4 2 2 2 3 4 4" xfId="10075" xr:uid="{CAF4EA70-5B75-4F8C-B57F-007BD69052A1}"/>
    <cellStyle name="Comma 4 2 2 2 3 4 5" xfId="14286" xr:uid="{5668E680-B342-4BF0-8D2D-5296ACC2FDFB}"/>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21062" xr:uid="{002B84B1-CBC2-4CBF-9C65-4DBDB62C2276}"/>
    <cellStyle name="Comma 4 2 2 2 3 5 2 3" xfId="12633" xr:uid="{4E528391-6537-4B26-81B7-F2E2A72C39C8}"/>
    <cellStyle name="Comma 4 2 2 2 3 5 2 4" xfId="16844" xr:uid="{1EA804AB-BF07-42CE-BCB7-3D23DAE788FA}"/>
    <cellStyle name="Comma 4 2 2 2 3 5 3" xfId="6256" xr:uid="{00000000-0005-0000-0000-0000E2070000}"/>
    <cellStyle name="Comma 4 2 2 2 3 5 3 2" xfId="18917" xr:uid="{BC0557CB-F86F-4716-BB68-1BEB175514DA}"/>
    <cellStyle name="Comma 4 2 2 2 3 5 4" xfId="10488" xr:uid="{6CCCBA29-2A4D-4ACE-A457-CB5868A5086F}"/>
    <cellStyle name="Comma 4 2 2 2 3 5 5" xfId="14699" xr:uid="{6527FCE4-3668-488E-A1D6-CE330CAE6241}"/>
    <cellStyle name="Comma 4 2 2 2 3 6" xfId="2385" xr:uid="{00000000-0005-0000-0000-0000E3070000}"/>
    <cellStyle name="Comma 4 2 2 2 3 6 2" xfId="6669" xr:uid="{00000000-0005-0000-0000-0000E4070000}"/>
    <cellStyle name="Comma 4 2 2 2 3 6 2 2" xfId="19330" xr:uid="{E8898B88-3B70-4598-9E7B-9992541D66FE}"/>
    <cellStyle name="Comma 4 2 2 2 3 6 3" xfId="10901" xr:uid="{5579C6A0-BF96-41E6-8E80-AF527E23FA1E}"/>
    <cellStyle name="Comma 4 2 2 2 3 6 4" xfId="15112" xr:uid="{BD33DA60-98D4-4771-81A7-FE7460772DE1}"/>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9647" xr:uid="{7413D0D9-C2FC-4816-A174-19EE697D5C5B}"/>
    <cellStyle name="Comma 4 2 2 2 3 8 3" xfId="11218" xr:uid="{2948DCC0-16CD-49CE-BD29-588A9A6081E0}"/>
    <cellStyle name="Comma 4 2 2 2 3 8 4" xfId="15429" xr:uid="{237C728E-2D8F-4C2A-85C0-0552ECF2D0C5}"/>
    <cellStyle name="Comma 4 2 2 2 3 9" xfId="4603" xr:uid="{00000000-0005-0000-0000-0000E8070000}"/>
    <cellStyle name="Comma 4 2 2 2 3 9 2" xfId="17264" xr:uid="{88BFF221-100C-447C-A32D-4ECAFA8081B4}"/>
    <cellStyle name="Comma 4 2 2 2 4" xfId="666" xr:uid="{00000000-0005-0000-0000-0000E9070000}"/>
    <cellStyle name="Comma 4 2 2 2 4 2" xfId="2937" xr:uid="{00000000-0005-0000-0000-0000EA070000}"/>
    <cellStyle name="Comma 4 2 2 2 4 2 2" xfId="7159" xr:uid="{00000000-0005-0000-0000-0000EB070000}"/>
    <cellStyle name="Comma 4 2 2 2 4 2 2 2" xfId="19820" xr:uid="{B86FD6A5-FA71-482B-BC84-7A4FFA43C746}"/>
    <cellStyle name="Comma 4 2 2 2 4 2 3" xfId="11391" xr:uid="{7783CB6B-794C-4E46-B5A6-ADF9A39015CA}"/>
    <cellStyle name="Comma 4 2 2 2 4 2 4" xfId="15602" xr:uid="{E66CD35F-852B-4C5F-A76E-DDFEE8DE5D17}"/>
    <cellStyle name="Comma 4 2 2 2 4 3" xfId="5014" xr:uid="{00000000-0005-0000-0000-0000EC070000}"/>
    <cellStyle name="Comma 4 2 2 2 4 3 2" xfId="17675" xr:uid="{0342408F-E92A-4986-A809-FCA6BBB842A0}"/>
    <cellStyle name="Comma 4 2 2 2 4 4" xfId="9246" xr:uid="{22F47C18-B269-4CF1-BD87-7A29D4E7D8BB}"/>
    <cellStyle name="Comma 4 2 2 2 4 5" xfId="13457" xr:uid="{067091E8-F393-439C-8601-16930F04AA9D}"/>
    <cellStyle name="Comma 4 2 2 2 5" xfId="1119" xr:uid="{00000000-0005-0000-0000-0000ED070000}"/>
    <cellStyle name="Comma 4 2 2 2 5 2" xfId="3350" xr:uid="{00000000-0005-0000-0000-0000EE070000}"/>
    <cellStyle name="Comma 4 2 2 2 5 2 2" xfId="7572" xr:uid="{00000000-0005-0000-0000-0000EF070000}"/>
    <cellStyle name="Comma 4 2 2 2 5 2 2 2" xfId="20233" xr:uid="{3513E0EE-C331-44FF-8920-CC1A38295FF1}"/>
    <cellStyle name="Comma 4 2 2 2 5 2 3" xfId="11804" xr:uid="{43005256-BAE6-42CE-B054-367B93CFCA51}"/>
    <cellStyle name="Comma 4 2 2 2 5 2 4" xfId="16015" xr:uid="{413FA8E9-5AB1-4361-8B4D-933F5400ED34}"/>
    <cellStyle name="Comma 4 2 2 2 5 3" xfId="5427" xr:uid="{00000000-0005-0000-0000-0000F0070000}"/>
    <cellStyle name="Comma 4 2 2 2 5 3 2" xfId="18088" xr:uid="{731E37AE-BEDE-452D-BA8B-824F4D8D72E1}"/>
    <cellStyle name="Comma 4 2 2 2 5 4" xfId="9659" xr:uid="{FC6C37B8-1624-426D-A111-54098206F17D}"/>
    <cellStyle name="Comma 4 2 2 2 5 5" xfId="13870" xr:uid="{BCE42AED-0346-4796-AF74-858443EF6115}"/>
    <cellStyle name="Comma 4 2 2 2 6" xfId="1533" xr:uid="{00000000-0005-0000-0000-0000F1070000}"/>
    <cellStyle name="Comma 4 2 2 2 6 2" xfId="3763" xr:uid="{00000000-0005-0000-0000-0000F2070000}"/>
    <cellStyle name="Comma 4 2 2 2 6 2 2" xfId="7985" xr:uid="{00000000-0005-0000-0000-0000F3070000}"/>
    <cellStyle name="Comma 4 2 2 2 6 2 2 2" xfId="20646" xr:uid="{6617C7C1-09F3-4666-997B-F81FC2B4FC7A}"/>
    <cellStyle name="Comma 4 2 2 2 6 2 3" xfId="12217" xr:uid="{2FD717D5-E6D1-406E-9374-9DD3FB55DE93}"/>
    <cellStyle name="Comma 4 2 2 2 6 2 4" xfId="16428" xr:uid="{CE9780E8-4077-423E-A06F-EA57157497A8}"/>
    <cellStyle name="Comma 4 2 2 2 6 3" xfId="5840" xr:uid="{00000000-0005-0000-0000-0000F4070000}"/>
    <cellStyle name="Comma 4 2 2 2 6 3 2" xfId="18501" xr:uid="{52250BD0-56F1-4385-8964-5A6F4E80549A}"/>
    <cellStyle name="Comma 4 2 2 2 6 4" xfId="10072" xr:uid="{9198DC5D-2994-4841-AC75-2CA49B3C9E3C}"/>
    <cellStyle name="Comma 4 2 2 2 6 5" xfId="14283" xr:uid="{152688FB-A88B-45EF-8FED-D0A81E1DBE95}"/>
    <cellStyle name="Comma 4 2 2 2 7" xfId="1947" xr:uid="{00000000-0005-0000-0000-0000F5070000}"/>
    <cellStyle name="Comma 4 2 2 2 7 2" xfId="4176" xr:uid="{00000000-0005-0000-0000-0000F6070000}"/>
    <cellStyle name="Comma 4 2 2 2 7 2 2" xfId="8398" xr:uid="{00000000-0005-0000-0000-0000F7070000}"/>
    <cellStyle name="Comma 4 2 2 2 7 2 2 2" xfId="21059" xr:uid="{59E54E9A-9C4B-48E3-A60D-0BC22FFD75FD}"/>
    <cellStyle name="Comma 4 2 2 2 7 2 3" xfId="12630" xr:uid="{E1274C1B-0AE4-4AFB-8B14-DEC854E43E69}"/>
    <cellStyle name="Comma 4 2 2 2 7 2 4" xfId="16841" xr:uid="{AFF83553-C955-4EF1-B9F0-A2785DB43DC4}"/>
    <cellStyle name="Comma 4 2 2 2 7 3" xfId="6253" xr:uid="{00000000-0005-0000-0000-0000F8070000}"/>
    <cellStyle name="Comma 4 2 2 2 7 3 2" xfId="18914" xr:uid="{90EA4822-D3DB-426B-906A-4DED474A761F}"/>
    <cellStyle name="Comma 4 2 2 2 7 4" xfId="10485" xr:uid="{BDAB31E0-85EA-48AA-9AC5-BF0AD3CCC1CC}"/>
    <cellStyle name="Comma 4 2 2 2 7 5" xfId="14696" xr:uid="{3EB92485-FB27-42C9-B82C-5C72321F7C70}"/>
    <cellStyle name="Comma 4 2 2 2 8" xfId="2382" xr:uid="{00000000-0005-0000-0000-0000F9070000}"/>
    <cellStyle name="Comma 4 2 2 2 8 2" xfId="6666" xr:uid="{00000000-0005-0000-0000-0000FA070000}"/>
    <cellStyle name="Comma 4 2 2 2 8 2 2" xfId="19327" xr:uid="{87627121-C229-4241-924D-7FA7EA0914D4}"/>
    <cellStyle name="Comma 4 2 2 2 8 3" xfId="10898" xr:uid="{7C1C8728-E9FF-4511-AE5C-01DE56280ABA}"/>
    <cellStyle name="Comma 4 2 2 2 8 4" xfId="15109" xr:uid="{72857676-AC7D-4A2C-83BB-4B7E27D7948E}"/>
    <cellStyle name="Comma 4 2 2 2 9" xfId="2381" xr:uid="{00000000-0005-0000-0000-0000FB070000}"/>
    <cellStyle name="Comma 4 2 2 3" xfId="132" xr:uid="{00000000-0005-0000-0000-0000FC070000}"/>
    <cellStyle name="Comma 4 2 2 3 10" xfId="4604" xr:uid="{00000000-0005-0000-0000-0000FD070000}"/>
    <cellStyle name="Comma 4 2 2 3 10 2" xfId="17265" xr:uid="{5136C8B5-2744-46C4-8D18-922DF3EAA65B}"/>
    <cellStyle name="Comma 4 2 2 3 11" xfId="8836" xr:uid="{620DA9D0-E29B-46F1-9F24-ED9DECE1C027}"/>
    <cellStyle name="Comma 4 2 2 3 12" xfId="13047" xr:uid="{DFCC9AB1-DBE5-4A41-B213-6414112F8AAC}"/>
    <cellStyle name="Comma 4 2 2 3 2" xfId="133" xr:uid="{00000000-0005-0000-0000-0000FE070000}"/>
    <cellStyle name="Comma 4 2 2 3 2 10" xfId="8837" xr:uid="{AD2FD015-4538-4684-AA74-A97FA034E096}"/>
    <cellStyle name="Comma 4 2 2 3 2 11" xfId="13048" xr:uid="{6B047102-6C70-49A7-9BE3-130BFC7252CF}"/>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9825" xr:uid="{118A4536-0245-4DB9-B0AD-324218929C7E}"/>
    <cellStyle name="Comma 4 2 2 3 2 2 2 3" xfId="11396" xr:uid="{426B9CFB-B10D-4250-BF3B-591C6B6FF18C}"/>
    <cellStyle name="Comma 4 2 2 3 2 2 2 4" xfId="15607" xr:uid="{2508B325-8CA0-4BE4-9F61-DE25141D4AC6}"/>
    <cellStyle name="Comma 4 2 2 3 2 2 3" xfId="5019" xr:uid="{00000000-0005-0000-0000-000002080000}"/>
    <cellStyle name="Comma 4 2 2 3 2 2 3 2" xfId="17680" xr:uid="{2697FE00-2045-4B98-8466-F97254D755F3}"/>
    <cellStyle name="Comma 4 2 2 3 2 2 4" xfId="9251" xr:uid="{8A425B60-B640-4673-82C2-2840F4590D77}"/>
    <cellStyle name="Comma 4 2 2 3 2 2 5" xfId="13462" xr:uid="{4F297ADB-2AC6-4AFA-971E-3D3684988E27}"/>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20238" xr:uid="{069107A3-CD0E-4875-89DF-75F97355ECC3}"/>
    <cellStyle name="Comma 4 2 2 3 2 3 2 3" xfId="11809" xr:uid="{D7E06160-091D-450E-8093-9822F9454197}"/>
    <cellStyle name="Comma 4 2 2 3 2 3 2 4" xfId="16020" xr:uid="{441F3419-EA27-4503-8FFF-4CA8BA209B5C}"/>
    <cellStyle name="Comma 4 2 2 3 2 3 3" xfId="5432" xr:uid="{00000000-0005-0000-0000-000006080000}"/>
    <cellStyle name="Comma 4 2 2 3 2 3 3 2" xfId="18093" xr:uid="{A2DC2753-157D-44E2-81E7-65C7F3DEFC32}"/>
    <cellStyle name="Comma 4 2 2 3 2 3 4" xfId="9664" xr:uid="{34F393E3-C09A-487F-9192-A05FD35EC996}"/>
    <cellStyle name="Comma 4 2 2 3 2 3 5" xfId="13875" xr:uid="{D4480AC2-0548-44B7-9E7D-107D6B415DFE}"/>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20651" xr:uid="{5B7DE0AC-92AA-43BC-A55F-2F6E5302D102}"/>
    <cellStyle name="Comma 4 2 2 3 2 4 2 3" xfId="12222" xr:uid="{49A661C4-8718-456E-A4B4-FCB8A9617711}"/>
    <cellStyle name="Comma 4 2 2 3 2 4 2 4" xfId="16433" xr:uid="{6E407474-C688-4588-A3FC-2B385DCD564B}"/>
    <cellStyle name="Comma 4 2 2 3 2 4 3" xfId="5845" xr:uid="{00000000-0005-0000-0000-00000A080000}"/>
    <cellStyle name="Comma 4 2 2 3 2 4 3 2" xfId="18506" xr:uid="{85D6DEC2-6B62-4D27-9D14-C4B6FF329AAB}"/>
    <cellStyle name="Comma 4 2 2 3 2 4 4" xfId="10077" xr:uid="{4C0344E4-4B0A-4B41-A5FF-AC5EE6FFC470}"/>
    <cellStyle name="Comma 4 2 2 3 2 4 5" xfId="14288" xr:uid="{8ACFA2B0-29FB-41B6-809F-A95A7305B583}"/>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21064" xr:uid="{5E87765B-2AD5-4BF4-96FB-F2389619B91A}"/>
    <cellStyle name="Comma 4 2 2 3 2 5 2 3" xfId="12635" xr:uid="{A3C7EDF2-121A-40D5-86C3-EFD7AD845465}"/>
    <cellStyle name="Comma 4 2 2 3 2 5 2 4" xfId="16846" xr:uid="{D93CAE41-406A-40B9-9834-4B926AC52311}"/>
    <cellStyle name="Comma 4 2 2 3 2 5 3" xfId="6258" xr:uid="{00000000-0005-0000-0000-00000E080000}"/>
    <cellStyle name="Comma 4 2 2 3 2 5 3 2" xfId="18919" xr:uid="{82338113-CA34-4BFC-86B2-14B0800977D7}"/>
    <cellStyle name="Comma 4 2 2 3 2 5 4" xfId="10490" xr:uid="{45E22FEA-81FF-4E0A-861C-530941435CA2}"/>
    <cellStyle name="Comma 4 2 2 3 2 5 5" xfId="14701" xr:uid="{0CF9C364-8523-46E1-B5CD-962F43A81E2F}"/>
    <cellStyle name="Comma 4 2 2 3 2 6" xfId="2387" xr:uid="{00000000-0005-0000-0000-00000F080000}"/>
    <cellStyle name="Comma 4 2 2 3 2 6 2" xfId="6671" xr:uid="{00000000-0005-0000-0000-000010080000}"/>
    <cellStyle name="Comma 4 2 2 3 2 6 2 2" xfId="19332" xr:uid="{EC7AF809-9C88-404C-AE6C-06C40E1B7823}"/>
    <cellStyle name="Comma 4 2 2 3 2 6 3" xfId="10903" xr:uid="{D52FA226-1F93-4276-A804-E3429151E209}"/>
    <cellStyle name="Comma 4 2 2 3 2 6 4" xfId="15114" xr:uid="{CCD94B83-740C-47B1-B770-6F84115E0D14}"/>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9649" xr:uid="{AC9C0757-BC5E-43CF-A231-0B60B61B8706}"/>
    <cellStyle name="Comma 4 2 2 3 2 8 3" xfId="11220" xr:uid="{63247146-BC8E-4E5B-8C34-FFC823D909FC}"/>
    <cellStyle name="Comma 4 2 2 3 2 8 4" xfId="15431" xr:uid="{A78185A0-5FE7-44C5-8B2A-390BD17B4B1F}"/>
    <cellStyle name="Comma 4 2 2 3 2 9" xfId="4605" xr:uid="{00000000-0005-0000-0000-000014080000}"/>
    <cellStyle name="Comma 4 2 2 3 2 9 2" xfId="17266" xr:uid="{A06B1B02-BEB7-4A39-BA26-A6526CCE9220}"/>
    <cellStyle name="Comma 4 2 2 3 3" xfId="670" xr:uid="{00000000-0005-0000-0000-000015080000}"/>
    <cellStyle name="Comma 4 2 2 3 3 2" xfId="2941" xr:uid="{00000000-0005-0000-0000-000016080000}"/>
    <cellStyle name="Comma 4 2 2 3 3 2 2" xfId="7163" xr:uid="{00000000-0005-0000-0000-000017080000}"/>
    <cellStyle name="Comma 4 2 2 3 3 2 2 2" xfId="19824" xr:uid="{E96C20A2-0472-4551-9146-654AEBE5D102}"/>
    <cellStyle name="Comma 4 2 2 3 3 2 3" xfId="11395" xr:uid="{CD563722-2270-4F11-B00A-601F94162910}"/>
    <cellStyle name="Comma 4 2 2 3 3 2 4" xfId="15606" xr:uid="{7737C0D1-C75F-408B-8F81-BA556A1DED37}"/>
    <cellStyle name="Comma 4 2 2 3 3 3" xfId="5018" xr:uid="{00000000-0005-0000-0000-000018080000}"/>
    <cellStyle name="Comma 4 2 2 3 3 3 2" xfId="17679" xr:uid="{A4819884-7DF0-49D6-BB94-F0A195B9EC62}"/>
    <cellStyle name="Comma 4 2 2 3 3 4" xfId="9250" xr:uid="{75046BAE-77D8-4AA1-A3DF-1634574C95E3}"/>
    <cellStyle name="Comma 4 2 2 3 3 5" xfId="13461" xr:uid="{9FE48718-97FD-40F1-9F90-E179DFAA71B3}"/>
    <cellStyle name="Comma 4 2 2 3 4" xfId="1123" xr:uid="{00000000-0005-0000-0000-000019080000}"/>
    <cellStyle name="Comma 4 2 2 3 4 2" xfId="3354" xr:uid="{00000000-0005-0000-0000-00001A080000}"/>
    <cellStyle name="Comma 4 2 2 3 4 2 2" xfId="7576" xr:uid="{00000000-0005-0000-0000-00001B080000}"/>
    <cellStyle name="Comma 4 2 2 3 4 2 2 2" xfId="20237" xr:uid="{B643AE3E-D7BF-4940-934C-D88F8D6096CE}"/>
    <cellStyle name="Comma 4 2 2 3 4 2 3" xfId="11808" xr:uid="{710EE46D-2F22-4B24-BB79-8D1CF08DA850}"/>
    <cellStyle name="Comma 4 2 2 3 4 2 4" xfId="16019" xr:uid="{E8FBCE93-ACCF-4CE2-9ABB-43EB2364EBEE}"/>
    <cellStyle name="Comma 4 2 2 3 4 3" xfId="5431" xr:uid="{00000000-0005-0000-0000-00001C080000}"/>
    <cellStyle name="Comma 4 2 2 3 4 3 2" xfId="18092" xr:uid="{2FAAD08D-FA19-4D86-B50E-C3615EEAE631}"/>
    <cellStyle name="Comma 4 2 2 3 4 4" xfId="9663" xr:uid="{66367EAA-8F01-4887-BFAD-E19E56AC9279}"/>
    <cellStyle name="Comma 4 2 2 3 4 5" xfId="13874" xr:uid="{FDE34007-1703-4544-B2F4-222812E8AD35}"/>
    <cellStyle name="Comma 4 2 2 3 5" xfId="1537" xr:uid="{00000000-0005-0000-0000-00001D080000}"/>
    <cellStyle name="Comma 4 2 2 3 5 2" xfId="3767" xr:uid="{00000000-0005-0000-0000-00001E080000}"/>
    <cellStyle name="Comma 4 2 2 3 5 2 2" xfId="7989" xr:uid="{00000000-0005-0000-0000-00001F080000}"/>
    <cellStyle name="Comma 4 2 2 3 5 2 2 2" xfId="20650" xr:uid="{F62E1331-4F57-4FEB-8EDF-3A36D4D2250D}"/>
    <cellStyle name="Comma 4 2 2 3 5 2 3" xfId="12221" xr:uid="{D63FBBF6-4F0B-4728-89E1-450E506DA9AA}"/>
    <cellStyle name="Comma 4 2 2 3 5 2 4" xfId="16432" xr:uid="{4D05316C-C35A-48FB-BA93-FE6A045991BF}"/>
    <cellStyle name="Comma 4 2 2 3 5 3" xfId="5844" xr:uid="{00000000-0005-0000-0000-000020080000}"/>
    <cellStyle name="Comma 4 2 2 3 5 3 2" xfId="18505" xr:uid="{6369A744-E9DB-44E6-9695-78F85F532596}"/>
    <cellStyle name="Comma 4 2 2 3 5 4" xfId="10076" xr:uid="{A43C8DD1-3C45-4E32-9C9E-36A9D9FB83E2}"/>
    <cellStyle name="Comma 4 2 2 3 5 5" xfId="14287" xr:uid="{0887F29B-E410-40A8-881B-AB20392F3637}"/>
    <cellStyle name="Comma 4 2 2 3 6" xfId="1951" xr:uid="{00000000-0005-0000-0000-000021080000}"/>
    <cellStyle name="Comma 4 2 2 3 6 2" xfId="4180" xr:uid="{00000000-0005-0000-0000-000022080000}"/>
    <cellStyle name="Comma 4 2 2 3 6 2 2" xfId="8402" xr:uid="{00000000-0005-0000-0000-000023080000}"/>
    <cellStyle name="Comma 4 2 2 3 6 2 2 2" xfId="21063" xr:uid="{441B549E-6AF9-4DA1-8EA4-6EA91CF3B52F}"/>
    <cellStyle name="Comma 4 2 2 3 6 2 3" xfId="12634" xr:uid="{65A9F826-8200-46F6-A04E-C329487724CF}"/>
    <cellStyle name="Comma 4 2 2 3 6 2 4" xfId="16845" xr:uid="{76DD37EA-002D-4EF0-B3B4-519178FDAEAD}"/>
    <cellStyle name="Comma 4 2 2 3 6 3" xfId="6257" xr:uid="{00000000-0005-0000-0000-000024080000}"/>
    <cellStyle name="Comma 4 2 2 3 6 3 2" xfId="18918" xr:uid="{CF1805C4-C397-46A5-9324-E4541BB613CB}"/>
    <cellStyle name="Comma 4 2 2 3 6 4" xfId="10489" xr:uid="{668BEB2D-DAD5-4D23-B1C1-C61552E77F54}"/>
    <cellStyle name="Comma 4 2 2 3 6 5" xfId="14700" xr:uid="{2AE0BB64-8E4A-47A8-960B-32F9B8CB1C25}"/>
    <cellStyle name="Comma 4 2 2 3 7" xfId="2386" xr:uid="{00000000-0005-0000-0000-000025080000}"/>
    <cellStyle name="Comma 4 2 2 3 7 2" xfId="6670" xr:uid="{00000000-0005-0000-0000-000026080000}"/>
    <cellStyle name="Comma 4 2 2 3 7 2 2" xfId="19331" xr:uid="{F11429D8-ECE5-4BA4-B66F-C09E90DAA6D3}"/>
    <cellStyle name="Comma 4 2 2 3 7 3" xfId="10902" xr:uid="{F0B8700D-5ED4-49A3-B980-096CF6B81906}"/>
    <cellStyle name="Comma 4 2 2 3 7 4" xfId="15113" xr:uid="{B1692ADC-1B09-42F3-8909-818EB997CF5E}"/>
    <cellStyle name="Comma 4 2 2 3 8" xfId="2377" xr:uid="{00000000-0005-0000-0000-000027080000}"/>
    <cellStyle name="Comma 4 2 2 3 9" xfId="2764" xr:uid="{00000000-0005-0000-0000-000028080000}"/>
    <cellStyle name="Comma 4 2 2 3 9 2" xfId="6987" xr:uid="{00000000-0005-0000-0000-000029080000}"/>
    <cellStyle name="Comma 4 2 2 3 9 2 2" xfId="19648" xr:uid="{AA415777-54BF-41BB-A79F-95D28B00EC10}"/>
    <cellStyle name="Comma 4 2 2 3 9 3" xfId="11219" xr:uid="{4EDC0485-00E5-418C-BD2C-E95DCC2676AD}"/>
    <cellStyle name="Comma 4 2 2 3 9 4" xfId="15430" xr:uid="{CAA9AC13-D691-491B-B2D8-1AF3609718C2}"/>
    <cellStyle name="Comma 4 2 2 4" xfId="134" xr:uid="{00000000-0005-0000-0000-00002A080000}"/>
    <cellStyle name="Comma 4 2 2 4 10" xfId="8838" xr:uid="{EC8D156B-9EC2-4B67-AB1A-76EA6B043954}"/>
    <cellStyle name="Comma 4 2 2 4 11" xfId="13049" xr:uid="{0BAF3BD2-358A-4651-A747-8F1EF35DDC44}"/>
    <cellStyle name="Comma 4 2 2 4 2" xfId="672" xr:uid="{00000000-0005-0000-0000-00002B080000}"/>
    <cellStyle name="Comma 4 2 2 4 2 2" xfId="2943" xr:uid="{00000000-0005-0000-0000-00002C080000}"/>
    <cellStyle name="Comma 4 2 2 4 2 2 2" xfId="7165" xr:uid="{00000000-0005-0000-0000-00002D080000}"/>
    <cellStyle name="Comma 4 2 2 4 2 2 2 2" xfId="19826" xr:uid="{C3F2A506-61F4-40D1-9B34-8521F29538DB}"/>
    <cellStyle name="Comma 4 2 2 4 2 2 3" xfId="11397" xr:uid="{39EFF256-0DD8-46C1-B682-5F73CF88FA45}"/>
    <cellStyle name="Comma 4 2 2 4 2 2 4" xfId="15608" xr:uid="{9ECA0492-EC46-425D-947E-9D78AE4432BC}"/>
    <cellStyle name="Comma 4 2 2 4 2 3" xfId="5020" xr:uid="{00000000-0005-0000-0000-00002E080000}"/>
    <cellStyle name="Comma 4 2 2 4 2 3 2" xfId="17681" xr:uid="{547F5236-D347-4238-BD5A-350B1BCECA58}"/>
    <cellStyle name="Comma 4 2 2 4 2 4" xfId="9252" xr:uid="{2E34B35E-F117-4DDA-8C77-676CD31CCEAF}"/>
    <cellStyle name="Comma 4 2 2 4 2 5" xfId="13463" xr:uid="{AD65BF98-2E94-4547-9F65-17A112D9A394}"/>
    <cellStyle name="Comma 4 2 2 4 3" xfId="1125" xr:uid="{00000000-0005-0000-0000-00002F080000}"/>
    <cellStyle name="Comma 4 2 2 4 3 2" xfId="3356" xr:uid="{00000000-0005-0000-0000-000030080000}"/>
    <cellStyle name="Comma 4 2 2 4 3 2 2" xfId="7578" xr:uid="{00000000-0005-0000-0000-000031080000}"/>
    <cellStyle name="Comma 4 2 2 4 3 2 2 2" xfId="20239" xr:uid="{E1B63D9F-8B71-45F8-9734-41141D42BAD3}"/>
    <cellStyle name="Comma 4 2 2 4 3 2 3" xfId="11810" xr:uid="{8F6EE031-1277-4CD3-BB48-A6D7F0F41676}"/>
    <cellStyle name="Comma 4 2 2 4 3 2 4" xfId="16021" xr:uid="{D7EF2CF4-3FBD-4C47-9035-E36FB7AD0B7A}"/>
    <cellStyle name="Comma 4 2 2 4 3 3" xfId="5433" xr:uid="{00000000-0005-0000-0000-000032080000}"/>
    <cellStyle name="Comma 4 2 2 4 3 3 2" xfId="18094" xr:uid="{67BAAF19-1177-4D80-94F8-C9A20B3A61A0}"/>
    <cellStyle name="Comma 4 2 2 4 3 4" xfId="9665" xr:uid="{E5E05C54-98DF-4AFB-A36C-3BEED5FD7BF1}"/>
    <cellStyle name="Comma 4 2 2 4 3 5" xfId="13876" xr:uid="{55DD8815-2310-45A5-A2EE-B84F4F1FA689}"/>
    <cellStyle name="Comma 4 2 2 4 4" xfId="1539" xr:uid="{00000000-0005-0000-0000-000033080000}"/>
    <cellStyle name="Comma 4 2 2 4 4 2" xfId="3769" xr:uid="{00000000-0005-0000-0000-000034080000}"/>
    <cellStyle name="Comma 4 2 2 4 4 2 2" xfId="7991" xr:uid="{00000000-0005-0000-0000-000035080000}"/>
    <cellStyle name="Comma 4 2 2 4 4 2 2 2" xfId="20652" xr:uid="{849BB3FC-896E-4BD5-BAF8-D681D5218AC0}"/>
    <cellStyle name="Comma 4 2 2 4 4 2 3" xfId="12223" xr:uid="{BF4235C2-050F-464D-9CCF-08F6A7E1E477}"/>
    <cellStyle name="Comma 4 2 2 4 4 2 4" xfId="16434" xr:uid="{0490DA28-4BC1-4284-886C-400737219D76}"/>
    <cellStyle name="Comma 4 2 2 4 4 3" xfId="5846" xr:uid="{00000000-0005-0000-0000-000036080000}"/>
    <cellStyle name="Comma 4 2 2 4 4 3 2" xfId="18507" xr:uid="{8CD7C3AD-9727-452A-A926-B2910AC4B239}"/>
    <cellStyle name="Comma 4 2 2 4 4 4" xfId="10078" xr:uid="{C26E1C4E-C648-44AA-9DE2-A73336AEC01B}"/>
    <cellStyle name="Comma 4 2 2 4 4 5" xfId="14289" xr:uid="{5E6F94AF-F73B-44BF-B457-CCBC97E74A19}"/>
    <cellStyle name="Comma 4 2 2 4 5" xfId="1953" xr:uid="{00000000-0005-0000-0000-000037080000}"/>
    <cellStyle name="Comma 4 2 2 4 5 2" xfId="4182" xr:uid="{00000000-0005-0000-0000-000038080000}"/>
    <cellStyle name="Comma 4 2 2 4 5 2 2" xfId="8404" xr:uid="{00000000-0005-0000-0000-000039080000}"/>
    <cellStyle name="Comma 4 2 2 4 5 2 2 2" xfId="21065" xr:uid="{C89ED201-E22D-4D95-B5BF-68C87C2CC05B}"/>
    <cellStyle name="Comma 4 2 2 4 5 2 3" xfId="12636" xr:uid="{05B0AC5C-D930-4DB3-B902-AC3E9387C8C8}"/>
    <cellStyle name="Comma 4 2 2 4 5 2 4" xfId="16847" xr:uid="{24B7A7E1-07AC-41A1-8E89-7A295F23FA26}"/>
    <cellStyle name="Comma 4 2 2 4 5 3" xfId="6259" xr:uid="{00000000-0005-0000-0000-00003A080000}"/>
    <cellStyle name="Comma 4 2 2 4 5 3 2" xfId="18920" xr:uid="{54F34C7F-FF3A-42E4-9244-88165E5123AD}"/>
    <cellStyle name="Comma 4 2 2 4 5 4" xfId="10491" xr:uid="{0D623A14-C561-4941-AEA9-78E0D0C63FC1}"/>
    <cellStyle name="Comma 4 2 2 4 5 5" xfId="14702" xr:uid="{142B047C-7838-4164-8809-ED836711A60C}"/>
    <cellStyle name="Comma 4 2 2 4 6" xfId="2388" xr:uid="{00000000-0005-0000-0000-00003B080000}"/>
    <cellStyle name="Comma 4 2 2 4 6 2" xfId="6672" xr:uid="{00000000-0005-0000-0000-00003C080000}"/>
    <cellStyle name="Comma 4 2 2 4 6 2 2" xfId="19333" xr:uid="{35B849B3-0DC6-4CAB-A0A9-7B7FC2D38F4F}"/>
    <cellStyle name="Comma 4 2 2 4 6 3" xfId="10904" xr:uid="{CDEBA823-902C-40F4-A618-70E2F66AF088}"/>
    <cellStyle name="Comma 4 2 2 4 6 4" xfId="15115" xr:uid="{06915321-03D1-4CDC-8AC7-517DB2593EC9}"/>
    <cellStyle name="Comma 4 2 2 4 7" xfId="2375" xr:uid="{00000000-0005-0000-0000-00003D080000}"/>
    <cellStyle name="Comma 4 2 2 4 8" xfId="2766" xr:uid="{00000000-0005-0000-0000-00003E080000}"/>
    <cellStyle name="Comma 4 2 2 4 8 2" xfId="6989" xr:uid="{00000000-0005-0000-0000-00003F080000}"/>
    <cellStyle name="Comma 4 2 2 4 8 2 2" xfId="19650" xr:uid="{8D24ECBB-E4E7-4D33-80F0-5E2AADC61B2F}"/>
    <cellStyle name="Comma 4 2 2 4 8 3" xfId="11221" xr:uid="{3E15130F-E367-4CED-820C-FEF25DBC4BD0}"/>
    <cellStyle name="Comma 4 2 2 4 8 4" xfId="15432" xr:uid="{4DC5E638-14BA-48FE-8BFC-D9BAA05869E8}"/>
    <cellStyle name="Comma 4 2 2 4 9" xfId="4606" xr:uid="{00000000-0005-0000-0000-000040080000}"/>
    <cellStyle name="Comma 4 2 2 4 9 2" xfId="17267" xr:uid="{42277592-7A95-4FED-AF03-B0E868DB7A5E}"/>
    <cellStyle name="Comma 4 2 2 5" xfId="135" xr:uid="{00000000-0005-0000-0000-000041080000}"/>
    <cellStyle name="Comma 4 2 2 5 10" xfId="8839" xr:uid="{3950C88F-E97A-4191-A149-D5F2B8197BFF}"/>
    <cellStyle name="Comma 4 2 2 5 11" xfId="13050" xr:uid="{37E1D451-0FCA-4738-9A74-B117D5602A64}"/>
    <cellStyle name="Comma 4 2 2 5 2" xfId="673" xr:uid="{00000000-0005-0000-0000-000042080000}"/>
    <cellStyle name="Comma 4 2 2 5 2 2" xfId="2944" xr:uid="{00000000-0005-0000-0000-000043080000}"/>
    <cellStyle name="Comma 4 2 2 5 2 2 2" xfId="7166" xr:uid="{00000000-0005-0000-0000-000044080000}"/>
    <cellStyle name="Comma 4 2 2 5 2 2 2 2" xfId="19827" xr:uid="{4C95BC8C-D30A-43FE-A4A8-0A52F5B72FB1}"/>
    <cellStyle name="Comma 4 2 2 5 2 2 3" xfId="11398" xr:uid="{7CB90909-8F18-4959-BFF8-E6E49E949F0F}"/>
    <cellStyle name="Comma 4 2 2 5 2 2 4" xfId="15609" xr:uid="{38ECF7C2-38AF-46D9-873B-3081898DDC3F}"/>
    <cellStyle name="Comma 4 2 2 5 2 3" xfId="5021" xr:uid="{00000000-0005-0000-0000-000045080000}"/>
    <cellStyle name="Comma 4 2 2 5 2 3 2" xfId="17682" xr:uid="{788E4D81-8593-4BDF-BCC6-1A81BA7B9C14}"/>
    <cellStyle name="Comma 4 2 2 5 2 4" xfId="9253" xr:uid="{87F9CE4F-CCE6-4CCF-A673-8CD5C08CC88D}"/>
    <cellStyle name="Comma 4 2 2 5 2 5" xfId="13464" xr:uid="{781EB613-25A2-4B40-B835-B84C0F33D40D}"/>
    <cellStyle name="Comma 4 2 2 5 3" xfId="1126" xr:uid="{00000000-0005-0000-0000-000046080000}"/>
    <cellStyle name="Comma 4 2 2 5 3 2" xfId="3357" xr:uid="{00000000-0005-0000-0000-000047080000}"/>
    <cellStyle name="Comma 4 2 2 5 3 2 2" xfId="7579" xr:uid="{00000000-0005-0000-0000-000048080000}"/>
    <cellStyle name="Comma 4 2 2 5 3 2 2 2" xfId="20240" xr:uid="{C0772F72-6CC6-4BB6-9D51-BA66789DBBB3}"/>
    <cellStyle name="Comma 4 2 2 5 3 2 3" xfId="11811" xr:uid="{FC680DFA-66F4-4885-AED5-E33E45ECB57B}"/>
    <cellStyle name="Comma 4 2 2 5 3 2 4" xfId="16022" xr:uid="{A4C6F26C-8C03-4275-AA08-9EBE5AD4D114}"/>
    <cellStyle name="Comma 4 2 2 5 3 3" xfId="5434" xr:uid="{00000000-0005-0000-0000-000049080000}"/>
    <cellStyle name="Comma 4 2 2 5 3 3 2" xfId="18095" xr:uid="{EF2CD14C-F868-4048-B666-F1A63DCC47A2}"/>
    <cellStyle name="Comma 4 2 2 5 3 4" xfId="9666" xr:uid="{058A24F4-B328-4C7A-9157-497FA62EFB3E}"/>
    <cellStyle name="Comma 4 2 2 5 3 5" xfId="13877" xr:uid="{32B861F2-5339-4FF6-BF8F-5C501CFE04F0}"/>
    <cellStyle name="Comma 4 2 2 5 4" xfId="1540" xr:uid="{00000000-0005-0000-0000-00004A080000}"/>
    <cellStyle name="Comma 4 2 2 5 4 2" xfId="3770" xr:uid="{00000000-0005-0000-0000-00004B080000}"/>
    <cellStyle name="Comma 4 2 2 5 4 2 2" xfId="7992" xr:uid="{00000000-0005-0000-0000-00004C080000}"/>
    <cellStyle name="Comma 4 2 2 5 4 2 2 2" xfId="20653" xr:uid="{50DEB12E-9F2F-4F2A-9D3C-3821357EE88C}"/>
    <cellStyle name="Comma 4 2 2 5 4 2 3" xfId="12224" xr:uid="{2003F72E-B8E3-44DA-9EDF-2E3992F6F67E}"/>
    <cellStyle name="Comma 4 2 2 5 4 2 4" xfId="16435" xr:uid="{F7E11AE9-7737-4CE5-B8D9-10AFFD68DB9C}"/>
    <cellStyle name="Comma 4 2 2 5 4 3" xfId="5847" xr:uid="{00000000-0005-0000-0000-00004D080000}"/>
    <cellStyle name="Comma 4 2 2 5 4 3 2" xfId="18508" xr:uid="{4B978A1E-3181-437F-A900-4867366867EB}"/>
    <cellStyle name="Comma 4 2 2 5 4 4" xfId="10079" xr:uid="{EBDC72CD-05BD-4712-BE4D-2D16FB2EF02D}"/>
    <cellStyle name="Comma 4 2 2 5 4 5" xfId="14290" xr:uid="{FE1FD5A0-7E81-4EEB-BF48-A8DBA0F0D66F}"/>
    <cellStyle name="Comma 4 2 2 5 5" xfId="1954" xr:uid="{00000000-0005-0000-0000-00004E080000}"/>
    <cellStyle name="Comma 4 2 2 5 5 2" xfId="4183" xr:uid="{00000000-0005-0000-0000-00004F080000}"/>
    <cellStyle name="Comma 4 2 2 5 5 2 2" xfId="8405" xr:uid="{00000000-0005-0000-0000-000050080000}"/>
    <cellStyle name="Comma 4 2 2 5 5 2 2 2" xfId="21066" xr:uid="{30109673-8DEB-423E-B9AA-65643C8B888E}"/>
    <cellStyle name="Comma 4 2 2 5 5 2 3" xfId="12637" xr:uid="{4EB27251-FA79-4903-9344-A6399E0CCA1A}"/>
    <cellStyle name="Comma 4 2 2 5 5 2 4" xfId="16848" xr:uid="{9A4A8F70-8B51-4D20-AF42-CE096856A885}"/>
    <cellStyle name="Comma 4 2 2 5 5 3" xfId="6260" xr:uid="{00000000-0005-0000-0000-000051080000}"/>
    <cellStyle name="Comma 4 2 2 5 5 3 2" xfId="18921" xr:uid="{0CDA0213-49A7-4D9D-8F43-4DB9C2ECD291}"/>
    <cellStyle name="Comma 4 2 2 5 5 4" xfId="10492" xr:uid="{FE25D24F-D349-4686-9C5C-58DEB6977DA6}"/>
    <cellStyle name="Comma 4 2 2 5 5 5" xfId="14703" xr:uid="{F9245DA4-BAC5-41EE-A6C3-491731D720DD}"/>
    <cellStyle name="Comma 4 2 2 5 6" xfId="2389" xr:uid="{00000000-0005-0000-0000-000052080000}"/>
    <cellStyle name="Comma 4 2 2 5 6 2" xfId="6673" xr:uid="{00000000-0005-0000-0000-000053080000}"/>
    <cellStyle name="Comma 4 2 2 5 6 2 2" xfId="19334" xr:uid="{1C40806B-3C6C-4526-8AAC-4250B4CAD96A}"/>
    <cellStyle name="Comma 4 2 2 5 6 3" xfId="10905" xr:uid="{528CCE6F-60EB-4DE4-8163-96A2C23D989F}"/>
    <cellStyle name="Comma 4 2 2 5 6 4" xfId="15116" xr:uid="{883DCC9F-497A-44AC-8CD2-016AE6C57FE8}"/>
    <cellStyle name="Comma 4 2 2 5 7" xfId="2374" xr:uid="{00000000-0005-0000-0000-000054080000}"/>
    <cellStyle name="Comma 4 2 2 5 8" xfId="2767" xr:uid="{00000000-0005-0000-0000-000055080000}"/>
    <cellStyle name="Comma 4 2 2 5 8 2" xfId="6990" xr:uid="{00000000-0005-0000-0000-000056080000}"/>
    <cellStyle name="Comma 4 2 2 5 8 2 2" xfId="19651" xr:uid="{44F1E504-34EF-4DC5-BA51-BB6FFA66907A}"/>
    <cellStyle name="Comma 4 2 2 5 8 3" xfId="11222" xr:uid="{FCA42045-3166-487E-AB13-ADF372939DF7}"/>
    <cellStyle name="Comma 4 2 2 5 8 4" xfId="15433" xr:uid="{349E3573-6DD2-4390-9F8A-719B9E6EC714}"/>
    <cellStyle name="Comma 4 2 2 5 9" xfId="4607" xr:uid="{00000000-0005-0000-0000-000057080000}"/>
    <cellStyle name="Comma 4 2 2 5 9 2" xfId="17268" xr:uid="{8D8F9E54-9645-492B-BE0F-1A2EA2D97DFB}"/>
    <cellStyle name="Comma 4 2 3" xfId="136" xr:uid="{00000000-0005-0000-0000-000058080000}"/>
    <cellStyle name="Comma 4 2 3 10" xfId="2768" xr:uid="{00000000-0005-0000-0000-000059080000}"/>
    <cellStyle name="Comma 4 2 3 10 2" xfId="6991" xr:uid="{00000000-0005-0000-0000-00005A080000}"/>
    <cellStyle name="Comma 4 2 3 10 2 2" xfId="19652" xr:uid="{004CD9C0-AC9D-4CFF-BE4F-C27FFDA9A628}"/>
    <cellStyle name="Comma 4 2 3 10 3" xfId="11223" xr:uid="{D96F9307-F7E5-458E-BBE8-7C4B7B8C42D0}"/>
    <cellStyle name="Comma 4 2 3 10 4" xfId="15434" xr:uid="{7ABD3174-899E-4A31-A39D-5BF5B62BD8E7}"/>
    <cellStyle name="Comma 4 2 3 11" xfId="4608" xr:uid="{00000000-0005-0000-0000-00005B080000}"/>
    <cellStyle name="Comma 4 2 3 11 2" xfId="17269" xr:uid="{76260985-0F95-4D77-AEC5-4ECA830D0C08}"/>
    <cellStyle name="Comma 4 2 3 12" xfId="8840" xr:uid="{EA77B79E-1AD4-4AFC-8245-D211C275829D}"/>
    <cellStyle name="Comma 4 2 3 13" xfId="13051" xr:uid="{CD96A9BD-3C57-41D7-A132-4703EDA98C08}"/>
    <cellStyle name="Comma 4 2 3 2" xfId="137" xr:uid="{00000000-0005-0000-0000-00005C080000}"/>
    <cellStyle name="Comma 4 2 3 2 10" xfId="4609" xr:uid="{00000000-0005-0000-0000-00005D080000}"/>
    <cellStyle name="Comma 4 2 3 2 10 2" xfId="17270" xr:uid="{FB7465D1-7BFE-433F-90E0-8BB947C81EB6}"/>
    <cellStyle name="Comma 4 2 3 2 11" xfId="8841" xr:uid="{4E9834A9-F268-467A-B164-FB769715FB5F}"/>
    <cellStyle name="Comma 4 2 3 2 12" xfId="13052" xr:uid="{38361E5A-2235-4104-91C2-5A046DA08890}"/>
    <cellStyle name="Comma 4 2 3 2 2" xfId="138" xr:uid="{00000000-0005-0000-0000-00005E080000}"/>
    <cellStyle name="Comma 4 2 3 2 2 10" xfId="8842" xr:uid="{E4931108-A161-40AF-B43E-09A028A8DB65}"/>
    <cellStyle name="Comma 4 2 3 2 2 11" xfId="13053" xr:uid="{22E99CAF-3320-4A92-92FD-31198A117A02}"/>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9830" xr:uid="{F0073176-F310-4AEA-A5E1-4703F2F17402}"/>
    <cellStyle name="Comma 4 2 3 2 2 2 2 3" xfId="11401" xr:uid="{DA72C820-0EBC-4DFF-874E-1CE1A3612BF5}"/>
    <cellStyle name="Comma 4 2 3 2 2 2 2 4" xfId="15612" xr:uid="{796D85AC-A85D-4C7A-A2BA-3D70B9233895}"/>
    <cellStyle name="Comma 4 2 3 2 2 2 3" xfId="5024" xr:uid="{00000000-0005-0000-0000-000062080000}"/>
    <cellStyle name="Comma 4 2 3 2 2 2 3 2" xfId="17685" xr:uid="{C04B1248-7547-4946-818C-3DE4B2717F4B}"/>
    <cellStyle name="Comma 4 2 3 2 2 2 4" xfId="9256" xr:uid="{4A060A8B-33D2-4A4C-B0B6-4F701D3292B0}"/>
    <cellStyle name="Comma 4 2 3 2 2 2 5" xfId="13467" xr:uid="{554659CE-E9AC-437D-B03F-5B3AFE244273}"/>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20243" xr:uid="{82051AAA-A924-41E5-A6F7-3ED8707D6B48}"/>
    <cellStyle name="Comma 4 2 3 2 2 3 2 3" xfId="11814" xr:uid="{B48C2ED0-54CF-4E6B-8ECC-2DC37FAFABA1}"/>
    <cellStyle name="Comma 4 2 3 2 2 3 2 4" xfId="16025" xr:uid="{78A942F8-9AD2-4684-8919-132F9391A6D8}"/>
    <cellStyle name="Comma 4 2 3 2 2 3 3" xfId="5437" xr:uid="{00000000-0005-0000-0000-000066080000}"/>
    <cellStyle name="Comma 4 2 3 2 2 3 3 2" xfId="18098" xr:uid="{8239DFBD-5929-47EE-AC9E-5E592BC35F02}"/>
    <cellStyle name="Comma 4 2 3 2 2 3 4" xfId="9669" xr:uid="{C37B3585-1017-437A-AA52-5D6078797044}"/>
    <cellStyle name="Comma 4 2 3 2 2 3 5" xfId="13880" xr:uid="{1D0A33A5-42A2-4C84-ADB5-F34908682F1A}"/>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20656" xr:uid="{90D341F4-81A7-43FF-AAB8-79805CD9931B}"/>
    <cellStyle name="Comma 4 2 3 2 2 4 2 3" xfId="12227" xr:uid="{4E8C8FD5-0943-439E-ACE8-31E8D9E6D899}"/>
    <cellStyle name="Comma 4 2 3 2 2 4 2 4" xfId="16438" xr:uid="{6BA0D39D-56CC-4827-B14C-28FBC63ABADF}"/>
    <cellStyle name="Comma 4 2 3 2 2 4 3" xfId="5850" xr:uid="{00000000-0005-0000-0000-00006A080000}"/>
    <cellStyle name="Comma 4 2 3 2 2 4 3 2" xfId="18511" xr:uid="{FA1E919A-11A4-4FC1-BFA5-46DE813E34E7}"/>
    <cellStyle name="Comma 4 2 3 2 2 4 4" xfId="10082" xr:uid="{7D1B70D9-A9AE-4599-83D6-62124CD93A84}"/>
    <cellStyle name="Comma 4 2 3 2 2 4 5" xfId="14293" xr:uid="{393FB039-7221-4147-9211-13F26EE0B059}"/>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21069" xr:uid="{81F76AA4-DC8A-45F6-831C-995C0A610341}"/>
    <cellStyle name="Comma 4 2 3 2 2 5 2 3" xfId="12640" xr:uid="{938AA43B-E307-47D2-BC05-01C0962A9292}"/>
    <cellStyle name="Comma 4 2 3 2 2 5 2 4" xfId="16851" xr:uid="{872B5B3E-0EFD-4525-8B3D-FC0842B62B78}"/>
    <cellStyle name="Comma 4 2 3 2 2 5 3" xfId="6263" xr:uid="{00000000-0005-0000-0000-00006E080000}"/>
    <cellStyle name="Comma 4 2 3 2 2 5 3 2" xfId="18924" xr:uid="{33FC1628-1B74-437B-B009-EF871C42549D}"/>
    <cellStyle name="Comma 4 2 3 2 2 5 4" xfId="10495" xr:uid="{42E37517-4CF6-43FA-8019-5B154BF5AC3D}"/>
    <cellStyle name="Comma 4 2 3 2 2 5 5" xfId="14706" xr:uid="{FB923BBB-D328-4F2C-8865-F71B4EC70C7F}"/>
    <cellStyle name="Comma 4 2 3 2 2 6" xfId="2392" xr:uid="{00000000-0005-0000-0000-00006F080000}"/>
    <cellStyle name="Comma 4 2 3 2 2 6 2" xfId="6676" xr:uid="{00000000-0005-0000-0000-000070080000}"/>
    <cellStyle name="Comma 4 2 3 2 2 6 2 2" xfId="19337" xr:uid="{13E0CA0B-7397-486D-A951-AC2A75CF2996}"/>
    <cellStyle name="Comma 4 2 3 2 2 6 3" xfId="10908" xr:uid="{0900B1DF-10EA-4753-A6EC-B93A7C017EB4}"/>
    <cellStyle name="Comma 4 2 3 2 2 6 4" xfId="15119" xr:uid="{6CE9EF57-2C11-4C06-8BD8-804A5AA8AC50}"/>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9654" xr:uid="{09E45FB1-4172-4932-9A49-7EC513785CCA}"/>
    <cellStyle name="Comma 4 2 3 2 2 8 3" xfId="11225" xr:uid="{C625DEFF-0BFF-4E8B-BCC1-59732E149D44}"/>
    <cellStyle name="Comma 4 2 3 2 2 8 4" xfId="15436" xr:uid="{F999E367-E80A-452E-B422-034DBD70FE16}"/>
    <cellStyle name="Comma 4 2 3 2 2 9" xfId="4610" xr:uid="{00000000-0005-0000-0000-000074080000}"/>
    <cellStyle name="Comma 4 2 3 2 2 9 2" xfId="17271" xr:uid="{FF162F36-AA75-4E72-BDF7-6A3EB033EBE2}"/>
    <cellStyle name="Comma 4 2 3 2 3" xfId="675" xr:uid="{00000000-0005-0000-0000-000075080000}"/>
    <cellStyle name="Comma 4 2 3 2 3 2" xfId="2946" xr:uid="{00000000-0005-0000-0000-000076080000}"/>
    <cellStyle name="Comma 4 2 3 2 3 2 2" xfId="7168" xr:uid="{00000000-0005-0000-0000-000077080000}"/>
    <cellStyle name="Comma 4 2 3 2 3 2 2 2" xfId="19829" xr:uid="{E03A8055-DCD3-49C7-9C5A-9A462C60E58F}"/>
    <cellStyle name="Comma 4 2 3 2 3 2 3" xfId="11400" xr:uid="{E39E41DB-3981-40C8-B121-8265B864A4CC}"/>
    <cellStyle name="Comma 4 2 3 2 3 2 4" xfId="15611" xr:uid="{12E4EF07-6074-40A9-9087-465541E58FD1}"/>
    <cellStyle name="Comma 4 2 3 2 3 3" xfId="5023" xr:uid="{00000000-0005-0000-0000-000078080000}"/>
    <cellStyle name="Comma 4 2 3 2 3 3 2" xfId="17684" xr:uid="{C898603B-547D-42FD-85F1-761A36BEAAE2}"/>
    <cellStyle name="Comma 4 2 3 2 3 4" xfId="9255" xr:uid="{01BB8023-6469-4CD8-B1CE-67126FDD6A84}"/>
    <cellStyle name="Comma 4 2 3 2 3 5" xfId="13466" xr:uid="{A0C98D97-E339-48D8-8E80-719DD61BEA55}"/>
    <cellStyle name="Comma 4 2 3 2 4" xfId="1128" xr:uid="{00000000-0005-0000-0000-000079080000}"/>
    <cellStyle name="Comma 4 2 3 2 4 2" xfId="3359" xr:uid="{00000000-0005-0000-0000-00007A080000}"/>
    <cellStyle name="Comma 4 2 3 2 4 2 2" xfId="7581" xr:uid="{00000000-0005-0000-0000-00007B080000}"/>
    <cellStyle name="Comma 4 2 3 2 4 2 2 2" xfId="20242" xr:uid="{7C612F2B-D9A7-4EFF-A6B3-3E3B657E6551}"/>
    <cellStyle name="Comma 4 2 3 2 4 2 3" xfId="11813" xr:uid="{65168A84-B785-4E68-B1F0-D98DDCB5343D}"/>
    <cellStyle name="Comma 4 2 3 2 4 2 4" xfId="16024" xr:uid="{2222E208-8F8F-4364-8EF5-4DF68408C72B}"/>
    <cellStyle name="Comma 4 2 3 2 4 3" xfId="5436" xr:uid="{00000000-0005-0000-0000-00007C080000}"/>
    <cellStyle name="Comma 4 2 3 2 4 3 2" xfId="18097" xr:uid="{C20AB629-C021-43A4-B6DE-4D9D1ED2E924}"/>
    <cellStyle name="Comma 4 2 3 2 4 4" xfId="9668" xr:uid="{4C260690-356E-4FBE-9B79-51A9B35FBD1C}"/>
    <cellStyle name="Comma 4 2 3 2 4 5" xfId="13879" xr:uid="{A8159A07-1303-454B-BB8C-944116D5C9A0}"/>
    <cellStyle name="Comma 4 2 3 2 5" xfId="1542" xr:uid="{00000000-0005-0000-0000-00007D080000}"/>
    <cellStyle name="Comma 4 2 3 2 5 2" xfId="3772" xr:uid="{00000000-0005-0000-0000-00007E080000}"/>
    <cellStyle name="Comma 4 2 3 2 5 2 2" xfId="7994" xr:uid="{00000000-0005-0000-0000-00007F080000}"/>
    <cellStyle name="Comma 4 2 3 2 5 2 2 2" xfId="20655" xr:uid="{C069EE12-89BC-4230-9EFE-AB80E92D2071}"/>
    <cellStyle name="Comma 4 2 3 2 5 2 3" xfId="12226" xr:uid="{399BFD11-B9F1-4069-A713-453BD49099C4}"/>
    <cellStyle name="Comma 4 2 3 2 5 2 4" xfId="16437" xr:uid="{44083CB6-8E2C-4577-A64A-D3D39D246587}"/>
    <cellStyle name="Comma 4 2 3 2 5 3" xfId="5849" xr:uid="{00000000-0005-0000-0000-000080080000}"/>
    <cellStyle name="Comma 4 2 3 2 5 3 2" xfId="18510" xr:uid="{6957695A-E168-42D0-8841-3B71E89FB142}"/>
    <cellStyle name="Comma 4 2 3 2 5 4" xfId="10081" xr:uid="{60E694C3-49D4-46E4-8D62-A1F7343AC8D3}"/>
    <cellStyle name="Comma 4 2 3 2 5 5" xfId="14292" xr:uid="{27DC8D48-3DFA-4C35-8A6B-1C18252BF9CF}"/>
    <cellStyle name="Comma 4 2 3 2 6" xfId="1956" xr:uid="{00000000-0005-0000-0000-000081080000}"/>
    <cellStyle name="Comma 4 2 3 2 6 2" xfId="4185" xr:uid="{00000000-0005-0000-0000-000082080000}"/>
    <cellStyle name="Comma 4 2 3 2 6 2 2" xfId="8407" xr:uid="{00000000-0005-0000-0000-000083080000}"/>
    <cellStyle name="Comma 4 2 3 2 6 2 2 2" xfId="21068" xr:uid="{9F1A5A77-5ABF-43AC-9462-7CCB309D33DE}"/>
    <cellStyle name="Comma 4 2 3 2 6 2 3" xfId="12639" xr:uid="{20317A5C-6FF9-4A0C-A7F5-227A83F1325D}"/>
    <cellStyle name="Comma 4 2 3 2 6 2 4" xfId="16850" xr:uid="{A9A1868F-1FBE-4707-9082-F0B4C308B0A9}"/>
    <cellStyle name="Comma 4 2 3 2 6 3" xfId="6262" xr:uid="{00000000-0005-0000-0000-000084080000}"/>
    <cellStyle name="Comma 4 2 3 2 6 3 2" xfId="18923" xr:uid="{69F6D829-07A7-47AE-ABAF-7F888AC15284}"/>
    <cellStyle name="Comma 4 2 3 2 6 4" xfId="10494" xr:uid="{5FF81AC7-C234-4D2F-A9B5-8636308D7823}"/>
    <cellStyle name="Comma 4 2 3 2 6 5" xfId="14705" xr:uid="{360A6176-908B-44CB-A783-52AC66425180}"/>
    <cellStyle name="Comma 4 2 3 2 7" xfId="2391" xr:uid="{00000000-0005-0000-0000-000085080000}"/>
    <cellStyle name="Comma 4 2 3 2 7 2" xfId="6675" xr:uid="{00000000-0005-0000-0000-000086080000}"/>
    <cellStyle name="Comma 4 2 3 2 7 2 2" xfId="19336" xr:uid="{2EC864CF-17B1-44DD-8867-B9C4E37FA018}"/>
    <cellStyle name="Comma 4 2 3 2 7 3" xfId="10907" xr:uid="{2979EAC5-9ECB-43D0-A340-9BDA95533A33}"/>
    <cellStyle name="Comma 4 2 3 2 7 4" xfId="15118" xr:uid="{8179F063-5471-4D87-BB42-B904E609753E}"/>
    <cellStyle name="Comma 4 2 3 2 8" xfId="2372" xr:uid="{00000000-0005-0000-0000-000087080000}"/>
    <cellStyle name="Comma 4 2 3 2 9" xfId="2769" xr:uid="{00000000-0005-0000-0000-000088080000}"/>
    <cellStyle name="Comma 4 2 3 2 9 2" xfId="6992" xr:uid="{00000000-0005-0000-0000-000089080000}"/>
    <cellStyle name="Comma 4 2 3 2 9 2 2" xfId="19653" xr:uid="{718C854B-48E5-4FA4-A3CD-A09683713097}"/>
    <cellStyle name="Comma 4 2 3 2 9 3" xfId="11224" xr:uid="{45931D03-C0B0-499C-83D6-C77C88BBDF7B}"/>
    <cellStyle name="Comma 4 2 3 2 9 4" xfId="15435" xr:uid="{67B669EC-6951-45E5-AE42-F23B6E5923D8}"/>
    <cellStyle name="Comma 4 2 3 3" xfId="139" xr:uid="{00000000-0005-0000-0000-00008A080000}"/>
    <cellStyle name="Comma 4 2 3 3 10" xfId="8843" xr:uid="{FAC7121B-652B-4DAA-9806-16CFE634FC40}"/>
    <cellStyle name="Comma 4 2 3 3 11" xfId="13054" xr:uid="{29275109-9271-42D9-A0A0-4A73A25F22A8}"/>
    <cellStyle name="Comma 4 2 3 3 2" xfId="677" xr:uid="{00000000-0005-0000-0000-00008B080000}"/>
    <cellStyle name="Comma 4 2 3 3 2 2" xfId="2948" xr:uid="{00000000-0005-0000-0000-00008C080000}"/>
    <cellStyle name="Comma 4 2 3 3 2 2 2" xfId="7170" xr:uid="{00000000-0005-0000-0000-00008D080000}"/>
    <cellStyle name="Comma 4 2 3 3 2 2 2 2" xfId="19831" xr:uid="{B9B60853-918D-4181-8B62-98E74616F009}"/>
    <cellStyle name="Comma 4 2 3 3 2 2 3" xfId="11402" xr:uid="{1BA0D99F-0D22-4056-8733-6083B247A96D}"/>
    <cellStyle name="Comma 4 2 3 3 2 2 4" xfId="15613" xr:uid="{23EF2D13-EAE9-45FE-B64C-8619A712DB0D}"/>
    <cellStyle name="Comma 4 2 3 3 2 3" xfId="5025" xr:uid="{00000000-0005-0000-0000-00008E080000}"/>
    <cellStyle name="Comma 4 2 3 3 2 3 2" xfId="17686" xr:uid="{5427E869-2DBE-492A-828A-7B2A64A24C3A}"/>
    <cellStyle name="Comma 4 2 3 3 2 4" xfId="9257" xr:uid="{7F2B1CDB-8631-46C5-9C0F-CAE9241EA58A}"/>
    <cellStyle name="Comma 4 2 3 3 2 5" xfId="13468" xr:uid="{B856B86D-9D1D-4E4E-B63B-14343D5ED28B}"/>
    <cellStyle name="Comma 4 2 3 3 3" xfId="1130" xr:uid="{00000000-0005-0000-0000-00008F080000}"/>
    <cellStyle name="Comma 4 2 3 3 3 2" xfId="3361" xr:uid="{00000000-0005-0000-0000-000090080000}"/>
    <cellStyle name="Comma 4 2 3 3 3 2 2" xfId="7583" xr:uid="{00000000-0005-0000-0000-000091080000}"/>
    <cellStyle name="Comma 4 2 3 3 3 2 2 2" xfId="20244" xr:uid="{89FD19EE-0F7D-4039-945D-0D60140F54A3}"/>
    <cellStyle name="Comma 4 2 3 3 3 2 3" xfId="11815" xr:uid="{22592055-875D-4FDF-A523-C56155B1DB0B}"/>
    <cellStyle name="Comma 4 2 3 3 3 2 4" xfId="16026" xr:uid="{5B4A333F-87AA-4FA7-B1C0-6707015BF2A7}"/>
    <cellStyle name="Comma 4 2 3 3 3 3" xfId="5438" xr:uid="{00000000-0005-0000-0000-000092080000}"/>
    <cellStyle name="Comma 4 2 3 3 3 3 2" xfId="18099" xr:uid="{77DF8BFB-64BC-4C8B-A87B-B7FF2D5459C4}"/>
    <cellStyle name="Comma 4 2 3 3 3 4" xfId="9670" xr:uid="{E4381FBC-8481-423A-9862-2AA7DA59E801}"/>
    <cellStyle name="Comma 4 2 3 3 3 5" xfId="13881" xr:uid="{98F188F3-AB2B-486F-8637-06AA806BAB06}"/>
    <cellStyle name="Comma 4 2 3 3 4" xfId="1544" xr:uid="{00000000-0005-0000-0000-000093080000}"/>
    <cellStyle name="Comma 4 2 3 3 4 2" xfId="3774" xr:uid="{00000000-0005-0000-0000-000094080000}"/>
    <cellStyle name="Comma 4 2 3 3 4 2 2" xfId="7996" xr:uid="{00000000-0005-0000-0000-000095080000}"/>
    <cellStyle name="Comma 4 2 3 3 4 2 2 2" xfId="20657" xr:uid="{4104A41A-146F-4180-8DC9-CFAF17D52E20}"/>
    <cellStyle name="Comma 4 2 3 3 4 2 3" xfId="12228" xr:uid="{6DF744E1-842F-4220-9FB8-8450FAC1F31C}"/>
    <cellStyle name="Comma 4 2 3 3 4 2 4" xfId="16439" xr:uid="{B16814EF-3531-494D-B789-5D6E9AF088FB}"/>
    <cellStyle name="Comma 4 2 3 3 4 3" xfId="5851" xr:uid="{00000000-0005-0000-0000-000096080000}"/>
    <cellStyle name="Comma 4 2 3 3 4 3 2" xfId="18512" xr:uid="{597BBBC1-77C1-4DE2-BC11-8C290104D1F6}"/>
    <cellStyle name="Comma 4 2 3 3 4 4" xfId="10083" xr:uid="{1F3C5AF3-9777-4A8B-BFFE-99AB05DDE6DB}"/>
    <cellStyle name="Comma 4 2 3 3 4 5" xfId="14294" xr:uid="{8526E245-1833-4790-B107-B799CDF783E5}"/>
    <cellStyle name="Comma 4 2 3 3 5" xfId="1958" xr:uid="{00000000-0005-0000-0000-000097080000}"/>
    <cellStyle name="Comma 4 2 3 3 5 2" xfId="4187" xr:uid="{00000000-0005-0000-0000-000098080000}"/>
    <cellStyle name="Comma 4 2 3 3 5 2 2" xfId="8409" xr:uid="{00000000-0005-0000-0000-000099080000}"/>
    <cellStyle name="Comma 4 2 3 3 5 2 2 2" xfId="21070" xr:uid="{046EB2DC-4DC3-4D6F-A3B2-E6C373F4EA98}"/>
    <cellStyle name="Comma 4 2 3 3 5 2 3" xfId="12641" xr:uid="{9CA89C9C-CD77-40C8-B87A-0513DD2DE7E8}"/>
    <cellStyle name="Comma 4 2 3 3 5 2 4" xfId="16852" xr:uid="{220803EC-75CF-4ACA-AE3F-D824E10FB2D1}"/>
    <cellStyle name="Comma 4 2 3 3 5 3" xfId="6264" xr:uid="{00000000-0005-0000-0000-00009A080000}"/>
    <cellStyle name="Comma 4 2 3 3 5 3 2" xfId="18925" xr:uid="{A712CC3C-5DB5-4A12-8767-63BF19886A89}"/>
    <cellStyle name="Comma 4 2 3 3 5 4" xfId="10496" xr:uid="{9DA54DAF-548E-4897-88EE-CB9FF4B9FD98}"/>
    <cellStyle name="Comma 4 2 3 3 5 5" xfId="14707" xr:uid="{E0031DF6-D798-42DC-A483-57BD4023A32C}"/>
    <cellStyle name="Comma 4 2 3 3 6" xfId="2393" xr:uid="{00000000-0005-0000-0000-00009B080000}"/>
    <cellStyle name="Comma 4 2 3 3 6 2" xfId="6677" xr:uid="{00000000-0005-0000-0000-00009C080000}"/>
    <cellStyle name="Comma 4 2 3 3 6 2 2" xfId="19338" xr:uid="{2F7B1171-CB54-4403-A7D6-698A9B3845CE}"/>
    <cellStyle name="Comma 4 2 3 3 6 3" xfId="10909" xr:uid="{AC046F41-7C9C-4F8C-8800-473043E13E31}"/>
    <cellStyle name="Comma 4 2 3 3 6 4" xfId="15120" xr:uid="{183E3BD7-3F64-44FC-8C8F-21BD22D87E46}"/>
    <cellStyle name="Comma 4 2 3 3 7" xfId="2370" xr:uid="{00000000-0005-0000-0000-00009D080000}"/>
    <cellStyle name="Comma 4 2 3 3 8" xfId="2771" xr:uid="{00000000-0005-0000-0000-00009E080000}"/>
    <cellStyle name="Comma 4 2 3 3 8 2" xfId="6994" xr:uid="{00000000-0005-0000-0000-00009F080000}"/>
    <cellStyle name="Comma 4 2 3 3 8 2 2" xfId="19655" xr:uid="{0B92BA7C-A734-4C99-8874-EDFB41DA6A9A}"/>
    <cellStyle name="Comma 4 2 3 3 8 3" xfId="11226" xr:uid="{4C5989DE-D36E-4631-90F3-F31B82C6C3E8}"/>
    <cellStyle name="Comma 4 2 3 3 8 4" xfId="15437" xr:uid="{86F5CF70-A465-4793-A7C2-2DF15315FD7A}"/>
    <cellStyle name="Comma 4 2 3 3 9" xfId="4611" xr:uid="{00000000-0005-0000-0000-0000A0080000}"/>
    <cellStyle name="Comma 4 2 3 3 9 2" xfId="17272" xr:uid="{446EA37D-0AFB-493E-8D2F-4B61FD30E492}"/>
    <cellStyle name="Comma 4 2 3 4" xfId="674" xr:uid="{00000000-0005-0000-0000-0000A1080000}"/>
    <cellStyle name="Comma 4 2 3 4 2" xfId="2945" xr:uid="{00000000-0005-0000-0000-0000A2080000}"/>
    <cellStyle name="Comma 4 2 3 4 2 2" xfId="7167" xr:uid="{00000000-0005-0000-0000-0000A3080000}"/>
    <cellStyle name="Comma 4 2 3 4 2 2 2" xfId="19828" xr:uid="{50271066-65F3-4F8C-B856-83D23CAFB121}"/>
    <cellStyle name="Comma 4 2 3 4 2 3" xfId="11399" xr:uid="{F1973154-063D-42F4-BC74-FE3A95444BC3}"/>
    <cellStyle name="Comma 4 2 3 4 2 4" xfId="15610" xr:uid="{ED00E2E4-BAC9-4F81-8B3F-550D2F932067}"/>
    <cellStyle name="Comma 4 2 3 4 3" xfId="5022" xr:uid="{00000000-0005-0000-0000-0000A4080000}"/>
    <cellStyle name="Comma 4 2 3 4 3 2" xfId="17683" xr:uid="{49AFCA7C-CF82-4AD1-A54D-862CC4E3FB18}"/>
    <cellStyle name="Comma 4 2 3 4 4" xfId="9254" xr:uid="{6EC15F7E-17C1-43CA-BFE3-11B3EE00829E}"/>
    <cellStyle name="Comma 4 2 3 4 5" xfId="13465" xr:uid="{664A2D9A-8A4A-4C7F-A4A8-5C37F5B23B3D}"/>
    <cellStyle name="Comma 4 2 3 5" xfId="1127" xr:uid="{00000000-0005-0000-0000-0000A5080000}"/>
    <cellStyle name="Comma 4 2 3 5 2" xfId="3358" xr:uid="{00000000-0005-0000-0000-0000A6080000}"/>
    <cellStyle name="Comma 4 2 3 5 2 2" xfId="7580" xr:uid="{00000000-0005-0000-0000-0000A7080000}"/>
    <cellStyle name="Comma 4 2 3 5 2 2 2" xfId="20241" xr:uid="{172E3081-BA63-496C-93A6-A7852A8519D9}"/>
    <cellStyle name="Comma 4 2 3 5 2 3" xfId="11812" xr:uid="{5922D3C6-66DD-4E01-A7DD-018A0D83AF2C}"/>
    <cellStyle name="Comma 4 2 3 5 2 4" xfId="16023" xr:uid="{8BCF6C9D-BC92-406B-B1CA-D7BF5E69FA76}"/>
    <cellStyle name="Comma 4 2 3 5 3" xfId="5435" xr:uid="{00000000-0005-0000-0000-0000A8080000}"/>
    <cellStyle name="Comma 4 2 3 5 3 2" xfId="18096" xr:uid="{56DDFDCA-A28C-4DAC-828A-4919453A7E45}"/>
    <cellStyle name="Comma 4 2 3 5 4" xfId="9667" xr:uid="{99755674-7F45-4F71-B168-623B36F8C700}"/>
    <cellStyle name="Comma 4 2 3 5 5" xfId="13878" xr:uid="{1CF41132-1153-46FE-89EF-DA8A3C9697F4}"/>
    <cellStyle name="Comma 4 2 3 6" xfId="1541" xr:uid="{00000000-0005-0000-0000-0000A9080000}"/>
    <cellStyle name="Comma 4 2 3 6 2" xfId="3771" xr:uid="{00000000-0005-0000-0000-0000AA080000}"/>
    <cellStyle name="Comma 4 2 3 6 2 2" xfId="7993" xr:uid="{00000000-0005-0000-0000-0000AB080000}"/>
    <cellStyle name="Comma 4 2 3 6 2 2 2" xfId="20654" xr:uid="{4BA847B1-C377-4980-B504-857CF6DA2190}"/>
    <cellStyle name="Comma 4 2 3 6 2 3" xfId="12225" xr:uid="{4B57F2EE-8A01-4D27-B7E9-5ED73DDE9F74}"/>
    <cellStyle name="Comma 4 2 3 6 2 4" xfId="16436" xr:uid="{48945A93-A6E4-4D0F-A0F4-1DB1E3E9AC0C}"/>
    <cellStyle name="Comma 4 2 3 6 3" xfId="5848" xr:uid="{00000000-0005-0000-0000-0000AC080000}"/>
    <cellStyle name="Comma 4 2 3 6 3 2" xfId="18509" xr:uid="{AD901B88-0BDE-4E5A-BC69-23417A9FD5AB}"/>
    <cellStyle name="Comma 4 2 3 6 4" xfId="10080" xr:uid="{46CBCA00-210C-49D2-9D74-C1145F200080}"/>
    <cellStyle name="Comma 4 2 3 6 5" xfId="14291" xr:uid="{60BFF755-29D6-4221-9CB0-1FF05EEF7242}"/>
    <cellStyle name="Comma 4 2 3 7" xfId="1955" xr:uid="{00000000-0005-0000-0000-0000AD080000}"/>
    <cellStyle name="Comma 4 2 3 7 2" xfId="4184" xr:uid="{00000000-0005-0000-0000-0000AE080000}"/>
    <cellStyle name="Comma 4 2 3 7 2 2" xfId="8406" xr:uid="{00000000-0005-0000-0000-0000AF080000}"/>
    <cellStyle name="Comma 4 2 3 7 2 2 2" xfId="21067" xr:uid="{42401FAB-3061-4DD3-8267-849B698A09AA}"/>
    <cellStyle name="Comma 4 2 3 7 2 3" xfId="12638" xr:uid="{11DFEA00-9558-4303-94AD-97AF063F2D92}"/>
    <cellStyle name="Comma 4 2 3 7 2 4" xfId="16849" xr:uid="{7D14DEE5-AC21-4386-BEFA-1324450E25D6}"/>
    <cellStyle name="Comma 4 2 3 7 3" xfId="6261" xr:uid="{00000000-0005-0000-0000-0000B0080000}"/>
    <cellStyle name="Comma 4 2 3 7 3 2" xfId="18922" xr:uid="{CA5773E0-F447-4944-969D-043814684C45}"/>
    <cellStyle name="Comma 4 2 3 7 4" xfId="10493" xr:uid="{FBA3A7C3-0286-4890-9DC9-0D91637AA9BC}"/>
    <cellStyle name="Comma 4 2 3 7 5" xfId="14704" xr:uid="{B022BB24-C90B-4797-9DFE-D96218E54191}"/>
    <cellStyle name="Comma 4 2 3 8" xfId="2390" xr:uid="{00000000-0005-0000-0000-0000B1080000}"/>
    <cellStyle name="Comma 4 2 3 8 2" xfId="6674" xr:uid="{00000000-0005-0000-0000-0000B2080000}"/>
    <cellStyle name="Comma 4 2 3 8 2 2" xfId="19335" xr:uid="{6AE20A0A-377A-43BB-86E7-ABC6DFF6F9CF}"/>
    <cellStyle name="Comma 4 2 3 8 3" xfId="10906" xr:uid="{27A12DC2-2E2E-43E7-A2BC-F5A05BBD0040}"/>
    <cellStyle name="Comma 4 2 3 8 4" xfId="15117" xr:uid="{546B52FC-AA0C-4005-9DF3-754F2D77816D}"/>
    <cellStyle name="Comma 4 2 3 9" xfId="2373" xr:uid="{00000000-0005-0000-0000-0000B3080000}"/>
    <cellStyle name="Comma 4 2 4" xfId="140" xr:uid="{00000000-0005-0000-0000-0000B4080000}"/>
    <cellStyle name="Comma 4 2 4 10" xfId="4612" xr:uid="{00000000-0005-0000-0000-0000B5080000}"/>
    <cellStyle name="Comma 4 2 4 10 2" xfId="17273" xr:uid="{5D07A188-7CF6-4B9F-AF70-BC8161C2CA01}"/>
    <cellStyle name="Comma 4 2 4 11" xfId="8844" xr:uid="{6A300684-D677-4BCC-A396-5055C205DEDD}"/>
    <cellStyle name="Comma 4 2 4 12" xfId="13055" xr:uid="{7F1F9C56-11CE-4E95-93C4-749C50DA2F86}"/>
    <cellStyle name="Comma 4 2 4 2" xfId="141" xr:uid="{00000000-0005-0000-0000-0000B6080000}"/>
    <cellStyle name="Comma 4 2 4 2 10" xfId="8845" xr:uid="{B5435CDA-AAC4-4F9E-AA04-7DBAA4D49C06}"/>
    <cellStyle name="Comma 4 2 4 2 11" xfId="13056" xr:uid="{F7601EF7-5F5B-4BFE-A65D-3C86BB535353}"/>
    <cellStyle name="Comma 4 2 4 2 2" xfId="679" xr:uid="{00000000-0005-0000-0000-0000B7080000}"/>
    <cellStyle name="Comma 4 2 4 2 2 2" xfId="2950" xr:uid="{00000000-0005-0000-0000-0000B8080000}"/>
    <cellStyle name="Comma 4 2 4 2 2 2 2" xfId="7172" xr:uid="{00000000-0005-0000-0000-0000B9080000}"/>
    <cellStyle name="Comma 4 2 4 2 2 2 2 2" xfId="19833" xr:uid="{3316643B-ED83-431B-8D81-658757C4F1E2}"/>
    <cellStyle name="Comma 4 2 4 2 2 2 3" xfId="11404" xr:uid="{8D15CF35-9201-4921-8A7C-F5DB2746E41B}"/>
    <cellStyle name="Comma 4 2 4 2 2 2 4" xfId="15615" xr:uid="{9F21BE9B-07B9-47CC-BDCA-648A50DD9006}"/>
    <cellStyle name="Comma 4 2 4 2 2 3" xfId="5027" xr:uid="{00000000-0005-0000-0000-0000BA080000}"/>
    <cellStyle name="Comma 4 2 4 2 2 3 2" xfId="17688" xr:uid="{4BFEDFE4-434B-49FC-A1CB-387DCFB6FF40}"/>
    <cellStyle name="Comma 4 2 4 2 2 4" xfId="9259" xr:uid="{8F3B2F72-9CCD-42E6-BF2B-37F896FA3929}"/>
    <cellStyle name="Comma 4 2 4 2 2 5" xfId="13470" xr:uid="{54B8D209-B024-4B32-A775-6F074C34AA95}"/>
    <cellStyle name="Comma 4 2 4 2 3" xfId="1132" xr:uid="{00000000-0005-0000-0000-0000BB080000}"/>
    <cellStyle name="Comma 4 2 4 2 3 2" xfId="3363" xr:uid="{00000000-0005-0000-0000-0000BC080000}"/>
    <cellStyle name="Comma 4 2 4 2 3 2 2" xfId="7585" xr:uid="{00000000-0005-0000-0000-0000BD080000}"/>
    <cellStyle name="Comma 4 2 4 2 3 2 2 2" xfId="20246" xr:uid="{0868E9F2-7EE8-4292-A117-B05E1DE9C7FA}"/>
    <cellStyle name="Comma 4 2 4 2 3 2 3" xfId="11817" xr:uid="{25A16E92-28D5-47B8-A63B-8B570D22BE2D}"/>
    <cellStyle name="Comma 4 2 4 2 3 2 4" xfId="16028" xr:uid="{26C008CB-0F95-4DF9-9A8F-FB641F1FD256}"/>
    <cellStyle name="Comma 4 2 4 2 3 3" xfId="5440" xr:uid="{00000000-0005-0000-0000-0000BE080000}"/>
    <cellStyle name="Comma 4 2 4 2 3 3 2" xfId="18101" xr:uid="{4C84924E-9E52-47F8-B514-4D339E277290}"/>
    <cellStyle name="Comma 4 2 4 2 3 4" xfId="9672" xr:uid="{C6D46B15-FA48-489B-973D-A3F980A3EBC2}"/>
    <cellStyle name="Comma 4 2 4 2 3 5" xfId="13883" xr:uid="{DB8DD0DD-AD94-402F-83D5-9F3D8275F61D}"/>
    <cellStyle name="Comma 4 2 4 2 4" xfId="1546" xr:uid="{00000000-0005-0000-0000-0000BF080000}"/>
    <cellStyle name="Comma 4 2 4 2 4 2" xfId="3776" xr:uid="{00000000-0005-0000-0000-0000C0080000}"/>
    <cellStyle name="Comma 4 2 4 2 4 2 2" xfId="7998" xr:uid="{00000000-0005-0000-0000-0000C1080000}"/>
    <cellStyle name="Comma 4 2 4 2 4 2 2 2" xfId="20659" xr:uid="{4443029C-B5DD-4421-8ACE-62083553C19A}"/>
    <cellStyle name="Comma 4 2 4 2 4 2 3" xfId="12230" xr:uid="{2D8F2DB1-531E-496B-B078-D9264FB40D2B}"/>
    <cellStyle name="Comma 4 2 4 2 4 2 4" xfId="16441" xr:uid="{1254C420-22A5-4D5D-948F-09618D88700A}"/>
    <cellStyle name="Comma 4 2 4 2 4 3" xfId="5853" xr:uid="{00000000-0005-0000-0000-0000C2080000}"/>
    <cellStyle name="Comma 4 2 4 2 4 3 2" xfId="18514" xr:uid="{178C6AC7-5FF9-4E6B-BD09-7457FC7316FE}"/>
    <cellStyle name="Comma 4 2 4 2 4 4" xfId="10085" xr:uid="{5EF00A11-5101-4309-B385-6FDDC83FF870}"/>
    <cellStyle name="Comma 4 2 4 2 4 5" xfId="14296" xr:uid="{F409A83C-A1F1-4208-8D68-13393C06B4B9}"/>
    <cellStyle name="Comma 4 2 4 2 5" xfId="1960" xr:uid="{00000000-0005-0000-0000-0000C3080000}"/>
    <cellStyle name="Comma 4 2 4 2 5 2" xfId="4189" xr:uid="{00000000-0005-0000-0000-0000C4080000}"/>
    <cellStyle name="Comma 4 2 4 2 5 2 2" xfId="8411" xr:uid="{00000000-0005-0000-0000-0000C5080000}"/>
    <cellStyle name="Comma 4 2 4 2 5 2 2 2" xfId="21072" xr:uid="{775E97B7-BD9B-4DB1-8D2D-8D0213224FB9}"/>
    <cellStyle name="Comma 4 2 4 2 5 2 3" xfId="12643" xr:uid="{96CE3F3E-8EBD-4D20-BAEC-E9B07DD4107C}"/>
    <cellStyle name="Comma 4 2 4 2 5 2 4" xfId="16854" xr:uid="{7CE1A7EE-3771-4B14-878C-713046A5D62E}"/>
    <cellStyle name="Comma 4 2 4 2 5 3" xfId="6266" xr:uid="{00000000-0005-0000-0000-0000C6080000}"/>
    <cellStyle name="Comma 4 2 4 2 5 3 2" xfId="18927" xr:uid="{413CA2FA-E9D1-4F50-BDA4-34F6C50E7DF0}"/>
    <cellStyle name="Comma 4 2 4 2 5 4" xfId="10498" xr:uid="{4820EB94-45EB-47E1-97BD-74CB03B9F775}"/>
    <cellStyle name="Comma 4 2 4 2 5 5" xfId="14709" xr:uid="{E3318E31-6F85-478C-AD2E-CC8B69CF1EF0}"/>
    <cellStyle name="Comma 4 2 4 2 6" xfId="2395" xr:uid="{00000000-0005-0000-0000-0000C7080000}"/>
    <cellStyle name="Comma 4 2 4 2 6 2" xfId="6679" xr:uid="{00000000-0005-0000-0000-0000C8080000}"/>
    <cellStyle name="Comma 4 2 4 2 6 2 2" xfId="19340" xr:uid="{3607F900-55BC-453E-8586-E97EB9DB1248}"/>
    <cellStyle name="Comma 4 2 4 2 6 3" xfId="10911" xr:uid="{B0973CE3-20E6-4268-B6FE-86AE30D02496}"/>
    <cellStyle name="Comma 4 2 4 2 6 4" xfId="15122" xr:uid="{DE1E3D44-AC11-4858-9C69-1D6F903955CC}"/>
    <cellStyle name="Comma 4 2 4 2 7" xfId="2368" xr:uid="{00000000-0005-0000-0000-0000C9080000}"/>
    <cellStyle name="Comma 4 2 4 2 8" xfId="2773" xr:uid="{00000000-0005-0000-0000-0000CA080000}"/>
    <cellStyle name="Comma 4 2 4 2 8 2" xfId="6996" xr:uid="{00000000-0005-0000-0000-0000CB080000}"/>
    <cellStyle name="Comma 4 2 4 2 8 2 2" xfId="19657" xr:uid="{F51D37C6-29D6-4CB4-8B6E-245941ADE088}"/>
    <cellStyle name="Comma 4 2 4 2 8 3" xfId="11228" xr:uid="{5414704B-5A18-4374-8485-725B33123D5A}"/>
    <cellStyle name="Comma 4 2 4 2 8 4" xfId="15439" xr:uid="{ACAE3693-BB9F-43B2-8308-F54719516728}"/>
    <cellStyle name="Comma 4 2 4 2 9" xfId="4613" xr:uid="{00000000-0005-0000-0000-0000CC080000}"/>
    <cellStyle name="Comma 4 2 4 2 9 2" xfId="17274" xr:uid="{20D1A700-1DDC-49CA-8681-8B54CC0F9B9E}"/>
    <cellStyle name="Comma 4 2 4 3" xfId="678" xr:uid="{00000000-0005-0000-0000-0000CD080000}"/>
    <cellStyle name="Comma 4 2 4 3 2" xfId="2949" xr:uid="{00000000-0005-0000-0000-0000CE080000}"/>
    <cellStyle name="Comma 4 2 4 3 2 2" xfId="7171" xr:uid="{00000000-0005-0000-0000-0000CF080000}"/>
    <cellStyle name="Comma 4 2 4 3 2 2 2" xfId="19832" xr:uid="{D9C2C638-032B-4B7E-AF63-B32D9B11F265}"/>
    <cellStyle name="Comma 4 2 4 3 2 3" xfId="11403" xr:uid="{06DA958C-37B2-4903-8A77-9CA74BA335A9}"/>
    <cellStyle name="Comma 4 2 4 3 2 4" xfId="15614" xr:uid="{19FE2632-5A1E-4717-AF2A-6AEC26B1478F}"/>
    <cellStyle name="Comma 4 2 4 3 3" xfId="5026" xr:uid="{00000000-0005-0000-0000-0000D0080000}"/>
    <cellStyle name="Comma 4 2 4 3 3 2" xfId="17687" xr:uid="{EDA5D582-6DB2-44B5-AF3C-DF22E5CC61BF}"/>
    <cellStyle name="Comma 4 2 4 3 4" xfId="9258" xr:uid="{194F3901-132C-49D0-A3FD-36C83C8EF7D5}"/>
    <cellStyle name="Comma 4 2 4 3 5" xfId="13469" xr:uid="{675927C1-DDB7-4B53-B9A4-C8B852D4D1E3}"/>
    <cellStyle name="Comma 4 2 4 4" xfId="1131" xr:uid="{00000000-0005-0000-0000-0000D1080000}"/>
    <cellStyle name="Comma 4 2 4 4 2" xfId="3362" xr:uid="{00000000-0005-0000-0000-0000D2080000}"/>
    <cellStyle name="Comma 4 2 4 4 2 2" xfId="7584" xr:uid="{00000000-0005-0000-0000-0000D3080000}"/>
    <cellStyle name="Comma 4 2 4 4 2 2 2" xfId="20245" xr:uid="{C8D5DCB3-47B6-4834-846F-481F7E5908AB}"/>
    <cellStyle name="Comma 4 2 4 4 2 3" xfId="11816" xr:uid="{964A9DFF-F37A-4AC0-BE5E-610275FBFE23}"/>
    <cellStyle name="Comma 4 2 4 4 2 4" xfId="16027" xr:uid="{9597B09C-32F7-4F25-B55F-BADADF657242}"/>
    <cellStyle name="Comma 4 2 4 4 3" xfId="5439" xr:uid="{00000000-0005-0000-0000-0000D4080000}"/>
    <cellStyle name="Comma 4 2 4 4 3 2" xfId="18100" xr:uid="{AC303820-3B9F-40EA-A258-D63E09447228}"/>
    <cellStyle name="Comma 4 2 4 4 4" xfId="9671" xr:uid="{BACCCB9D-D451-4757-8956-F7AC5C0BB236}"/>
    <cellStyle name="Comma 4 2 4 4 5" xfId="13882" xr:uid="{F48D04E1-8BAA-444A-9EB1-EED5ED585878}"/>
    <cellStyle name="Comma 4 2 4 5" xfId="1545" xr:uid="{00000000-0005-0000-0000-0000D5080000}"/>
    <cellStyle name="Comma 4 2 4 5 2" xfId="3775" xr:uid="{00000000-0005-0000-0000-0000D6080000}"/>
    <cellStyle name="Comma 4 2 4 5 2 2" xfId="7997" xr:uid="{00000000-0005-0000-0000-0000D7080000}"/>
    <cellStyle name="Comma 4 2 4 5 2 2 2" xfId="20658" xr:uid="{837C7891-354B-47F0-853B-BE7E61EAB980}"/>
    <cellStyle name="Comma 4 2 4 5 2 3" xfId="12229" xr:uid="{DBB87C1E-3E43-4F25-A9B2-A7C412F6790F}"/>
    <cellStyle name="Comma 4 2 4 5 2 4" xfId="16440" xr:uid="{FD87A2AD-48E7-4A86-9006-CC025C06C69B}"/>
    <cellStyle name="Comma 4 2 4 5 3" xfId="5852" xr:uid="{00000000-0005-0000-0000-0000D8080000}"/>
    <cellStyle name="Comma 4 2 4 5 3 2" xfId="18513" xr:uid="{31C19BDF-80B9-4CB6-9237-19D42691AE24}"/>
    <cellStyle name="Comma 4 2 4 5 4" xfId="10084" xr:uid="{098AEF6B-3FAB-4E5A-A09C-F23D05972A26}"/>
    <cellStyle name="Comma 4 2 4 5 5" xfId="14295" xr:uid="{77FBE216-A253-47F8-96DF-184EE5DAFA63}"/>
    <cellStyle name="Comma 4 2 4 6" xfId="1959" xr:uid="{00000000-0005-0000-0000-0000D9080000}"/>
    <cellStyle name="Comma 4 2 4 6 2" xfId="4188" xr:uid="{00000000-0005-0000-0000-0000DA080000}"/>
    <cellStyle name="Comma 4 2 4 6 2 2" xfId="8410" xr:uid="{00000000-0005-0000-0000-0000DB080000}"/>
    <cellStyle name="Comma 4 2 4 6 2 2 2" xfId="21071" xr:uid="{789CA6D8-6DF4-45B1-BA46-59868D9308C9}"/>
    <cellStyle name="Comma 4 2 4 6 2 3" xfId="12642" xr:uid="{05F2B67B-CEA5-4A9E-A45F-B81523583D75}"/>
    <cellStyle name="Comma 4 2 4 6 2 4" xfId="16853" xr:uid="{E161EC2A-E707-46C7-A662-CB4880883F40}"/>
    <cellStyle name="Comma 4 2 4 6 3" xfId="6265" xr:uid="{00000000-0005-0000-0000-0000DC080000}"/>
    <cellStyle name="Comma 4 2 4 6 3 2" xfId="18926" xr:uid="{AD9BAB66-95BD-4EA0-941F-8D71E3CE7360}"/>
    <cellStyle name="Comma 4 2 4 6 4" xfId="10497" xr:uid="{DD4F9DE9-F357-4423-AD50-8750D933D11B}"/>
    <cellStyle name="Comma 4 2 4 6 5" xfId="14708" xr:uid="{DF95F7B7-822B-4070-A444-5EEE5CAD29EA}"/>
    <cellStyle name="Comma 4 2 4 7" xfId="2394" xr:uid="{00000000-0005-0000-0000-0000DD080000}"/>
    <cellStyle name="Comma 4 2 4 7 2" xfId="6678" xr:uid="{00000000-0005-0000-0000-0000DE080000}"/>
    <cellStyle name="Comma 4 2 4 7 2 2" xfId="19339" xr:uid="{3D927A0C-6910-473D-B3B2-5E7988949D89}"/>
    <cellStyle name="Comma 4 2 4 7 3" xfId="10910" xr:uid="{B2FBB09F-A26C-4124-B9EA-5F3794DFCB2F}"/>
    <cellStyle name="Comma 4 2 4 7 4" xfId="15121" xr:uid="{20FA3CB2-0638-4B29-8AAF-923C265028EF}"/>
    <cellStyle name="Comma 4 2 4 8" xfId="2369" xr:uid="{00000000-0005-0000-0000-0000DF080000}"/>
    <cellStyle name="Comma 4 2 4 9" xfId="2772" xr:uid="{00000000-0005-0000-0000-0000E0080000}"/>
    <cellStyle name="Comma 4 2 4 9 2" xfId="6995" xr:uid="{00000000-0005-0000-0000-0000E1080000}"/>
    <cellStyle name="Comma 4 2 4 9 2 2" xfId="19656" xr:uid="{7C0ACCA6-CE5F-43C9-9D5E-CE5765415321}"/>
    <cellStyle name="Comma 4 2 4 9 3" xfId="11227" xr:uid="{99214F56-CF38-4138-9AE5-06F1C70FBE15}"/>
    <cellStyle name="Comma 4 2 4 9 4" xfId="15438" xr:uid="{171A5B53-6A85-4CC3-9546-BD98B4973E46}"/>
    <cellStyle name="Comma 4 2 5" xfId="142" xr:uid="{00000000-0005-0000-0000-0000E2080000}"/>
    <cellStyle name="Comma 4 2 5 10" xfId="8846" xr:uid="{B8C094ED-7E04-4000-8B9A-3803FC85B41A}"/>
    <cellStyle name="Comma 4 2 5 11" xfId="13057" xr:uid="{8DF9F520-0019-434E-B924-8B5D09227303}"/>
    <cellStyle name="Comma 4 2 5 2" xfId="680" xr:uid="{00000000-0005-0000-0000-0000E3080000}"/>
    <cellStyle name="Comma 4 2 5 2 2" xfId="2951" xr:uid="{00000000-0005-0000-0000-0000E4080000}"/>
    <cellStyle name="Comma 4 2 5 2 2 2" xfId="7173" xr:uid="{00000000-0005-0000-0000-0000E5080000}"/>
    <cellStyle name="Comma 4 2 5 2 2 2 2" xfId="19834" xr:uid="{62D3B82C-9B32-49A1-80D1-AD2F9CDC8542}"/>
    <cellStyle name="Comma 4 2 5 2 2 3" xfId="11405" xr:uid="{888EDD19-DDB5-41E4-9340-A038A9E567C0}"/>
    <cellStyle name="Comma 4 2 5 2 2 4" xfId="15616" xr:uid="{B17EA9D2-AD15-47F7-9222-8E67DF2E4301}"/>
    <cellStyle name="Comma 4 2 5 2 3" xfId="5028" xr:uid="{00000000-0005-0000-0000-0000E6080000}"/>
    <cellStyle name="Comma 4 2 5 2 3 2" xfId="17689" xr:uid="{CEFA9CF6-7B46-409B-B495-A0198435DE36}"/>
    <cellStyle name="Comma 4 2 5 2 4" xfId="9260" xr:uid="{5C3BBBB0-21A1-4D68-9ED4-439EE91A5380}"/>
    <cellStyle name="Comma 4 2 5 2 5" xfId="13471" xr:uid="{15F5C335-7DCB-4537-99B4-76A91D6728C2}"/>
    <cellStyle name="Comma 4 2 5 3" xfId="1133" xr:uid="{00000000-0005-0000-0000-0000E7080000}"/>
    <cellStyle name="Comma 4 2 5 3 2" xfId="3364" xr:uid="{00000000-0005-0000-0000-0000E8080000}"/>
    <cellStyle name="Comma 4 2 5 3 2 2" xfId="7586" xr:uid="{00000000-0005-0000-0000-0000E9080000}"/>
    <cellStyle name="Comma 4 2 5 3 2 2 2" xfId="20247" xr:uid="{180CBD1E-D862-45A7-BC57-81EBBA48F1B2}"/>
    <cellStyle name="Comma 4 2 5 3 2 3" xfId="11818" xr:uid="{C17D8884-8EBD-436D-8155-8E76465D8877}"/>
    <cellStyle name="Comma 4 2 5 3 2 4" xfId="16029" xr:uid="{EC96C296-EC26-4FC4-BBD5-A97D1B8BB96E}"/>
    <cellStyle name="Comma 4 2 5 3 3" xfId="5441" xr:uid="{00000000-0005-0000-0000-0000EA080000}"/>
    <cellStyle name="Comma 4 2 5 3 3 2" xfId="18102" xr:uid="{03E363A9-5EB8-4F6A-AD4B-D0D90A5C2FB3}"/>
    <cellStyle name="Comma 4 2 5 3 4" xfId="9673" xr:uid="{CE67133A-5E47-48F4-851E-A8AD7249C4D8}"/>
    <cellStyle name="Comma 4 2 5 3 5" xfId="13884" xr:uid="{A0A57B99-6BCB-44A5-8F89-D3B2FD92A4B2}"/>
    <cellStyle name="Comma 4 2 5 4" xfId="1547" xr:uid="{00000000-0005-0000-0000-0000EB080000}"/>
    <cellStyle name="Comma 4 2 5 4 2" xfId="3777" xr:uid="{00000000-0005-0000-0000-0000EC080000}"/>
    <cellStyle name="Comma 4 2 5 4 2 2" xfId="7999" xr:uid="{00000000-0005-0000-0000-0000ED080000}"/>
    <cellStyle name="Comma 4 2 5 4 2 2 2" xfId="20660" xr:uid="{11761835-3DA5-4750-B1C7-B9B429FEA354}"/>
    <cellStyle name="Comma 4 2 5 4 2 3" xfId="12231" xr:uid="{2A953C81-99DE-4CDF-BAFB-A409C7DBCFDB}"/>
    <cellStyle name="Comma 4 2 5 4 2 4" xfId="16442" xr:uid="{790A6079-5403-4625-BAF9-5FA41406F60C}"/>
    <cellStyle name="Comma 4 2 5 4 3" xfId="5854" xr:uid="{00000000-0005-0000-0000-0000EE080000}"/>
    <cellStyle name="Comma 4 2 5 4 3 2" xfId="18515" xr:uid="{3C4C65F1-E1C6-4C28-8329-DF4CBEA6CF54}"/>
    <cellStyle name="Comma 4 2 5 4 4" xfId="10086" xr:uid="{00B201E2-4C63-40A0-A29D-05C25DF09CD7}"/>
    <cellStyle name="Comma 4 2 5 4 5" xfId="14297" xr:uid="{212F056E-A846-4595-8FBC-90EA947AAA6E}"/>
    <cellStyle name="Comma 4 2 5 5" xfId="1961" xr:uid="{00000000-0005-0000-0000-0000EF080000}"/>
    <cellStyle name="Comma 4 2 5 5 2" xfId="4190" xr:uid="{00000000-0005-0000-0000-0000F0080000}"/>
    <cellStyle name="Comma 4 2 5 5 2 2" xfId="8412" xr:uid="{00000000-0005-0000-0000-0000F1080000}"/>
    <cellStyle name="Comma 4 2 5 5 2 2 2" xfId="21073" xr:uid="{F73DE7D0-D0E5-497B-B37A-33539C887A40}"/>
    <cellStyle name="Comma 4 2 5 5 2 3" xfId="12644" xr:uid="{2BF92D60-6632-41F8-8905-04898A0518A7}"/>
    <cellStyle name="Comma 4 2 5 5 2 4" xfId="16855" xr:uid="{02028C06-75B8-42AB-9449-FF1E4CCA00C6}"/>
    <cellStyle name="Comma 4 2 5 5 3" xfId="6267" xr:uid="{00000000-0005-0000-0000-0000F2080000}"/>
    <cellStyle name="Comma 4 2 5 5 3 2" xfId="18928" xr:uid="{A47A9840-407C-4095-A13D-6FF0315F86F4}"/>
    <cellStyle name="Comma 4 2 5 5 4" xfId="10499" xr:uid="{597B1838-FC16-4640-8991-D8CFEEAA7832}"/>
    <cellStyle name="Comma 4 2 5 5 5" xfId="14710" xr:uid="{B74C621A-6866-4A55-B809-1F9ADD98CFFE}"/>
    <cellStyle name="Comma 4 2 5 6" xfId="2396" xr:uid="{00000000-0005-0000-0000-0000F3080000}"/>
    <cellStyle name="Comma 4 2 5 6 2" xfId="6680" xr:uid="{00000000-0005-0000-0000-0000F4080000}"/>
    <cellStyle name="Comma 4 2 5 6 2 2" xfId="19341" xr:uid="{46DD52A5-38BE-4A81-933E-C8C655398814}"/>
    <cellStyle name="Comma 4 2 5 6 3" xfId="10912" xr:uid="{4DF262E2-E802-48D3-B568-0AC8D32E02A9}"/>
    <cellStyle name="Comma 4 2 5 6 4" xfId="15123" xr:uid="{91B9902E-5EC8-41FC-8D26-C8CA3E7BFDFE}"/>
    <cellStyle name="Comma 4 2 5 7" xfId="2367" xr:uid="{00000000-0005-0000-0000-0000F5080000}"/>
    <cellStyle name="Comma 4 2 5 8" xfId="2774" xr:uid="{00000000-0005-0000-0000-0000F6080000}"/>
    <cellStyle name="Comma 4 2 5 8 2" xfId="6997" xr:uid="{00000000-0005-0000-0000-0000F7080000}"/>
    <cellStyle name="Comma 4 2 5 8 2 2" xfId="19658" xr:uid="{C6879CCB-7D61-44EC-9A8C-ABFD476C78D5}"/>
    <cellStyle name="Comma 4 2 5 8 3" xfId="11229" xr:uid="{6408A613-15A7-4FD5-9675-367241E9AE82}"/>
    <cellStyle name="Comma 4 2 5 8 4" xfId="15440" xr:uid="{6F452804-0E0A-4561-AA5B-75CF3F7C043D}"/>
    <cellStyle name="Comma 4 2 5 9" xfId="4614" xr:uid="{00000000-0005-0000-0000-0000F8080000}"/>
    <cellStyle name="Comma 4 2 5 9 2" xfId="17275" xr:uid="{E4DAB210-B041-4B94-89BB-AFD0A35CCAFB}"/>
    <cellStyle name="Comma 4 2 6" xfId="143" xr:uid="{00000000-0005-0000-0000-0000F9080000}"/>
    <cellStyle name="Comma 4 2 6 10" xfId="8847" xr:uid="{A0D97F5F-4A07-4417-8417-1D446698839A}"/>
    <cellStyle name="Comma 4 2 6 11" xfId="13058" xr:uid="{37ADA1DD-C55E-46B7-9DB5-195F1835ACE6}"/>
    <cellStyle name="Comma 4 2 6 2" xfId="681" xr:uid="{00000000-0005-0000-0000-0000FA080000}"/>
    <cellStyle name="Comma 4 2 6 2 2" xfId="2952" xr:uid="{00000000-0005-0000-0000-0000FB080000}"/>
    <cellStyle name="Comma 4 2 6 2 2 2" xfId="7174" xr:uid="{00000000-0005-0000-0000-0000FC080000}"/>
    <cellStyle name="Comma 4 2 6 2 2 2 2" xfId="19835" xr:uid="{DB5D4F4D-5F45-40E7-95DF-F0F17356955D}"/>
    <cellStyle name="Comma 4 2 6 2 2 3" xfId="11406" xr:uid="{209C1DFC-EAE6-471F-B9BE-945308E6A446}"/>
    <cellStyle name="Comma 4 2 6 2 2 4" xfId="15617" xr:uid="{77D5F05B-B5F8-421C-B4D5-CE4A47A810C0}"/>
    <cellStyle name="Comma 4 2 6 2 3" xfId="5029" xr:uid="{00000000-0005-0000-0000-0000FD080000}"/>
    <cellStyle name="Comma 4 2 6 2 3 2" xfId="17690" xr:uid="{AB8661EE-F487-43E5-B73D-C641000C55E7}"/>
    <cellStyle name="Comma 4 2 6 2 4" xfId="9261" xr:uid="{66DB3470-F0FD-40C8-9CF1-5F0CF2BDEA11}"/>
    <cellStyle name="Comma 4 2 6 2 5" xfId="13472" xr:uid="{D9A3FFBB-7232-4E25-9F01-D06DE6F26F3F}"/>
    <cellStyle name="Comma 4 2 6 3" xfId="1134" xr:uid="{00000000-0005-0000-0000-0000FE080000}"/>
    <cellStyle name="Comma 4 2 6 3 2" xfId="3365" xr:uid="{00000000-0005-0000-0000-0000FF080000}"/>
    <cellStyle name="Comma 4 2 6 3 2 2" xfId="7587" xr:uid="{00000000-0005-0000-0000-000000090000}"/>
    <cellStyle name="Comma 4 2 6 3 2 2 2" xfId="20248" xr:uid="{639B25EA-77D0-47D9-B84A-48C0B2EE817C}"/>
    <cellStyle name="Comma 4 2 6 3 2 3" xfId="11819" xr:uid="{D61A497B-D7E9-448C-8A2C-7FCF8C7E51E0}"/>
    <cellStyle name="Comma 4 2 6 3 2 4" xfId="16030" xr:uid="{AE6698C9-26BA-4DB5-B53F-DE5008C81341}"/>
    <cellStyle name="Comma 4 2 6 3 3" xfId="5442" xr:uid="{00000000-0005-0000-0000-000001090000}"/>
    <cellStyle name="Comma 4 2 6 3 3 2" xfId="18103" xr:uid="{66B9EBDD-2AA1-4F02-92BD-ABCE5257E170}"/>
    <cellStyle name="Comma 4 2 6 3 4" xfId="9674" xr:uid="{06A3C5DF-E8BF-445A-B6D7-3AB2603F8B32}"/>
    <cellStyle name="Comma 4 2 6 3 5" xfId="13885" xr:uid="{27C8FCC8-0060-46F6-8201-B5DED64F5C26}"/>
    <cellStyle name="Comma 4 2 6 4" xfId="1548" xr:uid="{00000000-0005-0000-0000-000002090000}"/>
    <cellStyle name="Comma 4 2 6 4 2" xfId="3778" xr:uid="{00000000-0005-0000-0000-000003090000}"/>
    <cellStyle name="Comma 4 2 6 4 2 2" xfId="8000" xr:uid="{00000000-0005-0000-0000-000004090000}"/>
    <cellStyle name="Comma 4 2 6 4 2 2 2" xfId="20661" xr:uid="{833986B1-2F10-4B84-99E0-72294AB763D7}"/>
    <cellStyle name="Comma 4 2 6 4 2 3" xfId="12232" xr:uid="{489D3975-C931-48A9-9F9E-D47971B32D96}"/>
    <cellStyle name="Comma 4 2 6 4 2 4" xfId="16443" xr:uid="{F0252632-6F0F-4CF7-AE1A-CAB7CE250FBB}"/>
    <cellStyle name="Comma 4 2 6 4 3" xfId="5855" xr:uid="{00000000-0005-0000-0000-000005090000}"/>
    <cellStyle name="Comma 4 2 6 4 3 2" xfId="18516" xr:uid="{441F8656-5B53-4FAD-9F1A-4204A1BE7E76}"/>
    <cellStyle name="Comma 4 2 6 4 4" xfId="10087" xr:uid="{137CE5DF-CA33-4091-8D42-5CF64DD46305}"/>
    <cellStyle name="Comma 4 2 6 4 5" xfId="14298" xr:uid="{A17160FD-EDD9-42C1-A968-E7165965AB3B}"/>
    <cellStyle name="Comma 4 2 6 5" xfId="1962" xr:uid="{00000000-0005-0000-0000-000006090000}"/>
    <cellStyle name="Comma 4 2 6 5 2" xfId="4191" xr:uid="{00000000-0005-0000-0000-000007090000}"/>
    <cellStyle name="Comma 4 2 6 5 2 2" xfId="8413" xr:uid="{00000000-0005-0000-0000-000008090000}"/>
    <cellStyle name="Comma 4 2 6 5 2 2 2" xfId="21074" xr:uid="{58EAB73D-997B-413D-AFC0-824F9F61C923}"/>
    <cellStyle name="Comma 4 2 6 5 2 3" xfId="12645" xr:uid="{FBE90CC0-046B-4C15-8CAD-E0CA7A61C22D}"/>
    <cellStyle name="Comma 4 2 6 5 2 4" xfId="16856" xr:uid="{F341F308-6DCD-49BE-98EC-6154E9A60776}"/>
    <cellStyle name="Comma 4 2 6 5 3" xfId="6268" xr:uid="{00000000-0005-0000-0000-000009090000}"/>
    <cellStyle name="Comma 4 2 6 5 3 2" xfId="18929" xr:uid="{289A0A98-DE6C-4760-83B4-17527B31C909}"/>
    <cellStyle name="Comma 4 2 6 5 4" xfId="10500" xr:uid="{D9BE78C9-E394-4DDC-9070-3012E0FE2B73}"/>
    <cellStyle name="Comma 4 2 6 5 5" xfId="14711" xr:uid="{3F187E72-C179-478C-89E6-7DCFA39C1F0B}"/>
    <cellStyle name="Comma 4 2 6 6" xfId="2397" xr:uid="{00000000-0005-0000-0000-00000A090000}"/>
    <cellStyle name="Comma 4 2 6 6 2" xfId="6681" xr:uid="{00000000-0005-0000-0000-00000B090000}"/>
    <cellStyle name="Comma 4 2 6 6 2 2" xfId="19342" xr:uid="{EC4823BB-A8EC-458B-B931-FA8EF58230AD}"/>
    <cellStyle name="Comma 4 2 6 6 3" xfId="10913" xr:uid="{DE1B40EA-C682-48F2-879E-CCC97E0474ED}"/>
    <cellStyle name="Comma 4 2 6 6 4" xfId="15124" xr:uid="{63561B62-D973-4920-B696-38B438E9B420}"/>
    <cellStyle name="Comma 4 2 6 7" xfId="2366" xr:uid="{00000000-0005-0000-0000-00000C090000}"/>
    <cellStyle name="Comma 4 2 6 8" xfId="2775" xr:uid="{00000000-0005-0000-0000-00000D090000}"/>
    <cellStyle name="Comma 4 2 6 8 2" xfId="6998" xr:uid="{00000000-0005-0000-0000-00000E090000}"/>
    <cellStyle name="Comma 4 2 6 8 2 2" xfId="19659" xr:uid="{B1E47214-4B1B-4173-AE28-2BA7E3156299}"/>
    <cellStyle name="Comma 4 2 6 8 3" xfId="11230" xr:uid="{4D4A9D17-6575-47C2-89FF-9DD454423B91}"/>
    <cellStyle name="Comma 4 2 6 8 4" xfId="15441" xr:uid="{5DAD9B1B-D0E7-4D23-9E4A-472C7D4FC593}"/>
    <cellStyle name="Comma 4 2 6 9" xfId="4615" xr:uid="{00000000-0005-0000-0000-00000F090000}"/>
    <cellStyle name="Comma 4 2 6 9 2" xfId="17276" xr:uid="{31615D0F-D988-4C8B-9291-4F5C90F189C1}"/>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9660" xr:uid="{201CB37B-88AE-4A65-80C7-BC3DE190213D}"/>
    <cellStyle name="Comma 4 3 2 10 3" xfId="11231" xr:uid="{DD40AAED-2BE2-4BC9-8D28-428976CA194D}"/>
    <cellStyle name="Comma 4 3 2 10 4" xfId="15442" xr:uid="{B4071620-73DE-4F27-98AD-9E923BE44C1E}"/>
    <cellStyle name="Comma 4 3 2 11" xfId="4616" xr:uid="{00000000-0005-0000-0000-000014090000}"/>
    <cellStyle name="Comma 4 3 2 11 2" xfId="17277" xr:uid="{FE9040EC-4AC2-48A8-AA58-E19E1B74342A}"/>
    <cellStyle name="Comma 4 3 2 12" xfId="8848" xr:uid="{918EB9D0-AC0F-42F4-B4D0-0E89BC37939E}"/>
    <cellStyle name="Comma 4 3 2 13" xfId="13059" xr:uid="{815A8B60-9617-4C44-A234-A451835D6975}"/>
    <cellStyle name="Comma 4 3 2 2" xfId="146" xr:uid="{00000000-0005-0000-0000-000015090000}"/>
    <cellStyle name="Comma 4 3 2 2 10" xfId="4617" xr:uid="{00000000-0005-0000-0000-000016090000}"/>
    <cellStyle name="Comma 4 3 2 2 10 2" xfId="17278" xr:uid="{DDE599BB-A0BE-43BF-BC43-292A3FE98B32}"/>
    <cellStyle name="Comma 4 3 2 2 11" xfId="8849" xr:uid="{B8DABAB9-CD81-4666-B74C-51C49508C35E}"/>
    <cellStyle name="Comma 4 3 2 2 12" xfId="13060" xr:uid="{D3C17693-6B13-4E91-B47D-D3390636ED2D}"/>
    <cellStyle name="Comma 4 3 2 2 2" xfId="147" xr:uid="{00000000-0005-0000-0000-000017090000}"/>
    <cellStyle name="Comma 4 3 2 2 2 10" xfId="8850" xr:uid="{FD1B474F-A57A-476B-AF78-09BF50F874EC}"/>
    <cellStyle name="Comma 4 3 2 2 2 11" xfId="13061" xr:uid="{0C749B9B-052B-4531-9C88-DA6CDA6203D5}"/>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9838" xr:uid="{1BFE8697-A4EC-4AE4-B2B8-0CD7C9B3FCEC}"/>
    <cellStyle name="Comma 4 3 2 2 2 2 2 3" xfId="11409" xr:uid="{B9954AC5-1195-4953-9526-2B1926D9FCF7}"/>
    <cellStyle name="Comma 4 3 2 2 2 2 2 4" xfId="15620" xr:uid="{337334F1-8A89-4A9D-A9CB-C40DED25B0DB}"/>
    <cellStyle name="Comma 4 3 2 2 2 2 3" xfId="5032" xr:uid="{00000000-0005-0000-0000-00001B090000}"/>
    <cellStyle name="Comma 4 3 2 2 2 2 3 2" xfId="17693" xr:uid="{9D995A91-C465-46DD-86D9-9D4450F74AD2}"/>
    <cellStyle name="Comma 4 3 2 2 2 2 4" xfId="9264" xr:uid="{FE8AF3C5-F1A4-412F-87D1-B98DA387D47E}"/>
    <cellStyle name="Comma 4 3 2 2 2 2 5" xfId="13475" xr:uid="{F8633465-8422-4B8A-B288-D4288739C612}"/>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20251" xr:uid="{E2493661-41CD-4697-AE38-E36F6078F64F}"/>
    <cellStyle name="Comma 4 3 2 2 2 3 2 3" xfId="11822" xr:uid="{B7AC75CD-5CEB-450C-818C-7780005616F9}"/>
    <cellStyle name="Comma 4 3 2 2 2 3 2 4" xfId="16033" xr:uid="{F8292685-EC63-484F-869B-6AAAB5815BC9}"/>
    <cellStyle name="Comma 4 3 2 2 2 3 3" xfId="5445" xr:uid="{00000000-0005-0000-0000-00001F090000}"/>
    <cellStyle name="Comma 4 3 2 2 2 3 3 2" xfId="18106" xr:uid="{B60F369C-05B3-4E50-87BF-C18EA299E90A}"/>
    <cellStyle name="Comma 4 3 2 2 2 3 4" xfId="9677" xr:uid="{3FA17E4B-6845-4FB0-995C-B204127405D7}"/>
    <cellStyle name="Comma 4 3 2 2 2 3 5" xfId="13888" xr:uid="{37FC4C50-449B-4036-B57B-35B3B7E1A1C0}"/>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20664" xr:uid="{972A983F-784A-492A-9AB2-46B08CD61A75}"/>
    <cellStyle name="Comma 4 3 2 2 2 4 2 3" xfId="12235" xr:uid="{70BB7277-867D-45C8-9E78-8AFBB80CECF4}"/>
    <cellStyle name="Comma 4 3 2 2 2 4 2 4" xfId="16446" xr:uid="{E8320107-75FB-4E55-A9C1-F60011CACEBE}"/>
    <cellStyle name="Comma 4 3 2 2 2 4 3" xfId="5858" xr:uid="{00000000-0005-0000-0000-000023090000}"/>
    <cellStyle name="Comma 4 3 2 2 2 4 3 2" xfId="18519" xr:uid="{40E10E47-4086-4177-96E0-0F693D233A15}"/>
    <cellStyle name="Comma 4 3 2 2 2 4 4" xfId="10090" xr:uid="{7C177666-5350-461F-9A51-4031A5286C4D}"/>
    <cellStyle name="Comma 4 3 2 2 2 4 5" xfId="14301" xr:uid="{46E6DD6B-DBD0-46B5-9EE3-01A5F91D0D84}"/>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21077" xr:uid="{BAE75A29-15EB-4FE7-A02B-4C142B391C70}"/>
    <cellStyle name="Comma 4 3 2 2 2 5 2 3" xfId="12648" xr:uid="{B862A638-B0D6-41D9-837A-165833B5838C}"/>
    <cellStyle name="Comma 4 3 2 2 2 5 2 4" xfId="16859" xr:uid="{6FAA9C16-7051-4BA2-A751-FF08770E7376}"/>
    <cellStyle name="Comma 4 3 2 2 2 5 3" xfId="6271" xr:uid="{00000000-0005-0000-0000-000027090000}"/>
    <cellStyle name="Comma 4 3 2 2 2 5 3 2" xfId="18932" xr:uid="{CB5697A5-45DC-4F0E-AE13-EA545089FC2F}"/>
    <cellStyle name="Comma 4 3 2 2 2 5 4" xfId="10503" xr:uid="{1BBD8F8E-7B05-4E4C-B6A2-4CC0E4E2B2A0}"/>
    <cellStyle name="Comma 4 3 2 2 2 5 5" xfId="14714" xr:uid="{B2623BCB-2FCE-4E90-B8D0-4589FAC0BA4E}"/>
    <cellStyle name="Comma 4 3 2 2 2 6" xfId="2400" xr:uid="{00000000-0005-0000-0000-000028090000}"/>
    <cellStyle name="Comma 4 3 2 2 2 6 2" xfId="6684" xr:uid="{00000000-0005-0000-0000-000029090000}"/>
    <cellStyle name="Comma 4 3 2 2 2 6 2 2" xfId="19345" xr:uid="{1EE6678C-C2E8-4A02-B380-D6DD12A9D107}"/>
    <cellStyle name="Comma 4 3 2 2 2 6 3" xfId="10916" xr:uid="{D600A50E-393A-4293-B521-29ED4F77F72E}"/>
    <cellStyle name="Comma 4 3 2 2 2 6 4" xfId="15127" xr:uid="{77D0C676-D5A4-41FA-8E0B-E5AD12D695DE}"/>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9662" xr:uid="{322E78EC-AF7B-4FCA-A6C4-1F0D203DA0B4}"/>
    <cellStyle name="Comma 4 3 2 2 2 8 3" xfId="11233" xr:uid="{4FC3E12A-FB67-4B7B-A63C-B7EB6C918F94}"/>
    <cellStyle name="Comma 4 3 2 2 2 8 4" xfId="15444" xr:uid="{AA7CA9C6-70D0-41BF-9310-542DA4F48414}"/>
    <cellStyle name="Comma 4 3 2 2 2 9" xfId="4618" xr:uid="{00000000-0005-0000-0000-00002D090000}"/>
    <cellStyle name="Comma 4 3 2 2 2 9 2" xfId="17279" xr:uid="{0E4AFF17-AFC8-4C6D-992C-A7EE2CE05F69}"/>
    <cellStyle name="Comma 4 3 2 2 3" xfId="683" xr:uid="{00000000-0005-0000-0000-00002E090000}"/>
    <cellStyle name="Comma 4 3 2 2 3 2" xfId="2954" xr:uid="{00000000-0005-0000-0000-00002F090000}"/>
    <cellStyle name="Comma 4 3 2 2 3 2 2" xfId="7176" xr:uid="{00000000-0005-0000-0000-000030090000}"/>
    <cellStyle name="Comma 4 3 2 2 3 2 2 2" xfId="19837" xr:uid="{BC038D04-B586-4ECB-8886-8F4EBAD904FF}"/>
    <cellStyle name="Comma 4 3 2 2 3 2 3" xfId="11408" xr:uid="{21F15439-F23C-4744-AC83-E21CC5B4A466}"/>
    <cellStyle name="Comma 4 3 2 2 3 2 4" xfId="15619" xr:uid="{2CE6747B-D9F5-4920-8544-0F3DDA3D033F}"/>
    <cellStyle name="Comma 4 3 2 2 3 3" xfId="5031" xr:uid="{00000000-0005-0000-0000-000031090000}"/>
    <cellStyle name="Comma 4 3 2 2 3 3 2" xfId="17692" xr:uid="{21C4F360-CEC4-402D-A7CF-55ECCA35D7DA}"/>
    <cellStyle name="Comma 4 3 2 2 3 4" xfId="9263" xr:uid="{ECC8ED2D-45B4-4276-8CF4-051A5B9D08BD}"/>
    <cellStyle name="Comma 4 3 2 2 3 5" xfId="13474" xr:uid="{FCF48D85-5CD4-48DF-990E-FACB3DA6F740}"/>
    <cellStyle name="Comma 4 3 2 2 4" xfId="1136" xr:uid="{00000000-0005-0000-0000-000032090000}"/>
    <cellStyle name="Comma 4 3 2 2 4 2" xfId="3367" xr:uid="{00000000-0005-0000-0000-000033090000}"/>
    <cellStyle name="Comma 4 3 2 2 4 2 2" xfId="7589" xr:uid="{00000000-0005-0000-0000-000034090000}"/>
    <cellStyle name="Comma 4 3 2 2 4 2 2 2" xfId="20250" xr:uid="{F61DA851-EBD5-4D62-BDEB-B59C4C95A976}"/>
    <cellStyle name="Comma 4 3 2 2 4 2 3" xfId="11821" xr:uid="{43FB0CA2-5B8A-40CA-8E83-C7CFDFE1F7F6}"/>
    <cellStyle name="Comma 4 3 2 2 4 2 4" xfId="16032" xr:uid="{65DC2AB3-B828-446C-A625-048BD2FF5B4B}"/>
    <cellStyle name="Comma 4 3 2 2 4 3" xfId="5444" xr:uid="{00000000-0005-0000-0000-000035090000}"/>
    <cellStyle name="Comma 4 3 2 2 4 3 2" xfId="18105" xr:uid="{3D3BB677-200F-40FB-95D9-6C81F22E50BD}"/>
    <cellStyle name="Comma 4 3 2 2 4 4" xfId="9676" xr:uid="{72E584AF-4CFD-45FD-8038-CFA91613614B}"/>
    <cellStyle name="Comma 4 3 2 2 4 5" xfId="13887" xr:uid="{0C0C4FE5-7A45-4979-AC61-3B902796E424}"/>
    <cellStyle name="Comma 4 3 2 2 5" xfId="1550" xr:uid="{00000000-0005-0000-0000-000036090000}"/>
    <cellStyle name="Comma 4 3 2 2 5 2" xfId="3780" xr:uid="{00000000-0005-0000-0000-000037090000}"/>
    <cellStyle name="Comma 4 3 2 2 5 2 2" xfId="8002" xr:uid="{00000000-0005-0000-0000-000038090000}"/>
    <cellStyle name="Comma 4 3 2 2 5 2 2 2" xfId="20663" xr:uid="{D94D3F91-D5E2-48F8-AA2C-5BB2B08BB821}"/>
    <cellStyle name="Comma 4 3 2 2 5 2 3" xfId="12234" xr:uid="{35887F4B-4093-47C9-B513-F1F062165D1D}"/>
    <cellStyle name="Comma 4 3 2 2 5 2 4" xfId="16445" xr:uid="{E9700968-4A27-4E6E-91B2-C7A8AC7F583F}"/>
    <cellStyle name="Comma 4 3 2 2 5 3" xfId="5857" xr:uid="{00000000-0005-0000-0000-000039090000}"/>
    <cellStyle name="Comma 4 3 2 2 5 3 2" xfId="18518" xr:uid="{81B6A90A-B28F-4221-ADE0-067B1FD6F9A8}"/>
    <cellStyle name="Comma 4 3 2 2 5 4" xfId="10089" xr:uid="{EB93C470-3448-4A0B-8307-AC5DD93FFF83}"/>
    <cellStyle name="Comma 4 3 2 2 5 5" xfId="14300" xr:uid="{715ADDAF-8AFF-4DCA-92A4-8314E84B6FA7}"/>
    <cellStyle name="Comma 4 3 2 2 6" xfId="1964" xr:uid="{00000000-0005-0000-0000-00003A090000}"/>
    <cellStyle name="Comma 4 3 2 2 6 2" xfId="4193" xr:uid="{00000000-0005-0000-0000-00003B090000}"/>
    <cellStyle name="Comma 4 3 2 2 6 2 2" xfId="8415" xr:uid="{00000000-0005-0000-0000-00003C090000}"/>
    <cellStyle name="Comma 4 3 2 2 6 2 2 2" xfId="21076" xr:uid="{05699A24-251B-4095-981E-7DFD2ED19585}"/>
    <cellStyle name="Comma 4 3 2 2 6 2 3" xfId="12647" xr:uid="{4A3E04C7-0D7F-4AB5-96D0-E31C51D766A1}"/>
    <cellStyle name="Comma 4 3 2 2 6 2 4" xfId="16858" xr:uid="{00104DD5-8C6E-4E88-982A-000222A09676}"/>
    <cellStyle name="Comma 4 3 2 2 6 3" xfId="6270" xr:uid="{00000000-0005-0000-0000-00003D090000}"/>
    <cellStyle name="Comma 4 3 2 2 6 3 2" xfId="18931" xr:uid="{A41477DE-0C2B-4753-A27A-4091065DB7ED}"/>
    <cellStyle name="Comma 4 3 2 2 6 4" xfId="10502" xr:uid="{D1229B39-876F-42C0-8BEA-80860A1502C4}"/>
    <cellStyle name="Comma 4 3 2 2 6 5" xfId="14713" xr:uid="{BB53EEEA-CF94-42D8-82B1-8EB34C1B75DC}"/>
    <cellStyle name="Comma 4 3 2 2 7" xfId="2399" xr:uid="{00000000-0005-0000-0000-00003E090000}"/>
    <cellStyle name="Comma 4 3 2 2 7 2" xfId="6683" xr:uid="{00000000-0005-0000-0000-00003F090000}"/>
    <cellStyle name="Comma 4 3 2 2 7 2 2" xfId="19344" xr:uid="{3FCCA08E-8A47-48BD-B3BD-9A4FC60CD15A}"/>
    <cellStyle name="Comma 4 3 2 2 7 3" xfId="10915" xr:uid="{1A401EE3-F190-4284-9037-287CF1BC6353}"/>
    <cellStyle name="Comma 4 3 2 2 7 4" xfId="15126" xr:uid="{144B36EB-C80E-440C-9F60-2372F9EC0B25}"/>
    <cellStyle name="Comma 4 3 2 2 8" xfId="2364" xr:uid="{00000000-0005-0000-0000-000040090000}"/>
    <cellStyle name="Comma 4 3 2 2 9" xfId="2777" xr:uid="{00000000-0005-0000-0000-000041090000}"/>
    <cellStyle name="Comma 4 3 2 2 9 2" xfId="7000" xr:uid="{00000000-0005-0000-0000-000042090000}"/>
    <cellStyle name="Comma 4 3 2 2 9 2 2" xfId="19661" xr:uid="{D5862D75-41CC-4E3E-BA28-4B155A106D37}"/>
    <cellStyle name="Comma 4 3 2 2 9 3" xfId="11232" xr:uid="{7C0EB01B-B9CF-4CF5-AFF3-DD4EA76D43F0}"/>
    <cellStyle name="Comma 4 3 2 2 9 4" xfId="15443" xr:uid="{65FAE2C4-5DF9-48F9-9BAC-213FFAA65C74}"/>
    <cellStyle name="Comma 4 3 2 3" xfId="148" xr:uid="{00000000-0005-0000-0000-000043090000}"/>
    <cellStyle name="Comma 4 3 2 3 10" xfId="8851" xr:uid="{E93557BE-23F3-4169-ABF8-5AAEDF5ED09B}"/>
    <cellStyle name="Comma 4 3 2 3 11" xfId="13062" xr:uid="{BB780991-3D84-4803-8DBF-8A6D1A78CFF8}"/>
    <cellStyle name="Comma 4 3 2 3 2" xfId="685" xr:uid="{00000000-0005-0000-0000-000044090000}"/>
    <cellStyle name="Comma 4 3 2 3 2 2" xfId="2956" xr:uid="{00000000-0005-0000-0000-000045090000}"/>
    <cellStyle name="Comma 4 3 2 3 2 2 2" xfId="7178" xr:uid="{00000000-0005-0000-0000-000046090000}"/>
    <cellStyle name="Comma 4 3 2 3 2 2 2 2" xfId="19839" xr:uid="{55E786D2-E70D-4534-AB21-B689757060D4}"/>
    <cellStyle name="Comma 4 3 2 3 2 2 3" xfId="11410" xr:uid="{D69068FC-A8EC-4312-A8F3-73FC7131E361}"/>
    <cellStyle name="Comma 4 3 2 3 2 2 4" xfId="15621" xr:uid="{F85D09A5-CF01-460B-8CD4-B2A16ABAAE92}"/>
    <cellStyle name="Comma 4 3 2 3 2 3" xfId="5033" xr:uid="{00000000-0005-0000-0000-000047090000}"/>
    <cellStyle name="Comma 4 3 2 3 2 3 2" xfId="17694" xr:uid="{0B1FAB04-5067-401D-A891-4A5D6AB4DE91}"/>
    <cellStyle name="Comma 4 3 2 3 2 4" xfId="9265" xr:uid="{7D250CEC-DBEB-430B-8351-76D84BE87F99}"/>
    <cellStyle name="Comma 4 3 2 3 2 5" xfId="13476" xr:uid="{0B0B42AF-335B-4F0C-BC4B-C4054DD70582}"/>
    <cellStyle name="Comma 4 3 2 3 3" xfId="1138" xr:uid="{00000000-0005-0000-0000-000048090000}"/>
    <cellStyle name="Comma 4 3 2 3 3 2" xfId="3369" xr:uid="{00000000-0005-0000-0000-000049090000}"/>
    <cellStyle name="Comma 4 3 2 3 3 2 2" xfId="7591" xr:uid="{00000000-0005-0000-0000-00004A090000}"/>
    <cellStyle name="Comma 4 3 2 3 3 2 2 2" xfId="20252" xr:uid="{CB4C4689-9715-435B-B9D9-B0A16D4D36ED}"/>
    <cellStyle name="Comma 4 3 2 3 3 2 3" xfId="11823" xr:uid="{25F3B874-22E5-4D1D-A3FF-A2CA472FA71B}"/>
    <cellStyle name="Comma 4 3 2 3 3 2 4" xfId="16034" xr:uid="{CA2CDFFC-9698-4949-9B8B-F934C07BDB7B}"/>
    <cellStyle name="Comma 4 3 2 3 3 3" xfId="5446" xr:uid="{00000000-0005-0000-0000-00004B090000}"/>
    <cellStyle name="Comma 4 3 2 3 3 3 2" xfId="18107" xr:uid="{000B756C-4EDF-4C1C-B874-3743314C1199}"/>
    <cellStyle name="Comma 4 3 2 3 3 4" xfId="9678" xr:uid="{9DB00043-1D11-4CE4-8B4A-6D96EA2EB00C}"/>
    <cellStyle name="Comma 4 3 2 3 3 5" xfId="13889" xr:uid="{81A4CFFF-B368-463D-B054-C60CC38FDE1C}"/>
    <cellStyle name="Comma 4 3 2 3 4" xfId="1552" xr:uid="{00000000-0005-0000-0000-00004C090000}"/>
    <cellStyle name="Comma 4 3 2 3 4 2" xfId="3782" xr:uid="{00000000-0005-0000-0000-00004D090000}"/>
    <cellStyle name="Comma 4 3 2 3 4 2 2" xfId="8004" xr:uid="{00000000-0005-0000-0000-00004E090000}"/>
    <cellStyle name="Comma 4 3 2 3 4 2 2 2" xfId="20665" xr:uid="{3789D26B-756F-4C03-882B-DCAF820F9047}"/>
    <cellStyle name="Comma 4 3 2 3 4 2 3" xfId="12236" xr:uid="{6C9243C6-B1CD-4834-8507-A1DF3D58C94D}"/>
    <cellStyle name="Comma 4 3 2 3 4 2 4" xfId="16447" xr:uid="{2B2E2253-3783-4379-8263-9274F223CCF2}"/>
    <cellStyle name="Comma 4 3 2 3 4 3" xfId="5859" xr:uid="{00000000-0005-0000-0000-00004F090000}"/>
    <cellStyle name="Comma 4 3 2 3 4 3 2" xfId="18520" xr:uid="{2DD4D8EF-C4E2-41B5-B25B-67E6ABC920F9}"/>
    <cellStyle name="Comma 4 3 2 3 4 4" xfId="10091" xr:uid="{9000F0DB-ECA6-451A-A018-039A7F481DA3}"/>
    <cellStyle name="Comma 4 3 2 3 4 5" xfId="14302" xr:uid="{38E772B6-F520-4381-A605-BB9E7A9B1D2A}"/>
    <cellStyle name="Comma 4 3 2 3 5" xfId="1966" xr:uid="{00000000-0005-0000-0000-000050090000}"/>
    <cellStyle name="Comma 4 3 2 3 5 2" xfId="4195" xr:uid="{00000000-0005-0000-0000-000051090000}"/>
    <cellStyle name="Comma 4 3 2 3 5 2 2" xfId="8417" xr:uid="{00000000-0005-0000-0000-000052090000}"/>
    <cellStyle name="Comma 4 3 2 3 5 2 2 2" xfId="21078" xr:uid="{EDA0F4A6-D839-4F4D-81A3-371C85353C93}"/>
    <cellStyle name="Comma 4 3 2 3 5 2 3" xfId="12649" xr:uid="{A5988162-3960-4F49-B024-B65B7B938D8B}"/>
    <cellStyle name="Comma 4 3 2 3 5 2 4" xfId="16860" xr:uid="{F68A3683-A6CC-4781-9670-54192DBBCE79}"/>
    <cellStyle name="Comma 4 3 2 3 5 3" xfId="6272" xr:uid="{00000000-0005-0000-0000-000053090000}"/>
    <cellStyle name="Comma 4 3 2 3 5 3 2" xfId="18933" xr:uid="{9B5B5284-82EC-4A75-ABD0-2BF5F35E89FF}"/>
    <cellStyle name="Comma 4 3 2 3 5 4" xfId="10504" xr:uid="{8C92A3C8-AD41-4F86-BDD5-6046A777181E}"/>
    <cellStyle name="Comma 4 3 2 3 5 5" xfId="14715" xr:uid="{5A408F31-1E71-44C5-8963-2BFC41D0AD1C}"/>
    <cellStyle name="Comma 4 3 2 3 6" xfId="2401" xr:uid="{00000000-0005-0000-0000-000054090000}"/>
    <cellStyle name="Comma 4 3 2 3 6 2" xfId="6685" xr:uid="{00000000-0005-0000-0000-000055090000}"/>
    <cellStyle name="Comma 4 3 2 3 6 2 2" xfId="19346" xr:uid="{8CEC90A0-FB18-440B-859D-7AF7E7C4DD38}"/>
    <cellStyle name="Comma 4 3 2 3 6 3" xfId="10917" xr:uid="{80FA27EE-F5AF-40DE-BB6C-D1432C4EE465}"/>
    <cellStyle name="Comma 4 3 2 3 6 4" xfId="15128" xr:uid="{2FB7D3EB-7EA4-41BF-9E14-26D2A9EB1C0A}"/>
    <cellStyle name="Comma 4 3 2 3 7" xfId="2362" xr:uid="{00000000-0005-0000-0000-000056090000}"/>
    <cellStyle name="Comma 4 3 2 3 8" xfId="2779" xr:uid="{00000000-0005-0000-0000-000057090000}"/>
    <cellStyle name="Comma 4 3 2 3 8 2" xfId="7002" xr:uid="{00000000-0005-0000-0000-000058090000}"/>
    <cellStyle name="Comma 4 3 2 3 8 2 2" xfId="19663" xr:uid="{B9103B24-FEEA-43BA-A5E1-7217084BB755}"/>
    <cellStyle name="Comma 4 3 2 3 8 3" xfId="11234" xr:uid="{D03604EF-0074-4D3F-850D-9E4CCA07914C}"/>
    <cellStyle name="Comma 4 3 2 3 8 4" xfId="15445" xr:uid="{17268EDE-A242-497E-B8B8-3E66A2728D06}"/>
    <cellStyle name="Comma 4 3 2 3 9" xfId="4619" xr:uid="{00000000-0005-0000-0000-000059090000}"/>
    <cellStyle name="Comma 4 3 2 3 9 2" xfId="17280" xr:uid="{9640B0FC-9579-47A0-83A2-88772098375C}"/>
    <cellStyle name="Comma 4 3 2 4" xfId="682" xr:uid="{00000000-0005-0000-0000-00005A090000}"/>
    <cellStyle name="Comma 4 3 2 4 2" xfId="2953" xr:uid="{00000000-0005-0000-0000-00005B090000}"/>
    <cellStyle name="Comma 4 3 2 4 2 2" xfId="7175" xr:uid="{00000000-0005-0000-0000-00005C090000}"/>
    <cellStyle name="Comma 4 3 2 4 2 2 2" xfId="19836" xr:uid="{F12E8D44-B244-44E4-97D0-4E53AF7301C6}"/>
    <cellStyle name="Comma 4 3 2 4 2 3" xfId="11407" xr:uid="{76AFA584-ED0C-448A-8C50-62DFF97F0417}"/>
    <cellStyle name="Comma 4 3 2 4 2 4" xfId="15618" xr:uid="{C753B077-0E53-4860-B634-161733489D86}"/>
    <cellStyle name="Comma 4 3 2 4 3" xfId="5030" xr:uid="{00000000-0005-0000-0000-00005D090000}"/>
    <cellStyle name="Comma 4 3 2 4 3 2" xfId="17691" xr:uid="{04B37446-26C2-4FB9-B0C5-974961CB4915}"/>
    <cellStyle name="Comma 4 3 2 4 4" xfId="9262" xr:uid="{1B5DCC5F-2707-4CAD-A767-E9588C5D34DC}"/>
    <cellStyle name="Comma 4 3 2 4 5" xfId="13473" xr:uid="{73353DCC-8CCB-4885-99A1-48BBABA40612}"/>
    <cellStyle name="Comma 4 3 2 5" xfId="1135" xr:uid="{00000000-0005-0000-0000-00005E090000}"/>
    <cellStyle name="Comma 4 3 2 5 2" xfId="3366" xr:uid="{00000000-0005-0000-0000-00005F090000}"/>
    <cellStyle name="Comma 4 3 2 5 2 2" xfId="7588" xr:uid="{00000000-0005-0000-0000-000060090000}"/>
    <cellStyle name="Comma 4 3 2 5 2 2 2" xfId="20249" xr:uid="{C6DED719-252D-44F8-8E63-86E5709C250E}"/>
    <cellStyle name="Comma 4 3 2 5 2 3" xfId="11820" xr:uid="{1249CA65-87B2-4C76-B664-66C9A6E74E3C}"/>
    <cellStyle name="Comma 4 3 2 5 2 4" xfId="16031" xr:uid="{1104CE3D-9C97-4B66-A3B0-61DBB4661B4D}"/>
    <cellStyle name="Comma 4 3 2 5 3" xfId="5443" xr:uid="{00000000-0005-0000-0000-000061090000}"/>
    <cellStyle name="Comma 4 3 2 5 3 2" xfId="18104" xr:uid="{6EDDBB50-CFEA-44B8-A0F7-9D3ECCF2DF57}"/>
    <cellStyle name="Comma 4 3 2 5 4" xfId="9675" xr:uid="{C9386EC6-A4AC-486A-9BDE-72B22AA7754B}"/>
    <cellStyle name="Comma 4 3 2 5 5" xfId="13886" xr:uid="{7364A4E6-5B79-421C-A05C-C8AFE845AB6A}"/>
    <cellStyle name="Comma 4 3 2 6" xfId="1549" xr:uid="{00000000-0005-0000-0000-000062090000}"/>
    <cellStyle name="Comma 4 3 2 6 2" xfId="3779" xr:uid="{00000000-0005-0000-0000-000063090000}"/>
    <cellStyle name="Comma 4 3 2 6 2 2" xfId="8001" xr:uid="{00000000-0005-0000-0000-000064090000}"/>
    <cellStyle name="Comma 4 3 2 6 2 2 2" xfId="20662" xr:uid="{F0AFB72A-07CB-4D1B-9D4D-809DA5CAB6D9}"/>
    <cellStyle name="Comma 4 3 2 6 2 3" xfId="12233" xr:uid="{7D860964-8A53-43F9-BC0D-7C24C7835875}"/>
    <cellStyle name="Comma 4 3 2 6 2 4" xfId="16444" xr:uid="{9F23DE94-4E6A-4AAB-A161-FD90A9A7F0AF}"/>
    <cellStyle name="Comma 4 3 2 6 3" xfId="5856" xr:uid="{00000000-0005-0000-0000-000065090000}"/>
    <cellStyle name="Comma 4 3 2 6 3 2" xfId="18517" xr:uid="{BC281BE3-A863-4B8F-B38B-0D6DAB528745}"/>
    <cellStyle name="Comma 4 3 2 6 4" xfId="10088" xr:uid="{CCD35113-DB71-46BC-8D98-28B2FDB06B7F}"/>
    <cellStyle name="Comma 4 3 2 6 5" xfId="14299" xr:uid="{56929A2D-A490-4392-9B04-8E78F50C504E}"/>
    <cellStyle name="Comma 4 3 2 7" xfId="1963" xr:uid="{00000000-0005-0000-0000-000066090000}"/>
    <cellStyle name="Comma 4 3 2 7 2" xfId="4192" xr:uid="{00000000-0005-0000-0000-000067090000}"/>
    <cellStyle name="Comma 4 3 2 7 2 2" xfId="8414" xr:uid="{00000000-0005-0000-0000-000068090000}"/>
    <cellStyle name="Comma 4 3 2 7 2 2 2" xfId="21075" xr:uid="{017DB3C7-A2B0-4420-897C-49DA922FAE34}"/>
    <cellStyle name="Comma 4 3 2 7 2 3" xfId="12646" xr:uid="{F91D2119-9B78-498A-966E-06BCB12B066A}"/>
    <cellStyle name="Comma 4 3 2 7 2 4" xfId="16857" xr:uid="{99C74462-06E2-42A9-8EAF-D9994800CADB}"/>
    <cellStyle name="Comma 4 3 2 7 3" xfId="6269" xr:uid="{00000000-0005-0000-0000-000069090000}"/>
    <cellStyle name="Comma 4 3 2 7 3 2" xfId="18930" xr:uid="{E1A9B6B0-FB13-489C-AA5D-067B466F8F45}"/>
    <cellStyle name="Comma 4 3 2 7 4" xfId="10501" xr:uid="{4FB2D456-5663-443E-AF89-2334AE351081}"/>
    <cellStyle name="Comma 4 3 2 7 5" xfId="14712" xr:uid="{E4325D2A-71E7-4D10-AEED-74F5007A254B}"/>
    <cellStyle name="Comma 4 3 2 8" xfId="2398" xr:uid="{00000000-0005-0000-0000-00006A090000}"/>
    <cellStyle name="Comma 4 3 2 8 2" xfId="6682" xr:uid="{00000000-0005-0000-0000-00006B090000}"/>
    <cellStyle name="Comma 4 3 2 8 2 2" xfId="19343" xr:uid="{7437E087-92B3-49F8-9E58-9757B247B3CA}"/>
    <cellStyle name="Comma 4 3 2 8 3" xfId="10914" xr:uid="{24B685C7-A784-49C4-89E6-7B33A5B31120}"/>
    <cellStyle name="Comma 4 3 2 8 4" xfId="15125" xr:uid="{A14F3879-23BF-4BAB-B058-E0899A090A70}"/>
    <cellStyle name="Comma 4 3 2 9" xfId="2365" xr:uid="{00000000-0005-0000-0000-00006C090000}"/>
    <cellStyle name="Comma 4 3 3" xfId="149" xr:uid="{00000000-0005-0000-0000-00006D090000}"/>
    <cellStyle name="Comma 4 3 3 10" xfId="4620" xr:uid="{00000000-0005-0000-0000-00006E090000}"/>
    <cellStyle name="Comma 4 3 3 10 2" xfId="17281" xr:uid="{F8AF1BAF-00C3-43D2-84F2-4050F956482B}"/>
    <cellStyle name="Comma 4 3 3 11" xfId="8852" xr:uid="{2FFCFEA3-1C9F-43E0-BA26-019D02606BFC}"/>
    <cellStyle name="Comma 4 3 3 12" xfId="13063" xr:uid="{CD654DEB-5437-41CE-8C48-E84122240CBE}"/>
    <cellStyle name="Comma 4 3 3 2" xfId="150" xr:uid="{00000000-0005-0000-0000-00006F090000}"/>
    <cellStyle name="Comma 4 3 3 2 10" xfId="8853" xr:uid="{8DD6B0D5-F7EF-4CCE-A5F5-CFFAFEC90205}"/>
    <cellStyle name="Comma 4 3 3 2 11" xfId="13064" xr:uid="{06F9FF09-34D1-421A-AF62-CF1F70FB3BB5}"/>
    <cellStyle name="Comma 4 3 3 2 2" xfId="687" xr:uid="{00000000-0005-0000-0000-000070090000}"/>
    <cellStyle name="Comma 4 3 3 2 2 2" xfId="2958" xr:uid="{00000000-0005-0000-0000-000071090000}"/>
    <cellStyle name="Comma 4 3 3 2 2 2 2" xfId="7180" xr:uid="{00000000-0005-0000-0000-000072090000}"/>
    <cellStyle name="Comma 4 3 3 2 2 2 2 2" xfId="19841" xr:uid="{FF8D22A4-56F3-478C-9496-1B8C709C8F66}"/>
    <cellStyle name="Comma 4 3 3 2 2 2 3" xfId="11412" xr:uid="{CEE5EB9F-3ADC-4619-8C41-B2B3C796BD63}"/>
    <cellStyle name="Comma 4 3 3 2 2 2 4" xfId="15623" xr:uid="{CF085F6E-902E-40D3-91A1-40BF47E9721D}"/>
    <cellStyle name="Comma 4 3 3 2 2 3" xfId="5035" xr:uid="{00000000-0005-0000-0000-000073090000}"/>
    <cellStyle name="Comma 4 3 3 2 2 3 2" xfId="17696" xr:uid="{30E2FF15-400B-4A81-9DE1-70158248EB84}"/>
    <cellStyle name="Comma 4 3 3 2 2 4" xfId="9267" xr:uid="{00669DE0-1845-43E9-98D8-EC06018678E0}"/>
    <cellStyle name="Comma 4 3 3 2 2 5" xfId="13478" xr:uid="{371161E6-E4CA-45E3-B97D-FCF8AAE81329}"/>
    <cellStyle name="Comma 4 3 3 2 3" xfId="1140" xr:uid="{00000000-0005-0000-0000-000074090000}"/>
    <cellStyle name="Comma 4 3 3 2 3 2" xfId="3371" xr:uid="{00000000-0005-0000-0000-000075090000}"/>
    <cellStyle name="Comma 4 3 3 2 3 2 2" xfId="7593" xr:uid="{00000000-0005-0000-0000-000076090000}"/>
    <cellStyle name="Comma 4 3 3 2 3 2 2 2" xfId="20254" xr:uid="{ED2A146B-BE44-48A4-9E77-805999B7B237}"/>
    <cellStyle name="Comma 4 3 3 2 3 2 3" xfId="11825" xr:uid="{2DC51683-3588-4C51-954A-F9CF67F8FC71}"/>
    <cellStyle name="Comma 4 3 3 2 3 2 4" xfId="16036" xr:uid="{C488B48E-B547-4855-9EFD-660821146962}"/>
    <cellStyle name="Comma 4 3 3 2 3 3" xfId="5448" xr:uid="{00000000-0005-0000-0000-000077090000}"/>
    <cellStyle name="Comma 4 3 3 2 3 3 2" xfId="18109" xr:uid="{2AF6906C-6A02-4770-B8DB-EDF814128AF2}"/>
    <cellStyle name="Comma 4 3 3 2 3 4" xfId="9680" xr:uid="{E6E393E6-3FDC-4E9A-8949-A70510036ABE}"/>
    <cellStyle name="Comma 4 3 3 2 3 5" xfId="13891" xr:uid="{889FA585-F80C-449D-8770-134CA5497D9C}"/>
    <cellStyle name="Comma 4 3 3 2 4" xfId="1554" xr:uid="{00000000-0005-0000-0000-000078090000}"/>
    <cellStyle name="Comma 4 3 3 2 4 2" xfId="3784" xr:uid="{00000000-0005-0000-0000-000079090000}"/>
    <cellStyle name="Comma 4 3 3 2 4 2 2" xfId="8006" xr:uid="{00000000-0005-0000-0000-00007A090000}"/>
    <cellStyle name="Comma 4 3 3 2 4 2 2 2" xfId="20667" xr:uid="{FBE65B27-87CE-4FAC-AA19-9C075FB28570}"/>
    <cellStyle name="Comma 4 3 3 2 4 2 3" xfId="12238" xr:uid="{7944E3C6-5AE3-40CD-8CDD-E700A0EC848A}"/>
    <cellStyle name="Comma 4 3 3 2 4 2 4" xfId="16449" xr:uid="{78022A0D-64D1-4FFA-9AC5-42882373DCDB}"/>
    <cellStyle name="Comma 4 3 3 2 4 3" xfId="5861" xr:uid="{00000000-0005-0000-0000-00007B090000}"/>
    <cellStyle name="Comma 4 3 3 2 4 3 2" xfId="18522" xr:uid="{D345C4CF-203D-4147-83D4-D1A429A61CD8}"/>
    <cellStyle name="Comma 4 3 3 2 4 4" xfId="10093" xr:uid="{4ECD9331-1A03-451F-B03E-D25DBCFDBB56}"/>
    <cellStyle name="Comma 4 3 3 2 4 5" xfId="14304" xr:uid="{9D685596-3FD9-41FD-996E-A55FF93CDF3A}"/>
    <cellStyle name="Comma 4 3 3 2 5" xfId="1968" xr:uid="{00000000-0005-0000-0000-00007C090000}"/>
    <cellStyle name="Comma 4 3 3 2 5 2" xfId="4197" xr:uid="{00000000-0005-0000-0000-00007D090000}"/>
    <cellStyle name="Comma 4 3 3 2 5 2 2" xfId="8419" xr:uid="{00000000-0005-0000-0000-00007E090000}"/>
    <cellStyle name="Comma 4 3 3 2 5 2 2 2" xfId="21080" xr:uid="{73627687-1686-4D66-8D73-26CE161BDB71}"/>
    <cellStyle name="Comma 4 3 3 2 5 2 3" xfId="12651" xr:uid="{4EC53B87-A1B0-430A-8BDF-9DCCC543D2D8}"/>
    <cellStyle name="Comma 4 3 3 2 5 2 4" xfId="16862" xr:uid="{8E16CD92-0EA7-4DBB-9ECD-2B320F83CC4B}"/>
    <cellStyle name="Comma 4 3 3 2 5 3" xfId="6274" xr:uid="{00000000-0005-0000-0000-00007F090000}"/>
    <cellStyle name="Comma 4 3 3 2 5 3 2" xfId="18935" xr:uid="{C23218B0-FA55-42C5-9E30-F77EED6DD50C}"/>
    <cellStyle name="Comma 4 3 3 2 5 4" xfId="10506" xr:uid="{EC0EE4D8-9596-478F-BD3D-4EC1E6C83C12}"/>
    <cellStyle name="Comma 4 3 3 2 5 5" xfId="14717" xr:uid="{556CC7C9-4953-42C4-B0F2-87AB73CB02A6}"/>
    <cellStyle name="Comma 4 3 3 2 6" xfId="2403" xr:uid="{00000000-0005-0000-0000-000080090000}"/>
    <cellStyle name="Comma 4 3 3 2 6 2" xfId="6687" xr:uid="{00000000-0005-0000-0000-000081090000}"/>
    <cellStyle name="Comma 4 3 3 2 6 2 2" xfId="19348" xr:uid="{03E38CD1-32A5-4F28-AD78-0E5381F12046}"/>
    <cellStyle name="Comma 4 3 3 2 6 3" xfId="10919" xr:uid="{938D7613-2FDD-458F-92CB-364B0A853E34}"/>
    <cellStyle name="Comma 4 3 3 2 6 4" xfId="15130" xr:uid="{DF844D2A-C133-4790-9BD2-6FB4021974B4}"/>
    <cellStyle name="Comma 4 3 3 2 7" xfId="2360" xr:uid="{00000000-0005-0000-0000-000082090000}"/>
    <cellStyle name="Comma 4 3 3 2 8" xfId="2781" xr:uid="{00000000-0005-0000-0000-000083090000}"/>
    <cellStyle name="Comma 4 3 3 2 8 2" xfId="7004" xr:uid="{00000000-0005-0000-0000-000084090000}"/>
    <cellStyle name="Comma 4 3 3 2 8 2 2" xfId="19665" xr:uid="{0873F814-8CB3-4229-B9CB-B5132D3E4210}"/>
    <cellStyle name="Comma 4 3 3 2 8 3" xfId="11236" xr:uid="{A0305BC2-C56D-4751-9261-6D3E0EE303CD}"/>
    <cellStyle name="Comma 4 3 3 2 8 4" xfId="15447" xr:uid="{38927246-4EB2-4A16-A84E-5AD80FCE6DBB}"/>
    <cellStyle name="Comma 4 3 3 2 9" xfId="4621" xr:uid="{00000000-0005-0000-0000-000085090000}"/>
    <cellStyle name="Comma 4 3 3 2 9 2" xfId="17282" xr:uid="{4AB9F7A3-9CFB-43E7-9BF9-84189FECD7AC}"/>
    <cellStyle name="Comma 4 3 3 3" xfId="686" xr:uid="{00000000-0005-0000-0000-000086090000}"/>
    <cellStyle name="Comma 4 3 3 3 2" xfId="2957" xr:uid="{00000000-0005-0000-0000-000087090000}"/>
    <cellStyle name="Comma 4 3 3 3 2 2" xfId="7179" xr:uid="{00000000-0005-0000-0000-000088090000}"/>
    <cellStyle name="Comma 4 3 3 3 2 2 2" xfId="19840" xr:uid="{9B3A4E77-630A-419D-ADBA-0438C82FE9A3}"/>
    <cellStyle name="Comma 4 3 3 3 2 3" xfId="11411" xr:uid="{066951E7-ECBF-41EE-89CD-3F2727A9769E}"/>
    <cellStyle name="Comma 4 3 3 3 2 4" xfId="15622" xr:uid="{12C3B7D1-C89C-4F7F-B983-0D2F8F2DC44C}"/>
    <cellStyle name="Comma 4 3 3 3 3" xfId="5034" xr:uid="{00000000-0005-0000-0000-000089090000}"/>
    <cellStyle name="Comma 4 3 3 3 3 2" xfId="17695" xr:uid="{26D218EB-5AC5-4B54-B5D8-25A15E98E238}"/>
    <cellStyle name="Comma 4 3 3 3 4" xfId="9266" xr:uid="{7F2A9A7C-3D1E-4CA1-8C1B-268B2170D580}"/>
    <cellStyle name="Comma 4 3 3 3 5" xfId="13477" xr:uid="{70EB5B47-BCEB-48FF-A5BA-7A3FF27B563D}"/>
    <cellStyle name="Comma 4 3 3 4" xfId="1139" xr:uid="{00000000-0005-0000-0000-00008A090000}"/>
    <cellStyle name="Comma 4 3 3 4 2" xfId="3370" xr:uid="{00000000-0005-0000-0000-00008B090000}"/>
    <cellStyle name="Comma 4 3 3 4 2 2" xfId="7592" xr:uid="{00000000-0005-0000-0000-00008C090000}"/>
    <cellStyle name="Comma 4 3 3 4 2 2 2" xfId="20253" xr:uid="{D693A54F-DD79-42BC-B45C-0CEB01F9CC9A}"/>
    <cellStyle name="Comma 4 3 3 4 2 3" xfId="11824" xr:uid="{AB365613-2E3A-4C9D-AE91-B2E615177613}"/>
    <cellStyle name="Comma 4 3 3 4 2 4" xfId="16035" xr:uid="{971B1D4F-E23A-4467-A3EB-61388C4B0733}"/>
    <cellStyle name="Comma 4 3 3 4 3" xfId="5447" xr:uid="{00000000-0005-0000-0000-00008D090000}"/>
    <cellStyle name="Comma 4 3 3 4 3 2" xfId="18108" xr:uid="{83AD2578-D1BE-4049-8001-8F57C070A521}"/>
    <cellStyle name="Comma 4 3 3 4 4" xfId="9679" xr:uid="{42ABE6D2-1E5A-4D05-BCF2-B85D81FB3BC1}"/>
    <cellStyle name="Comma 4 3 3 4 5" xfId="13890" xr:uid="{71F9DD1D-AD7F-477B-BCA6-9A63A20D6529}"/>
    <cellStyle name="Comma 4 3 3 5" xfId="1553" xr:uid="{00000000-0005-0000-0000-00008E090000}"/>
    <cellStyle name="Comma 4 3 3 5 2" xfId="3783" xr:uid="{00000000-0005-0000-0000-00008F090000}"/>
    <cellStyle name="Comma 4 3 3 5 2 2" xfId="8005" xr:uid="{00000000-0005-0000-0000-000090090000}"/>
    <cellStyle name="Comma 4 3 3 5 2 2 2" xfId="20666" xr:uid="{ACAA540C-F5CB-4530-B4AB-FB0C3E78D871}"/>
    <cellStyle name="Comma 4 3 3 5 2 3" xfId="12237" xr:uid="{32588F1A-02B0-407E-9EAA-4174E259FAC2}"/>
    <cellStyle name="Comma 4 3 3 5 2 4" xfId="16448" xr:uid="{8A0FFED0-FE95-486E-836F-F1084ED61E7C}"/>
    <cellStyle name="Comma 4 3 3 5 3" xfId="5860" xr:uid="{00000000-0005-0000-0000-000091090000}"/>
    <cellStyle name="Comma 4 3 3 5 3 2" xfId="18521" xr:uid="{DE046F59-82F4-4B4C-8EED-ECB261967ED2}"/>
    <cellStyle name="Comma 4 3 3 5 4" xfId="10092" xr:uid="{A2AAC8D3-28B1-4057-B64E-2141B174BC06}"/>
    <cellStyle name="Comma 4 3 3 5 5" xfId="14303" xr:uid="{02EEA25D-D109-4005-88EB-75F0C1C3BC87}"/>
    <cellStyle name="Comma 4 3 3 6" xfId="1967" xr:uid="{00000000-0005-0000-0000-000092090000}"/>
    <cellStyle name="Comma 4 3 3 6 2" xfId="4196" xr:uid="{00000000-0005-0000-0000-000093090000}"/>
    <cellStyle name="Comma 4 3 3 6 2 2" xfId="8418" xr:uid="{00000000-0005-0000-0000-000094090000}"/>
    <cellStyle name="Comma 4 3 3 6 2 2 2" xfId="21079" xr:uid="{786DC060-4422-434F-B1B4-72A5DEE85792}"/>
    <cellStyle name="Comma 4 3 3 6 2 3" xfId="12650" xr:uid="{0F4E6593-6A2A-4F40-B08E-8FA46473E6D5}"/>
    <cellStyle name="Comma 4 3 3 6 2 4" xfId="16861" xr:uid="{53D4488E-C174-4C9E-8F16-1E85CCB412C1}"/>
    <cellStyle name="Comma 4 3 3 6 3" xfId="6273" xr:uid="{00000000-0005-0000-0000-000095090000}"/>
    <cellStyle name="Comma 4 3 3 6 3 2" xfId="18934" xr:uid="{6CE00B2D-7BA1-423A-8435-66F3984173EF}"/>
    <cellStyle name="Comma 4 3 3 6 4" xfId="10505" xr:uid="{9A50C807-434B-4136-9966-ACCF6758D16D}"/>
    <cellStyle name="Comma 4 3 3 6 5" xfId="14716" xr:uid="{4927B730-51C3-4D21-8BBF-DEE2F2EE09F3}"/>
    <cellStyle name="Comma 4 3 3 7" xfId="2402" xr:uid="{00000000-0005-0000-0000-000096090000}"/>
    <cellStyle name="Comma 4 3 3 7 2" xfId="6686" xr:uid="{00000000-0005-0000-0000-000097090000}"/>
    <cellStyle name="Comma 4 3 3 7 2 2" xfId="19347" xr:uid="{E2FEB6F1-1FF1-4F57-B044-EB841A0EB0F8}"/>
    <cellStyle name="Comma 4 3 3 7 3" xfId="10918" xr:uid="{D7725F8F-CE12-4B1B-A0F1-51EF9E2F74B1}"/>
    <cellStyle name="Comma 4 3 3 7 4" xfId="15129" xr:uid="{202C3359-0D0F-4718-B62D-AFC36C18B8E5}"/>
    <cellStyle name="Comma 4 3 3 8" xfId="2361" xr:uid="{00000000-0005-0000-0000-000098090000}"/>
    <cellStyle name="Comma 4 3 3 9" xfId="2780" xr:uid="{00000000-0005-0000-0000-000099090000}"/>
    <cellStyle name="Comma 4 3 3 9 2" xfId="7003" xr:uid="{00000000-0005-0000-0000-00009A090000}"/>
    <cellStyle name="Comma 4 3 3 9 2 2" xfId="19664" xr:uid="{475CE35E-F0D3-4DC2-92E0-4FEA99876B81}"/>
    <cellStyle name="Comma 4 3 3 9 3" xfId="11235" xr:uid="{849D4A7F-6CE5-40C6-AEA0-9FA0A8C88DC6}"/>
    <cellStyle name="Comma 4 3 3 9 4" xfId="15446" xr:uid="{F0211EA0-796B-443D-B50E-BF449F95DE01}"/>
    <cellStyle name="Comma 4 3 4" xfId="151" xr:uid="{00000000-0005-0000-0000-00009B090000}"/>
    <cellStyle name="Comma 4 3 4 10" xfId="8854" xr:uid="{41F85EBE-B388-4AFF-BF59-4162DCE14CFC}"/>
    <cellStyle name="Comma 4 3 4 11" xfId="13065" xr:uid="{D256652B-385B-4E22-828A-038CF6C15130}"/>
    <cellStyle name="Comma 4 3 4 2" xfId="688" xr:uid="{00000000-0005-0000-0000-00009C090000}"/>
    <cellStyle name="Comma 4 3 4 2 2" xfId="2959" xr:uid="{00000000-0005-0000-0000-00009D090000}"/>
    <cellStyle name="Comma 4 3 4 2 2 2" xfId="7181" xr:uid="{00000000-0005-0000-0000-00009E090000}"/>
    <cellStyle name="Comma 4 3 4 2 2 2 2" xfId="19842" xr:uid="{3BE6C561-7FC2-4E52-8333-021559288267}"/>
    <cellStyle name="Comma 4 3 4 2 2 3" xfId="11413" xr:uid="{BCA78162-F715-476F-8C31-97D579BABF82}"/>
    <cellStyle name="Comma 4 3 4 2 2 4" xfId="15624" xr:uid="{492F9818-8A95-47DB-BFFE-220EA8286A66}"/>
    <cellStyle name="Comma 4 3 4 2 3" xfId="5036" xr:uid="{00000000-0005-0000-0000-00009F090000}"/>
    <cellStyle name="Comma 4 3 4 2 3 2" xfId="17697" xr:uid="{50C01772-1BAF-48C5-86D6-704D6146E1C6}"/>
    <cellStyle name="Comma 4 3 4 2 4" xfId="9268" xr:uid="{1F9214CB-C7AA-4F53-9E7E-0F638B7C6460}"/>
    <cellStyle name="Comma 4 3 4 2 5" xfId="13479" xr:uid="{F7382C9C-FC04-41FD-87C6-1A0241BF80AB}"/>
    <cellStyle name="Comma 4 3 4 3" xfId="1141" xr:uid="{00000000-0005-0000-0000-0000A0090000}"/>
    <cellStyle name="Comma 4 3 4 3 2" xfId="3372" xr:uid="{00000000-0005-0000-0000-0000A1090000}"/>
    <cellStyle name="Comma 4 3 4 3 2 2" xfId="7594" xr:uid="{00000000-0005-0000-0000-0000A2090000}"/>
    <cellStyle name="Comma 4 3 4 3 2 2 2" xfId="20255" xr:uid="{4D8DD8CC-725D-4C8C-8116-AD5E6B32EA46}"/>
    <cellStyle name="Comma 4 3 4 3 2 3" xfId="11826" xr:uid="{DD44252C-D288-4B76-867F-5547D2E204B8}"/>
    <cellStyle name="Comma 4 3 4 3 2 4" xfId="16037" xr:uid="{C69999D6-44E4-42EA-B579-25838C2F7C92}"/>
    <cellStyle name="Comma 4 3 4 3 3" xfId="5449" xr:uid="{00000000-0005-0000-0000-0000A3090000}"/>
    <cellStyle name="Comma 4 3 4 3 3 2" xfId="18110" xr:uid="{B7272737-98B1-4B02-8FD4-F2DCD5BF86FE}"/>
    <cellStyle name="Comma 4 3 4 3 4" xfId="9681" xr:uid="{A9739CBA-47E1-45DA-8DBE-1D71557027EF}"/>
    <cellStyle name="Comma 4 3 4 3 5" xfId="13892" xr:uid="{CF5BFABC-2B55-4E7B-8C2D-F700D208968B}"/>
    <cellStyle name="Comma 4 3 4 4" xfId="1555" xr:uid="{00000000-0005-0000-0000-0000A4090000}"/>
    <cellStyle name="Comma 4 3 4 4 2" xfId="3785" xr:uid="{00000000-0005-0000-0000-0000A5090000}"/>
    <cellStyle name="Comma 4 3 4 4 2 2" xfId="8007" xr:uid="{00000000-0005-0000-0000-0000A6090000}"/>
    <cellStyle name="Comma 4 3 4 4 2 2 2" xfId="20668" xr:uid="{571E22FB-E7C4-4364-828B-CA4A1E8D8DF4}"/>
    <cellStyle name="Comma 4 3 4 4 2 3" xfId="12239" xr:uid="{92303541-63EF-4AC9-A067-63463C2DDD55}"/>
    <cellStyle name="Comma 4 3 4 4 2 4" xfId="16450" xr:uid="{71D99B0D-0010-4BED-88F3-ADD7485FFB2D}"/>
    <cellStyle name="Comma 4 3 4 4 3" xfId="5862" xr:uid="{00000000-0005-0000-0000-0000A7090000}"/>
    <cellStyle name="Comma 4 3 4 4 3 2" xfId="18523" xr:uid="{00E0D020-2356-4125-B108-A647707D43C9}"/>
    <cellStyle name="Comma 4 3 4 4 4" xfId="10094" xr:uid="{C0390EF1-0C4C-46A9-B9A4-AE6AA8A07C93}"/>
    <cellStyle name="Comma 4 3 4 4 5" xfId="14305" xr:uid="{011854DC-6A7E-44C2-A029-81080E67496E}"/>
    <cellStyle name="Comma 4 3 4 5" xfId="1969" xr:uid="{00000000-0005-0000-0000-0000A8090000}"/>
    <cellStyle name="Comma 4 3 4 5 2" xfId="4198" xr:uid="{00000000-0005-0000-0000-0000A9090000}"/>
    <cellStyle name="Comma 4 3 4 5 2 2" xfId="8420" xr:uid="{00000000-0005-0000-0000-0000AA090000}"/>
    <cellStyle name="Comma 4 3 4 5 2 2 2" xfId="21081" xr:uid="{D71B13FF-ECC4-48D6-88F8-517948092D5C}"/>
    <cellStyle name="Comma 4 3 4 5 2 3" xfId="12652" xr:uid="{3E496685-D10C-4000-A17B-0270DD0920AF}"/>
    <cellStyle name="Comma 4 3 4 5 2 4" xfId="16863" xr:uid="{694C993E-040A-4721-B153-AD0250FBCA6B}"/>
    <cellStyle name="Comma 4 3 4 5 3" xfId="6275" xr:uid="{00000000-0005-0000-0000-0000AB090000}"/>
    <cellStyle name="Comma 4 3 4 5 3 2" xfId="18936" xr:uid="{91393870-EDFF-45A8-8BAE-D9983E7AEDE0}"/>
    <cellStyle name="Comma 4 3 4 5 4" xfId="10507" xr:uid="{26025479-2C26-485F-9400-1201202FA446}"/>
    <cellStyle name="Comma 4 3 4 5 5" xfId="14718" xr:uid="{DC45B603-B859-4509-A364-9478D72B4702}"/>
    <cellStyle name="Comma 4 3 4 6" xfId="2404" xr:uid="{00000000-0005-0000-0000-0000AC090000}"/>
    <cellStyle name="Comma 4 3 4 6 2" xfId="6688" xr:uid="{00000000-0005-0000-0000-0000AD090000}"/>
    <cellStyle name="Comma 4 3 4 6 2 2" xfId="19349" xr:uid="{64C14A17-4D09-416C-960E-3512EEA7A5E0}"/>
    <cellStyle name="Comma 4 3 4 6 3" xfId="10920" xr:uid="{3C1C7C8B-2003-4143-9D29-E603EA76EADB}"/>
    <cellStyle name="Comma 4 3 4 6 4" xfId="15131" xr:uid="{33D5DFE0-52E2-4DAC-916C-E47B2F7F46C4}"/>
    <cellStyle name="Comma 4 3 4 7" xfId="2700" xr:uid="{00000000-0005-0000-0000-0000AE090000}"/>
    <cellStyle name="Comma 4 3 4 8" xfId="2782" xr:uid="{00000000-0005-0000-0000-0000AF090000}"/>
    <cellStyle name="Comma 4 3 4 8 2" xfId="7005" xr:uid="{00000000-0005-0000-0000-0000B0090000}"/>
    <cellStyle name="Comma 4 3 4 8 2 2" xfId="19666" xr:uid="{12C77FF9-507F-4398-96BE-6FB05FDFCFF5}"/>
    <cellStyle name="Comma 4 3 4 8 3" xfId="11237" xr:uid="{C331DA6A-56CB-4DBE-93F2-5D5169CA8B6A}"/>
    <cellStyle name="Comma 4 3 4 8 4" xfId="15448" xr:uid="{CCDA8F00-6524-4AFC-8FC1-EEE0C18B5279}"/>
    <cellStyle name="Comma 4 3 4 9" xfId="4622" xr:uid="{00000000-0005-0000-0000-0000B1090000}"/>
    <cellStyle name="Comma 4 3 4 9 2" xfId="17283" xr:uid="{D22D9739-A8B2-475C-B154-D813FC285F49}"/>
    <cellStyle name="Comma 4 3 5" xfId="152" xr:uid="{00000000-0005-0000-0000-0000B2090000}"/>
    <cellStyle name="Comma 4 3 5 10" xfId="8855" xr:uid="{7D76B7B4-FBE5-4077-90F8-9FDB33FB0187}"/>
    <cellStyle name="Comma 4 3 5 11" xfId="13066" xr:uid="{9502CD77-5768-4809-A959-C085C3C3A81B}"/>
    <cellStyle name="Comma 4 3 5 2" xfId="689" xr:uid="{00000000-0005-0000-0000-0000B3090000}"/>
    <cellStyle name="Comma 4 3 5 2 2" xfId="2960" xr:uid="{00000000-0005-0000-0000-0000B4090000}"/>
    <cellStyle name="Comma 4 3 5 2 2 2" xfId="7182" xr:uid="{00000000-0005-0000-0000-0000B5090000}"/>
    <cellStyle name="Comma 4 3 5 2 2 2 2" xfId="19843" xr:uid="{69983017-BF7F-4383-A92B-E7205B23755D}"/>
    <cellStyle name="Comma 4 3 5 2 2 3" xfId="11414" xr:uid="{0747F4EA-1E50-4B63-A0B5-3365E5721E6C}"/>
    <cellStyle name="Comma 4 3 5 2 2 4" xfId="15625" xr:uid="{37E81DB3-C40C-4BBB-BD74-BE3321434C71}"/>
    <cellStyle name="Comma 4 3 5 2 3" xfId="5037" xr:uid="{00000000-0005-0000-0000-0000B6090000}"/>
    <cellStyle name="Comma 4 3 5 2 3 2" xfId="17698" xr:uid="{52A419FA-B3EE-4CDC-AC0F-AB6633687DB6}"/>
    <cellStyle name="Comma 4 3 5 2 4" xfId="9269" xr:uid="{5024F32A-2360-4EEF-A14C-82E988A272F1}"/>
    <cellStyle name="Comma 4 3 5 2 5" xfId="13480" xr:uid="{891EC18D-715E-4FF1-B971-0650B7043524}"/>
    <cellStyle name="Comma 4 3 5 3" xfId="1142" xr:uid="{00000000-0005-0000-0000-0000B7090000}"/>
    <cellStyle name="Comma 4 3 5 3 2" xfId="3373" xr:uid="{00000000-0005-0000-0000-0000B8090000}"/>
    <cellStyle name="Comma 4 3 5 3 2 2" xfId="7595" xr:uid="{00000000-0005-0000-0000-0000B9090000}"/>
    <cellStyle name="Comma 4 3 5 3 2 2 2" xfId="20256" xr:uid="{E24BD91A-1964-475B-BA21-2B0D38464592}"/>
    <cellStyle name="Comma 4 3 5 3 2 3" xfId="11827" xr:uid="{0BECE8E6-EBF4-4949-A7D0-EA2EF182671F}"/>
    <cellStyle name="Comma 4 3 5 3 2 4" xfId="16038" xr:uid="{EB3307E2-D9D6-4652-AFFC-9BE40E349BA7}"/>
    <cellStyle name="Comma 4 3 5 3 3" xfId="5450" xr:uid="{00000000-0005-0000-0000-0000BA090000}"/>
    <cellStyle name="Comma 4 3 5 3 3 2" xfId="18111" xr:uid="{67C0CCB8-05D2-4FC5-BAF2-CC3AAF98CCE1}"/>
    <cellStyle name="Comma 4 3 5 3 4" xfId="9682" xr:uid="{67C24B33-8864-4C1B-9A87-204D46590541}"/>
    <cellStyle name="Comma 4 3 5 3 5" xfId="13893" xr:uid="{5B6FE98E-1D92-4EDC-8373-DAADF0853121}"/>
    <cellStyle name="Comma 4 3 5 4" xfId="1556" xr:uid="{00000000-0005-0000-0000-0000BB090000}"/>
    <cellStyle name="Comma 4 3 5 4 2" xfId="3786" xr:uid="{00000000-0005-0000-0000-0000BC090000}"/>
    <cellStyle name="Comma 4 3 5 4 2 2" xfId="8008" xr:uid="{00000000-0005-0000-0000-0000BD090000}"/>
    <cellStyle name="Comma 4 3 5 4 2 2 2" xfId="20669" xr:uid="{84F7FADD-1891-4B83-A7BA-528446BEC850}"/>
    <cellStyle name="Comma 4 3 5 4 2 3" xfId="12240" xr:uid="{1860D246-FD53-4FB4-AA6F-829CC4258C1A}"/>
    <cellStyle name="Comma 4 3 5 4 2 4" xfId="16451" xr:uid="{CD4FD68C-CEE1-435E-9BEB-D8549BAB365B}"/>
    <cellStyle name="Comma 4 3 5 4 3" xfId="5863" xr:uid="{00000000-0005-0000-0000-0000BE090000}"/>
    <cellStyle name="Comma 4 3 5 4 3 2" xfId="18524" xr:uid="{DA12C365-5EA6-42CE-8F45-F111684168CB}"/>
    <cellStyle name="Comma 4 3 5 4 4" xfId="10095" xr:uid="{6A6BEAC1-46E7-41EA-8CAA-A827E0513E11}"/>
    <cellStyle name="Comma 4 3 5 4 5" xfId="14306" xr:uid="{C7D127E2-C90D-40F9-B21A-CF323DCFFEA4}"/>
    <cellStyle name="Comma 4 3 5 5" xfId="1970" xr:uid="{00000000-0005-0000-0000-0000BF090000}"/>
    <cellStyle name="Comma 4 3 5 5 2" xfId="4199" xr:uid="{00000000-0005-0000-0000-0000C0090000}"/>
    <cellStyle name="Comma 4 3 5 5 2 2" xfId="8421" xr:uid="{00000000-0005-0000-0000-0000C1090000}"/>
    <cellStyle name="Comma 4 3 5 5 2 2 2" xfId="21082" xr:uid="{18BD05A9-DA6F-45E2-AD70-30807AEC4F9B}"/>
    <cellStyle name="Comma 4 3 5 5 2 3" xfId="12653" xr:uid="{EC8CBCBA-8F02-472E-B2E1-5AC3F05DB13E}"/>
    <cellStyle name="Comma 4 3 5 5 2 4" xfId="16864" xr:uid="{782578B5-3D65-44D9-84BF-734B3CB6CCFC}"/>
    <cellStyle name="Comma 4 3 5 5 3" xfId="6276" xr:uid="{00000000-0005-0000-0000-0000C2090000}"/>
    <cellStyle name="Comma 4 3 5 5 3 2" xfId="18937" xr:uid="{6EF4C102-70D9-4D7A-9550-BD8F044AB2B1}"/>
    <cellStyle name="Comma 4 3 5 5 4" xfId="10508" xr:uid="{2E983694-B386-4EFF-8750-5D4A28A9DEEB}"/>
    <cellStyle name="Comma 4 3 5 5 5" xfId="14719" xr:uid="{5A3DEDB1-864E-45A6-94F4-EC7D9238535B}"/>
    <cellStyle name="Comma 4 3 5 6" xfId="2405" xr:uid="{00000000-0005-0000-0000-0000C3090000}"/>
    <cellStyle name="Comma 4 3 5 6 2" xfId="6689" xr:uid="{00000000-0005-0000-0000-0000C4090000}"/>
    <cellStyle name="Comma 4 3 5 6 2 2" xfId="19350" xr:uid="{42F368F7-356A-4D80-B79E-EB70B50BD092}"/>
    <cellStyle name="Comma 4 3 5 6 3" xfId="10921" xr:uid="{88910FCC-1507-409C-B2AF-F44F84984199}"/>
    <cellStyle name="Comma 4 3 5 6 4" xfId="15132" xr:uid="{F402B456-981F-4F04-ACB4-2C69B69E14C7}"/>
    <cellStyle name="Comma 4 3 5 7" xfId="2701" xr:uid="{00000000-0005-0000-0000-0000C5090000}"/>
    <cellStyle name="Comma 4 3 5 8" xfId="2783" xr:uid="{00000000-0005-0000-0000-0000C6090000}"/>
    <cellStyle name="Comma 4 3 5 8 2" xfId="7006" xr:uid="{00000000-0005-0000-0000-0000C7090000}"/>
    <cellStyle name="Comma 4 3 5 8 2 2" xfId="19667" xr:uid="{11031359-6EF1-48AF-A9E6-C3BD9F01F007}"/>
    <cellStyle name="Comma 4 3 5 8 3" xfId="11238" xr:uid="{3EFE79A8-156F-4D14-A9E5-D56F5F918EA4}"/>
    <cellStyle name="Comma 4 3 5 8 4" xfId="15449" xr:uid="{7BECE862-EB6D-4DC8-8202-2E398B30AA8F}"/>
    <cellStyle name="Comma 4 3 5 9" xfId="4623" xr:uid="{00000000-0005-0000-0000-0000C8090000}"/>
    <cellStyle name="Comma 4 3 5 9 2" xfId="17284" xr:uid="{6CA68688-3A78-4E54-A243-A99FF15C42E6}"/>
    <cellStyle name="Comma 4 4" xfId="153" xr:uid="{00000000-0005-0000-0000-0000C9090000}"/>
    <cellStyle name="Comma 4 4 10" xfId="2784" xr:uid="{00000000-0005-0000-0000-0000CA090000}"/>
    <cellStyle name="Comma 4 4 10 2" xfId="7007" xr:uid="{00000000-0005-0000-0000-0000CB090000}"/>
    <cellStyle name="Comma 4 4 10 2 2" xfId="19668" xr:uid="{93EFCF4F-0686-40A7-B1C1-4F9B3E6E5B5B}"/>
    <cellStyle name="Comma 4 4 10 3" xfId="11239" xr:uid="{7FEBE055-2AFF-4778-BB21-711167A78177}"/>
    <cellStyle name="Comma 4 4 10 4" xfId="15450" xr:uid="{3749DA5B-D805-41F5-8B1B-EC773FFCCCE7}"/>
    <cellStyle name="Comma 4 4 11" xfId="4624" xr:uid="{00000000-0005-0000-0000-0000CC090000}"/>
    <cellStyle name="Comma 4 4 11 2" xfId="17285" xr:uid="{ACD13DB4-31B0-4250-B0E3-6E5B60892931}"/>
    <cellStyle name="Comma 4 4 12" xfId="8856" xr:uid="{C91C5AD2-9B71-4E44-B2E1-6DA5A1FC47A7}"/>
    <cellStyle name="Comma 4 4 13" xfId="13067" xr:uid="{E8C3D109-1696-4F27-A1F6-BDC0F05B1E31}"/>
    <cellStyle name="Comma 4 4 2" xfId="154" xr:uid="{00000000-0005-0000-0000-0000CD090000}"/>
    <cellStyle name="Comma 4 4 2 10" xfId="4625" xr:uid="{00000000-0005-0000-0000-0000CE090000}"/>
    <cellStyle name="Comma 4 4 2 10 2" xfId="17286" xr:uid="{45B3AF7D-B780-4913-BCC8-726AA7DCAADC}"/>
    <cellStyle name="Comma 4 4 2 11" xfId="8857" xr:uid="{B832E3E6-9E9F-4F04-A3E1-89DDC72FDB40}"/>
    <cellStyle name="Comma 4 4 2 12" xfId="13068" xr:uid="{6E29EA3A-96CD-4A39-AD65-47D87BB38676}"/>
    <cellStyle name="Comma 4 4 2 2" xfId="155" xr:uid="{00000000-0005-0000-0000-0000CF090000}"/>
    <cellStyle name="Comma 4 4 2 2 10" xfId="8858" xr:uid="{96C9F3E3-4C25-4A21-82D9-13CF3F1E64F9}"/>
    <cellStyle name="Comma 4 4 2 2 11" xfId="13069" xr:uid="{DFAECDCB-61FD-40A1-8A48-0D12C1C23637}"/>
    <cellStyle name="Comma 4 4 2 2 2" xfId="692" xr:uid="{00000000-0005-0000-0000-0000D0090000}"/>
    <cellStyle name="Comma 4 4 2 2 2 2" xfId="2963" xr:uid="{00000000-0005-0000-0000-0000D1090000}"/>
    <cellStyle name="Comma 4 4 2 2 2 2 2" xfId="7185" xr:uid="{00000000-0005-0000-0000-0000D2090000}"/>
    <cellStyle name="Comma 4 4 2 2 2 2 2 2" xfId="19846" xr:uid="{0BF5C9D9-6ED4-4531-BF68-9BC3A5F9FDE4}"/>
    <cellStyle name="Comma 4 4 2 2 2 2 3" xfId="11417" xr:uid="{F8A46FC7-DB94-41CE-A956-B629DC6BF9F1}"/>
    <cellStyle name="Comma 4 4 2 2 2 2 4" xfId="15628" xr:uid="{E32FEB06-B42F-48FE-8104-B600B4CC8A7F}"/>
    <cellStyle name="Comma 4 4 2 2 2 3" xfId="5040" xr:uid="{00000000-0005-0000-0000-0000D3090000}"/>
    <cellStyle name="Comma 4 4 2 2 2 3 2" xfId="17701" xr:uid="{4B87B98A-F73B-47EF-B278-7D7F8AB1337A}"/>
    <cellStyle name="Comma 4 4 2 2 2 4" xfId="9272" xr:uid="{5FC3FEBA-48CC-4B47-805C-73AC84477D0B}"/>
    <cellStyle name="Comma 4 4 2 2 2 5" xfId="13483" xr:uid="{3295BF86-29A3-4972-9A16-683D05FD1790}"/>
    <cellStyle name="Comma 4 4 2 2 3" xfId="1145" xr:uid="{00000000-0005-0000-0000-0000D4090000}"/>
    <cellStyle name="Comma 4 4 2 2 3 2" xfId="3376" xr:uid="{00000000-0005-0000-0000-0000D5090000}"/>
    <cellStyle name="Comma 4 4 2 2 3 2 2" xfId="7598" xr:uid="{00000000-0005-0000-0000-0000D6090000}"/>
    <cellStyle name="Comma 4 4 2 2 3 2 2 2" xfId="20259" xr:uid="{15819E63-45B0-4B87-AB30-40BEC1C5668A}"/>
    <cellStyle name="Comma 4 4 2 2 3 2 3" xfId="11830" xr:uid="{F11066EE-01E6-45BB-9BFD-227B9A226792}"/>
    <cellStyle name="Comma 4 4 2 2 3 2 4" xfId="16041" xr:uid="{04C396EE-1ECE-487B-911E-6EE9662086C6}"/>
    <cellStyle name="Comma 4 4 2 2 3 3" xfId="5453" xr:uid="{00000000-0005-0000-0000-0000D7090000}"/>
    <cellStyle name="Comma 4 4 2 2 3 3 2" xfId="18114" xr:uid="{32893ACA-CE37-424B-9BAA-9128F84F1680}"/>
    <cellStyle name="Comma 4 4 2 2 3 4" xfId="9685" xr:uid="{6E44FBA1-9EF7-4521-AA97-573D21F2A4BA}"/>
    <cellStyle name="Comma 4 4 2 2 3 5" xfId="13896" xr:uid="{D29300F3-AD2F-4C74-9D81-08AE527667A0}"/>
    <cellStyle name="Comma 4 4 2 2 4" xfId="1559" xr:uid="{00000000-0005-0000-0000-0000D8090000}"/>
    <cellStyle name="Comma 4 4 2 2 4 2" xfId="3789" xr:uid="{00000000-0005-0000-0000-0000D9090000}"/>
    <cellStyle name="Comma 4 4 2 2 4 2 2" xfId="8011" xr:uid="{00000000-0005-0000-0000-0000DA090000}"/>
    <cellStyle name="Comma 4 4 2 2 4 2 2 2" xfId="20672" xr:uid="{4EA66AE3-ACCE-4DDB-8909-FA72272E2E7F}"/>
    <cellStyle name="Comma 4 4 2 2 4 2 3" xfId="12243" xr:uid="{366C5CED-7AE3-48D5-95B9-F5D94271BBD5}"/>
    <cellStyle name="Comma 4 4 2 2 4 2 4" xfId="16454" xr:uid="{EEBAE5F5-05A1-4BC2-BEAF-DBEDC81D2CA4}"/>
    <cellStyle name="Comma 4 4 2 2 4 3" xfId="5866" xr:uid="{00000000-0005-0000-0000-0000DB090000}"/>
    <cellStyle name="Comma 4 4 2 2 4 3 2" xfId="18527" xr:uid="{DAA062C4-2445-44D0-8E9C-887762F62DF1}"/>
    <cellStyle name="Comma 4 4 2 2 4 4" xfId="10098" xr:uid="{0DE50ABF-888F-40A4-B5AD-A95938777929}"/>
    <cellStyle name="Comma 4 4 2 2 4 5" xfId="14309" xr:uid="{0123D240-4306-41EA-B662-2E7317A223FA}"/>
    <cellStyle name="Comma 4 4 2 2 5" xfId="1973" xr:uid="{00000000-0005-0000-0000-0000DC090000}"/>
    <cellStyle name="Comma 4 4 2 2 5 2" xfId="4202" xr:uid="{00000000-0005-0000-0000-0000DD090000}"/>
    <cellStyle name="Comma 4 4 2 2 5 2 2" xfId="8424" xr:uid="{00000000-0005-0000-0000-0000DE090000}"/>
    <cellStyle name="Comma 4 4 2 2 5 2 2 2" xfId="21085" xr:uid="{4154085C-0087-4294-B37F-3606EB61EB42}"/>
    <cellStyle name="Comma 4 4 2 2 5 2 3" xfId="12656" xr:uid="{10846A63-5630-43D5-B530-C1D363FB5CB0}"/>
    <cellStyle name="Comma 4 4 2 2 5 2 4" xfId="16867" xr:uid="{C18BA34F-ECC4-4CC0-8231-13693DE41D43}"/>
    <cellStyle name="Comma 4 4 2 2 5 3" xfId="6279" xr:uid="{00000000-0005-0000-0000-0000DF090000}"/>
    <cellStyle name="Comma 4 4 2 2 5 3 2" xfId="18940" xr:uid="{427C2EA8-ACBF-437D-8BA0-7B92249FFEB7}"/>
    <cellStyle name="Comma 4 4 2 2 5 4" xfId="10511" xr:uid="{50825D97-7763-44C4-9554-CFEB6F714B17}"/>
    <cellStyle name="Comma 4 4 2 2 5 5" xfId="14722" xr:uid="{7A1BB116-817A-46C0-B877-735B65DF2A04}"/>
    <cellStyle name="Comma 4 4 2 2 6" xfId="2408" xr:uid="{00000000-0005-0000-0000-0000E0090000}"/>
    <cellStyle name="Comma 4 4 2 2 6 2" xfId="6692" xr:uid="{00000000-0005-0000-0000-0000E1090000}"/>
    <cellStyle name="Comma 4 4 2 2 6 2 2" xfId="19353" xr:uid="{56FC7F5E-D972-4487-8B29-9AB6BA4CD36C}"/>
    <cellStyle name="Comma 4 4 2 2 6 3" xfId="10924" xr:uid="{BD13F064-DBED-44B0-A218-030F7FF6E088}"/>
    <cellStyle name="Comma 4 4 2 2 6 4" xfId="15135" xr:uid="{B3455C38-4FAA-4574-B027-28726501D3E7}"/>
    <cellStyle name="Comma 4 4 2 2 7" xfId="2704" xr:uid="{00000000-0005-0000-0000-0000E2090000}"/>
    <cellStyle name="Comma 4 4 2 2 8" xfId="2786" xr:uid="{00000000-0005-0000-0000-0000E3090000}"/>
    <cellStyle name="Comma 4 4 2 2 8 2" xfId="7009" xr:uid="{00000000-0005-0000-0000-0000E4090000}"/>
    <cellStyle name="Comma 4 4 2 2 8 2 2" xfId="19670" xr:uid="{753956EB-C6C2-4DFB-9EB2-B2BBE6EF24A5}"/>
    <cellStyle name="Comma 4 4 2 2 8 3" xfId="11241" xr:uid="{0D802E0B-100D-49E1-97E0-361D8F6E55C1}"/>
    <cellStyle name="Comma 4 4 2 2 8 4" xfId="15452" xr:uid="{CEB8AE7E-885E-4E1A-9F23-22C260C0E4F8}"/>
    <cellStyle name="Comma 4 4 2 2 9" xfId="4626" xr:uid="{00000000-0005-0000-0000-0000E5090000}"/>
    <cellStyle name="Comma 4 4 2 2 9 2" xfId="17287" xr:uid="{2713C0BF-50AC-4568-9103-DCEF926B4A5F}"/>
    <cellStyle name="Comma 4 4 2 3" xfId="691" xr:uid="{00000000-0005-0000-0000-0000E6090000}"/>
    <cellStyle name="Comma 4 4 2 3 2" xfId="2962" xr:uid="{00000000-0005-0000-0000-0000E7090000}"/>
    <cellStyle name="Comma 4 4 2 3 2 2" xfId="7184" xr:uid="{00000000-0005-0000-0000-0000E8090000}"/>
    <cellStyle name="Comma 4 4 2 3 2 2 2" xfId="19845" xr:uid="{280B8E77-F619-4D9D-B35D-BE8F342F6EF9}"/>
    <cellStyle name="Comma 4 4 2 3 2 3" xfId="11416" xr:uid="{C1FAAA2E-4AE0-4E4D-A0FC-66A952F5BD1A}"/>
    <cellStyle name="Comma 4 4 2 3 2 4" xfId="15627" xr:uid="{5884E261-DD88-434C-9284-641C6C98DD50}"/>
    <cellStyle name="Comma 4 4 2 3 3" xfId="5039" xr:uid="{00000000-0005-0000-0000-0000E9090000}"/>
    <cellStyle name="Comma 4 4 2 3 3 2" xfId="17700" xr:uid="{2D5077D7-6609-45D6-BA3C-8715355B07B4}"/>
    <cellStyle name="Comma 4 4 2 3 4" xfId="9271" xr:uid="{E21EEF1A-1456-41A6-A4C0-C288584953FD}"/>
    <cellStyle name="Comma 4 4 2 3 5" xfId="13482" xr:uid="{A05CE2E5-848C-4AE3-8564-3DC6EA101640}"/>
    <cellStyle name="Comma 4 4 2 4" xfId="1144" xr:uid="{00000000-0005-0000-0000-0000EA090000}"/>
    <cellStyle name="Comma 4 4 2 4 2" xfId="3375" xr:uid="{00000000-0005-0000-0000-0000EB090000}"/>
    <cellStyle name="Comma 4 4 2 4 2 2" xfId="7597" xr:uid="{00000000-0005-0000-0000-0000EC090000}"/>
    <cellStyle name="Comma 4 4 2 4 2 2 2" xfId="20258" xr:uid="{867ECE47-B370-4BA1-838A-813EE149DEC7}"/>
    <cellStyle name="Comma 4 4 2 4 2 3" xfId="11829" xr:uid="{E0ADAC48-71BF-441E-AE7D-A1F2D4C66F3B}"/>
    <cellStyle name="Comma 4 4 2 4 2 4" xfId="16040" xr:uid="{B0BC51EA-0C9B-4414-AABC-27E65623F81F}"/>
    <cellStyle name="Comma 4 4 2 4 3" xfId="5452" xr:uid="{00000000-0005-0000-0000-0000ED090000}"/>
    <cellStyle name="Comma 4 4 2 4 3 2" xfId="18113" xr:uid="{2B1CBE7C-0C56-43C0-BC18-C3E1F6F6C1A3}"/>
    <cellStyle name="Comma 4 4 2 4 4" xfId="9684" xr:uid="{B4F6FDAF-6976-4D63-AFC4-48FF703BE0B4}"/>
    <cellStyle name="Comma 4 4 2 4 5" xfId="13895" xr:uid="{D5CB41CF-8779-4AA8-AA71-CB46D9CE0911}"/>
    <cellStyle name="Comma 4 4 2 5" xfId="1558" xr:uid="{00000000-0005-0000-0000-0000EE090000}"/>
    <cellStyle name="Comma 4 4 2 5 2" xfId="3788" xr:uid="{00000000-0005-0000-0000-0000EF090000}"/>
    <cellStyle name="Comma 4 4 2 5 2 2" xfId="8010" xr:uid="{00000000-0005-0000-0000-0000F0090000}"/>
    <cellStyle name="Comma 4 4 2 5 2 2 2" xfId="20671" xr:uid="{E1E2CC35-CD86-443A-A510-3FE9DCD34B63}"/>
    <cellStyle name="Comma 4 4 2 5 2 3" xfId="12242" xr:uid="{1E853004-2C72-4F09-80F2-BA63E08E9B6E}"/>
    <cellStyle name="Comma 4 4 2 5 2 4" xfId="16453" xr:uid="{8CBBE303-A311-43D8-BA9C-73B506EB5668}"/>
    <cellStyle name="Comma 4 4 2 5 3" xfId="5865" xr:uid="{00000000-0005-0000-0000-0000F1090000}"/>
    <cellStyle name="Comma 4 4 2 5 3 2" xfId="18526" xr:uid="{6E92D135-C9E7-4F8B-9693-D9194AD4F110}"/>
    <cellStyle name="Comma 4 4 2 5 4" xfId="10097" xr:uid="{31FBF6DC-717C-49ED-B2C3-92C027164907}"/>
    <cellStyle name="Comma 4 4 2 5 5" xfId="14308" xr:uid="{B6F1050E-88BF-4AA5-8A55-D1B12189FAD8}"/>
    <cellStyle name="Comma 4 4 2 6" xfId="1972" xr:uid="{00000000-0005-0000-0000-0000F2090000}"/>
    <cellStyle name="Comma 4 4 2 6 2" xfId="4201" xr:uid="{00000000-0005-0000-0000-0000F3090000}"/>
    <cellStyle name="Comma 4 4 2 6 2 2" xfId="8423" xr:uid="{00000000-0005-0000-0000-0000F4090000}"/>
    <cellStyle name="Comma 4 4 2 6 2 2 2" xfId="21084" xr:uid="{71262087-BDD9-4577-B464-6AD4644F4E09}"/>
    <cellStyle name="Comma 4 4 2 6 2 3" xfId="12655" xr:uid="{1516F3E5-9872-480E-BB01-D869C501EBB3}"/>
    <cellStyle name="Comma 4 4 2 6 2 4" xfId="16866" xr:uid="{29954459-C2DA-4C30-903A-C8AF88007DD6}"/>
    <cellStyle name="Comma 4 4 2 6 3" xfId="6278" xr:uid="{00000000-0005-0000-0000-0000F5090000}"/>
    <cellStyle name="Comma 4 4 2 6 3 2" xfId="18939" xr:uid="{DF1ED20D-18BF-4312-B0DC-5AA2E4369DC8}"/>
    <cellStyle name="Comma 4 4 2 6 4" xfId="10510" xr:uid="{DDD0B2D9-392B-4013-88E4-FE3233B9DE28}"/>
    <cellStyle name="Comma 4 4 2 6 5" xfId="14721" xr:uid="{B80E55E8-243D-4100-9058-FB1D870427EA}"/>
    <cellStyle name="Comma 4 4 2 7" xfId="2407" xr:uid="{00000000-0005-0000-0000-0000F6090000}"/>
    <cellStyle name="Comma 4 4 2 7 2" xfId="6691" xr:uid="{00000000-0005-0000-0000-0000F7090000}"/>
    <cellStyle name="Comma 4 4 2 7 2 2" xfId="19352" xr:uid="{44486B68-701C-4F3B-B350-E3D3867DF125}"/>
    <cellStyle name="Comma 4 4 2 7 3" xfId="10923" xr:uid="{8821EC71-64D3-4B93-9901-85CFBEBF01A8}"/>
    <cellStyle name="Comma 4 4 2 7 4" xfId="15134" xr:uid="{243997AA-4CFF-47EA-ACDF-2AA8F2C0B1B6}"/>
    <cellStyle name="Comma 4 4 2 8" xfId="2703" xr:uid="{00000000-0005-0000-0000-0000F8090000}"/>
    <cellStyle name="Comma 4 4 2 9" xfId="2785" xr:uid="{00000000-0005-0000-0000-0000F9090000}"/>
    <cellStyle name="Comma 4 4 2 9 2" xfId="7008" xr:uid="{00000000-0005-0000-0000-0000FA090000}"/>
    <cellStyle name="Comma 4 4 2 9 2 2" xfId="19669" xr:uid="{4A407F9A-A00F-4287-9D66-2E1CCF98DDB5}"/>
    <cellStyle name="Comma 4 4 2 9 3" xfId="11240" xr:uid="{B4F30C20-40FD-4B8D-835D-7A812B70D965}"/>
    <cellStyle name="Comma 4 4 2 9 4" xfId="15451" xr:uid="{F464341F-6FDE-4914-8BD9-29F6F6D1C205}"/>
    <cellStyle name="Comma 4 4 3" xfId="156" xr:uid="{00000000-0005-0000-0000-0000FB090000}"/>
    <cellStyle name="Comma 4 4 3 10" xfId="8859" xr:uid="{F01A15C1-DB11-4E81-9857-6D72CC2F5908}"/>
    <cellStyle name="Comma 4 4 3 11" xfId="13070" xr:uid="{DF12AA5F-A614-42C3-A2CD-BDAD48199105}"/>
    <cellStyle name="Comma 4 4 3 2" xfId="693" xr:uid="{00000000-0005-0000-0000-0000FC090000}"/>
    <cellStyle name="Comma 4 4 3 2 2" xfId="2964" xr:uid="{00000000-0005-0000-0000-0000FD090000}"/>
    <cellStyle name="Comma 4 4 3 2 2 2" xfId="7186" xr:uid="{00000000-0005-0000-0000-0000FE090000}"/>
    <cellStyle name="Comma 4 4 3 2 2 2 2" xfId="19847" xr:uid="{9825CA83-1DAE-45F0-91A0-8F4A2A1E5E33}"/>
    <cellStyle name="Comma 4 4 3 2 2 3" xfId="11418" xr:uid="{C16AA61B-2DD1-4BBF-B072-961DFBC5A0A7}"/>
    <cellStyle name="Comma 4 4 3 2 2 4" xfId="15629" xr:uid="{C7A01228-AF0F-4D13-AF7B-5DE128619D8F}"/>
    <cellStyle name="Comma 4 4 3 2 3" xfId="5041" xr:uid="{00000000-0005-0000-0000-0000FF090000}"/>
    <cellStyle name="Comma 4 4 3 2 3 2" xfId="17702" xr:uid="{C74EDB5C-0244-466F-BE56-95A85DFD619E}"/>
    <cellStyle name="Comma 4 4 3 2 4" xfId="9273" xr:uid="{A5777FE3-75E1-4151-99CF-9B3BC2E2762E}"/>
    <cellStyle name="Comma 4 4 3 2 5" xfId="13484" xr:uid="{0A4FB3AF-ABE8-41F0-BFF2-741DE5B1EECE}"/>
    <cellStyle name="Comma 4 4 3 3" xfId="1146" xr:uid="{00000000-0005-0000-0000-0000000A0000}"/>
    <cellStyle name="Comma 4 4 3 3 2" xfId="3377" xr:uid="{00000000-0005-0000-0000-0000010A0000}"/>
    <cellStyle name="Comma 4 4 3 3 2 2" xfId="7599" xr:uid="{00000000-0005-0000-0000-0000020A0000}"/>
    <cellStyle name="Comma 4 4 3 3 2 2 2" xfId="20260" xr:uid="{49CB1872-B43F-451A-959E-F4A2EC1AD03B}"/>
    <cellStyle name="Comma 4 4 3 3 2 3" xfId="11831" xr:uid="{61B50EDE-8773-428E-81BA-E0A5C46E4720}"/>
    <cellStyle name="Comma 4 4 3 3 2 4" xfId="16042" xr:uid="{44C7B2E5-774B-43EE-ADB0-57D2E2C2B574}"/>
    <cellStyle name="Comma 4 4 3 3 3" xfId="5454" xr:uid="{00000000-0005-0000-0000-0000030A0000}"/>
    <cellStyle name="Comma 4 4 3 3 3 2" xfId="18115" xr:uid="{C252B5C1-B3E2-408D-84C4-62F15C88D47D}"/>
    <cellStyle name="Comma 4 4 3 3 4" xfId="9686" xr:uid="{22F080C2-2062-403F-9138-61298E534016}"/>
    <cellStyle name="Comma 4 4 3 3 5" xfId="13897" xr:uid="{B72F4FBC-57FB-4923-A4CA-E54DD507FBC8}"/>
    <cellStyle name="Comma 4 4 3 4" xfId="1560" xr:uid="{00000000-0005-0000-0000-0000040A0000}"/>
    <cellStyle name="Comma 4 4 3 4 2" xfId="3790" xr:uid="{00000000-0005-0000-0000-0000050A0000}"/>
    <cellStyle name="Comma 4 4 3 4 2 2" xfId="8012" xr:uid="{00000000-0005-0000-0000-0000060A0000}"/>
    <cellStyle name="Comma 4 4 3 4 2 2 2" xfId="20673" xr:uid="{ED6364ED-E01C-4E47-B517-F13936C46B9E}"/>
    <cellStyle name="Comma 4 4 3 4 2 3" xfId="12244" xr:uid="{495991E1-F204-4574-8673-E1800D8E2953}"/>
    <cellStyle name="Comma 4 4 3 4 2 4" xfId="16455" xr:uid="{CC8618B5-5BA7-4398-9089-07EE88684D74}"/>
    <cellStyle name="Comma 4 4 3 4 3" xfId="5867" xr:uid="{00000000-0005-0000-0000-0000070A0000}"/>
    <cellStyle name="Comma 4 4 3 4 3 2" xfId="18528" xr:uid="{71EA2C12-DDC4-4A40-BD26-B913144F65E7}"/>
    <cellStyle name="Comma 4 4 3 4 4" xfId="10099" xr:uid="{E91BEA02-5F9D-40B9-9B2E-CACF7A5A3343}"/>
    <cellStyle name="Comma 4 4 3 4 5" xfId="14310" xr:uid="{0AF46A79-57D1-4CDB-8567-ADA501CFA99F}"/>
    <cellStyle name="Comma 4 4 3 5" xfId="1974" xr:uid="{00000000-0005-0000-0000-0000080A0000}"/>
    <cellStyle name="Comma 4 4 3 5 2" xfId="4203" xr:uid="{00000000-0005-0000-0000-0000090A0000}"/>
    <cellStyle name="Comma 4 4 3 5 2 2" xfId="8425" xr:uid="{00000000-0005-0000-0000-00000A0A0000}"/>
    <cellStyle name="Comma 4 4 3 5 2 2 2" xfId="21086" xr:uid="{2B67E528-883F-4F63-96D2-6966193C7A61}"/>
    <cellStyle name="Comma 4 4 3 5 2 3" xfId="12657" xr:uid="{40D2E1FB-8539-417B-B92F-B97C36A67BA4}"/>
    <cellStyle name="Comma 4 4 3 5 2 4" xfId="16868" xr:uid="{4EF18F9B-9E4F-48BD-A720-B4192A784BB7}"/>
    <cellStyle name="Comma 4 4 3 5 3" xfId="6280" xr:uid="{00000000-0005-0000-0000-00000B0A0000}"/>
    <cellStyle name="Comma 4 4 3 5 3 2" xfId="18941" xr:uid="{848CD0A1-E30F-4BB7-A471-DFEA66692239}"/>
    <cellStyle name="Comma 4 4 3 5 4" xfId="10512" xr:uid="{A5331390-D09A-4FEE-85BC-5FC2C25CEFCD}"/>
    <cellStyle name="Comma 4 4 3 5 5" xfId="14723" xr:uid="{DECC9375-1818-48A9-89C2-1F7CC49637BE}"/>
    <cellStyle name="Comma 4 4 3 6" xfId="2409" xr:uid="{00000000-0005-0000-0000-00000C0A0000}"/>
    <cellStyle name="Comma 4 4 3 6 2" xfId="6693" xr:uid="{00000000-0005-0000-0000-00000D0A0000}"/>
    <cellStyle name="Comma 4 4 3 6 2 2" xfId="19354" xr:uid="{62EFB5CE-71DC-4A60-B6BE-9A7CCDD18051}"/>
    <cellStyle name="Comma 4 4 3 6 3" xfId="10925" xr:uid="{4FABE76D-3170-46E3-803A-B42FB242EB2B}"/>
    <cellStyle name="Comma 4 4 3 6 4" xfId="15136" xr:uid="{E6C74C37-1C34-47A4-B384-17133C1F7166}"/>
    <cellStyle name="Comma 4 4 3 7" xfId="2705" xr:uid="{00000000-0005-0000-0000-00000E0A0000}"/>
    <cellStyle name="Comma 4 4 3 8" xfId="2787" xr:uid="{00000000-0005-0000-0000-00000F0A0000}"/>
    <cellStyle name="Comma 4 4 3 8 2" xfId="7010" xr:uid="{00000000-0005-0000-0000-0000100A0000}"/>
    <cellStyle name="Comma 4 4 3 8 2 2" xfId="19671" xr:uid="{435400F4-E6F6-4601-94F8-66DD145A4A05}"/>
    <cellStyle name="Comma 4 4 3 8 3" xfId="11242" xr:uid="{B6C22290-C11A-4982-B47F-266A744C5817}"/>
    <cellStyle name="Comma 4 4 3 8 4" xfId="15453" xr:uid="{86CD9BDC-803B-48E8-B0D1-39030AC2178C}"/>
    <cellStyle name="Comma 4 4 3 9" xfId="4627" xr:uid="{00000000-0005-0000-0000-0000110A0000}"/>
    <cellStyle name="Comma 4 4 3 9 2" xfId="17288" xr:uid="{C3CDAA34-6891-4A7F-892D-EED769D206BE}"/>
    <cellStyle name="Comma 4 4 4" xfId="690" xr:uid="{00000000-0005-0000-0000-0000120A0000}"/>
    <cellStyle name="Comma 4 4 4 2" xfId="2961" xr:uid="{00000000-0005-0000-0000-0000130A0000}"/>
    <cellStyle name="Comma 4 4 4 2 2" xfId="7183" xr:uid="{00000000-0005-0000-0000-0000140A0000}"/>
    <cellStyle name="Comma 4 4 4 2 2 2" xfId="19844" xr:uid="{9F9F58B2-F5D4-4530-AA03-2895E72801EC}"/>
    <cellStyle name="Comma 4 4 4 2 3" xfId="11415" xr:uid="{5A26F983-26E7-43F9-A868-170A38CE67F7}"/>
    <cellStyle name="Comma 4 4 4 2 4" xfId="15626" xr:uid="{B39A2458-71C0-4BB0-B6D3-33613D9C0F16}"/>
    <cellStyle name="Comma 4 4 4 3" xfId="5038" xr:uid="{00000000-0005-0000-0000-0000150A0000}"/>
    <cellStyle name="Comma 4 4 4 3 2" xfId="17699" xr:uid="{B3697339-4FF7-451D-94ED-873CA62AFE26}"/>
    <cellStyle name="Comma 4 4 4 4" xfId="9270" xr:uid="{F644B107-48F6-4027-BB0A-8B0D886783AE}"/>
    <cellStyle name="Comma 4 4 4 5" xfId="13481" xr:uid="{066CB865-3A2D-4C3F-9B3B-2999CAE16E6B}"/>
    <cellStyle name="Comma 4 4 5" xfId="1143" xr:uid="{00000000-0005-0000-0000-0000160A0000}"/>
    <cellStyle name="Comma 4 4 5 2" xfId="3374" xr:uid="{00000000-0005-0000-0000-0000170A0000}"/>
    <cellStyle name="Comma 4 4 5 2 2" xfId="7596" xr:uid="{00000000-0005-0000-0000-0000180A0000}"/>
    <cellStyle name="Comma 4 4 5 2 2 2" xfId="20257" xr:uid="{3C04F865-FB15-4EA9-A6E0-6D4C9F04E19E}"/>
    <cellStyle name="Comma 4 4 5 2 3" xfId="11828" xr:uid="{41E7FB3E-161F-4F3C-BA38-47756A459922}"/>
    <cellStyle name="Comma 4 4 5 2 4" xfId="16039" xr:uid="{C9EB16CF-9089-406F-B6B3-C70E39313EF7}"/>
    <cellStyle name="Comma 4 4 5 3" xfId="5451" xr:uid="{00000000-0005-0000-0000-0000190A0000}"/>
    <cellStyle name="Comma 4 4 5 3 2" xfId="18112" xr:uid="{0D6F34AA-C130-4B4B-895C-17C0017BB8BB}"/>
    <cellStyle name="Comma 4 4 5 4" xfId="9683" xr:uid="{14F7D500-B129-4D00-AA0D-7C3AB60F44D2}"/>
    <cellStyle name="Comma 4 4 5 5" xfId="13894" xr:uid="{E7AB6D63-63E5-4F68-9B96-B94497FCF77D}"/>
    <cellStyle name="Comma 4 4 6" xfId="1557" xr:uid="{00000000-0005-0000-0000-00001A0A0000}"/>
    <cellStyle name="Comma 4 4 6 2" xfId="3787" xr:uid="{00000000-0005-0000-0000-00001B0A0000}"/>
    <cellStyle name="Comma 4 4 6 2 2" xfId="8009" xr:uid="{00000000-0005-0000-0000-00001C0A0000}"/>
    <cellStyle name="Comma 4 4 6 2 2 2" xfId="20670" xr:uid="{3ACF24E3-B1B3-4E0D-9C08-21CC0858CBA9}"/>
    <cellStyle name="Comma 4 4 6 2 3" xfId="12241" xr:uid="{C803AE00-44E8-4C85-98B1-153AE282B0BC}"/>
    <cellStyle name="Comma 4 4 6 2 4" xfId="16452" xr:uid="{0F420D38-822F-4495-9E83-3724D1684293}"/>
    <cellStyle name="Comma 4 4 6 3" xfId="5864" xr:uid="{00000000-0005-0000-0000-00001D0A0000}"/>
    <cellStyle name="Comma 4 4 6 3 2" xfId="18525" xr:uid="{8C560E10-B539-4493-ABEA-7FC92B36A3E3}"/>
    <cellStyle name="Comma 4 4 6 4" xfId="10096" xr:uid="{60118A3E-015E-42A4-A86D-4BE9FD27530D}"/>
    <cellStyle name="Comma 4 4 6 5" xfId="14307" xr:uid="{B9C6DCD6-7FC3-430A-BB1A-859215AEB6AB}"/>
    <cellStyle name="Comma 4 4 7" xfId="1971" xr:uid="{00000000-0005-0000-0000-00001E0A0000}"/>
    <cellStyle name="Comma 4 4 7 2" xfId="4200" xr:uid="{00000000-0005-0000-0000-00001F0A0000}"/>
    <cellStyle name="Comma 4 4 7 2 2" xfId="8422" xr:uid="{00000000-0005-0000-0000-0000200A0000}"/>
    <cellStyle name="Comma 4 4 7 2 2 2" xfId="21083" xr:uid="{CC6BBEFB-46AA-46A6-A3F4-E2E8B3ED9202}"/>
    <cellStyle name="Comma 4 4 7 2 3" xfId="12654" xr:uid="{24947845-3231-4983-8FEF-6FD655E4310B}"/>
    <cellStyle name="Comma 4 4 7 2 4" xfId="16865" xr:uid="{AFADE04A-68F0-4C47-A2BE-F89F11B7AAC5}"/>
    <cellStyle name="Comma 4 4 7 3" xfId="6277" xr:uid="{00000000-0005-0000-0000-0000210A0000}"/>
    <cellStyle name="Comma 4 4 7 3 2" xfId="18938" xr:uid="{E290C3B7-4523-4211-8BC5-2683767A4997}"/>
    <cellStyle name="Comma 4 4 7 4" xfId="10509" xr:uid="{BD90D1DD-766D-40D5-8AED-6A834EDFBB4F}"/>
    <cellStyle name="Comma 4 4 7 5" xfId="14720" xr:uid="{35681195-330B-4084-A1F7-D0B9BF9153EF}"/>
    <cellStyle name="Comma 4 4 8" xfId="2406" xr:uid="{00000000-0005-0000-0000-0000220A0000}"/>
    <cellStyle name="Comma 4 4 8 2" xfId="6690" xr:uid="{00000000-0005-0000-0000-0000230A0000}"/>
    <cellStyle name="Comma 4 4 8 2 2" xfId="19351" xr:uid="{AD48856B-0656-428D-9A7E-01209D0BBAA3}"/>
    <cellStyle name="Comma 4 4 8 3" xfId="10922" xr:uid="{0D3B2D87-7E6B-4BF6-903E-5913A574170B}"/>
    <cellStyle name="Comma 4 4 8 4" xfId="15133" xr:uid="{9F28C630-1328-4B84-AEFF-373856063A05}"/>
    <cellStyle name="Comma 4 4 9" xfId="2702" xr:uid="{00000000-0005-0000-0000-0000240A0000}"/>
    <cellStyle name="Comma 4 5" xfId="157" xr:uid="{00000000-0005-0000-0000-0000250A0000}"/>
    <cellStyle name="Comma 4 5 10" xfId="4628" xr:uid="{00000000-0005-0000-0000-0000260A0000}"/>
    <cellStyle name="Comma 4 5 10 2" xfId="17289" xr:uid="{96DD972F-3065-4F1E-8A58-5FC5BADDA75A}"/>
    <cellStyle name="Comma 4 5 11" xfId="8860" xr:uid="{2D75F101-DE4E-4F4F-8C59-FB1B119DB253}"/>
    <cellStyle name="Comma 4 5 12" xfId="13071" xr:uid="{1335A2BC-B9B6-488B-BB7D-96A0F01F0A80}"/>
    <cellStyle name="Comma 4 5 2" xfId="158" xr:uid="{00000000-0005-0000-0000-0000270A0000}"/>
    <cellStyle name="Comma 4 5 2 10" xfId="8861" xr:uid="{EAF24A47-5159-43D6-B9F5-AF64C8C6B92F}"/>
    <cellStyle name="Comma 4 5 2 11" xfId="13072" xr:uid="{78B770A0-675C-486E-85E1-83F5A30AACB3}"/>
    <cellStyle name="Comma 4 5 2 2" xfId="695" xr:uid="{00000000-0005-0000-0000-0000280A0000}"/>
    <cellStyle name="Comma 4 5 2 2 2" xfId="2966" xr:uid="{00000000-0005-0000-0000-0000290A0000}"/>
    <cellStyle name="Comma 4 5 2 2 2 2" xfId="7188" xr:uid="{00000000-0005-0000-0000-00002A0A0000}"/>
    <cellStyle name="Comma 4 5 2 2 2 2 2" xfId="19849" xr:uid="{ECAA5251-1C59-4E6A-8981-03D97A78A68A}"/>
    <cellStyle name="Comma 4 5 2 2 2 3" xfId="11420" xr:uid="{72EFF31D-DA21-449F-A6FF-B7483952A697}"/>
    <cellStyle name="Comma 4 5 2 2 2 4" xfId="15631" xr:uid="{4A6CCA3A-EDBC-45A4-AAEF-BDC411DAE5CB}"/>
    <cellStyle name="Comma 4 5 2 2 3" xfId="5043" xr:uid="{00000000-0005-0000-0000-00002B0A0000}"/>
    <cellStyle name="Comma 4 5 2 2 3 2" xfId="17704" xr:uid="{EB670951-DE53-46F7-B02D-C088923DD156}"/>
    <cellStyle name="Comma 4 5 2 2 4" xfId="9275" xr:uid="{28419F9E-C710-456B-8F15-8375B9C3AB03}"/>
    <cellStyle name="Comma 4 5 2 2 5" xfId="13486" xr:uid="{96750EA2-1A36-48D3-9894-377F56A77C04}"/>
    <cellStyle name="Comma 4 5 2 3" xfId="1148" xr:uid="{00000000-0005-0000-0000-00002C0A0000}"/>
    <cellStyle name="Comma 4 5 2 3 2" xfId="3379" xr:uid="{00000000-0005-0000-0000-00002D0A0000}"/>
    <cellStyle name="Comma 4 5 2 3 2 2" xfId="7601" xr:uid="{00000000-0005-0000-0000-00002E0A0000}"/>
    <cellStyle name="Comma 4 5 2 3 2 2 2" xfId="20262" xr:uid="{0E8EB6DD-201F-4E82-B7D8-289A4152FB05}"/>
    <cellStyle name="Comma 4 5 2 3 2 3" xfId="11833" xr:uid="{4E0F5AD5-A0FC-43B5-923C-B5EBC0755C16}"/>
    <cellStyle name="Comma 4 5 2 3 2 4" xfId="16044" xr:uid="{CD711717-B412-456D-9CCF-80B5307E3A29}"/>
    <cellStyle name="Comma 4 5 2 3 3" xfId="5456" xr:uid="{00000000-0005-0000-0000-00002F0A0000}"/>
    <cellStyle name="Comma 4 5 2 3 3 2" xfId="18117" xr:uid="{6D42BB0E-522F-4379-B324-211CF63BEB7C}"/>
    <cellStyle name="Comma 4 5 2 3 4" xfId="9688" xr:uid="{51402728-5FA7-420F-B1BE-BC4385AE3E44}"/>
    <cellStyle name="Comma 4 5 2 3 5" xfId="13899" xr:uid="{4E6D92D3-9C65-45BB-94BF-F38A84D1597E}"/>
    <cellStyle name="Comma 4 5 2 4" xfId="1562" xr:uid="{00000000-0005-0000-0000-0000300A0000}"/>
    <cellStyle name="Comma 4 5 2 4 2" xfId="3792" xr:uid="{00000000-0005-0000-0000-0000310A0000}"/>
    <cellStyle name="Comma 4 5 2 4 2 2" xfId="8014" xr:uid="{00000000-0005-0000-0000-0000320A0000}"/>
    <cellStyle name="Comma 4 5 2 4 2 2 2" xfId="20675" xr:uid="{1BDF0A39-B075-4AD0-9D8B-6E2AA8AAB988}"/>
    <cellStyle name="Comma 4 5 2 4 2 3" xfId="12246" xr:uid="{945841BD-ECC8-4E77-ACBB-DAB086A5B033}"/>
    <cellStyle name="Comma 4 5 2 4 2 4" xfId="16457" xr:uid="{599974E5-F5B6-4344-9484-3C7604CF786F}"/>
    <cellStyle name="Comma 4 5 2 4 3" xfId="5869" xr:uid="{00000000-0005-0000-0000-0000330A0000}"/>
    <cellStyle name="Comma 4 5 2 4 3 2" xfId="18530" xr:uid="{637F6DE6-F891-460B-A321-3CDCD64ADE39}"/>
    <cellStyle name="Comma 4 5 2 4 4" xfId="10101" xr:uid="{32BB2534-6A58-49C9-859F-D90078A1CD9B}"/>
    <cellStyle name="Comma 4 5 2 4 5" xfId="14312" xr:uid="{F796EDC2-E782-45F0-AF0B-CF56E1B4B40E}"/>
    <cellStyle name="Comma 4 5 2 5" xfId="1976" xr:uid="{00000000-0005-0000-0000-0000340A0000}"/>
    <cellStyle name="Comma 4 5 2 5 2" xfId="4205" xr:uid="{00000000-0005-0000-0000-0000350A0000}"/>
    <cellStyle name="Comma 4 5 2 5 2 2" xfId="8427" xr:uid="{00000000-0005-0000-0000-0000360A0000}"/>
    <cellStyle name="Comma 4 5 2 5 2 2 2" xfId="21088" xr:uid="{1CD0E514-886C-42A5-B627-0B8C55BBE8EA}"/>
    <cellStyle name="Comma 4 5 2 5 2 3" xfId="12659" xr:uid="{25A63AD7-F042-4433-8454-F07B9D605149}"/>
    <cellStyle name="Comma 4 5 2 5 2 4" xfId="16870" xr:uid="{56DEEE5D-6178-4D39-8F27-840F6681837D}"/>
    <cellStyle name="Comma 4 5 2 5 3" xfId="6282" xr:uid="{00000000-0005-0000-0000-0000370A0000}"/>
    <cellStyle name="Comma 4 5 2 5 3 2" xfId="18943" xr:uid="{17BFB583-F79D-4D8E-96EF-769CF98308C4}"/>
    <cellStyle name="Comma 4 5 2 5 4" xfId="10514" xr:uid="{A93CEBE3-0D6D-4D7A-BCE9-7C885A5AD630}"/>
    <cellStyle name="Comma 4 5 2 5 5" xfId="14725" xr:uid="{B1DBE00E-A5D4-439E-8C25-FAB4B30ECC96}"/>
    <cellStyle name="Comma 4 5 2 6" xfId="2411" xr:uid="{00000000-0005-0000-0000-0000380A0000}"/>
    <cellStyle name="Comma 4 5 2 6 2" xfId="6695" xr:uid="{00000000-0005-0000-0000-0000390A0000}"/>
    <cellStyle name="Comma 4 5 2 6 2 2" xfId="19356" xr:uid="{2B334535-59BB-4C74-B623-B9EBBAF36A0C}"/>
    <cellStyle name="Comma 4 5 2 6 3" xfId="10927" xr:uid="{29135F9C-7E6B-45B0-BA1F-AD676C7CBA73}"/>
    <cellStyle name="Comma 4 5 2 6 4" xfId="15138" xr:uid="{FA1E775F-3A6B-4BB1-8ADB-FCB63D6A2CDB}"/>
    <cellStyle name="Comma 4 5 2 7" xfId="2707" xr:uid="{00000000-0005-0000-0000-00003A0A0000}"/>
    <cellStyle name="Comma 4 5 2 8" xfId="2789" xr:uid="{00000000-0005-0000-0000-00003B0A0000}"/>
    <cellStyle name="Comma 4 5 2 8 2" xfId="7012" xr:uid="{00000000-0005-0000-0000-00003C0A0000}"/>
    <cellStyle name="Comma 4 5 2 8 2 2" xfId="19673" xr:uid="{63924392-0AE8-4932-9995-A6042D9F6CA9}"/>
    <cellStyle name="Comma 4 5 2 8 3" xfId="11244" xr:uid="{93AC6F43-D925-425F-BED4-352AED57C66C}"/>
    <cellStyle name="Comma 4 5 2 8 4" xfId="15455" xr:uid="{3B9B77CB-65A0-4572-BEED-005E2B8BF969}"/>
    <cellStyle name="Comma 4 5 2 9" xfId="4629" xr:uid="{00000000-0005-0000-0000-00003D0A0000}"/>
    <cellStyle name="Comma 4 5 2 9 2" xfId="17290" xr:uid="{DEB1C486-2DAD-48A0-97F6-D723E6AD2A02}"/>
    <cellStyle name="Comma 4 5 3" xfId="694" xr:uid="{00000000-0005-0000-0000-00003E0A0000}"/>
    <cellStyle name="Comma 4 5 3 2" xfId="2965" xr:uid="{00000000-0005-0000-0000-00003F0A0000}"/>
    <cellStyle name="Comma 4 5 3 2 2" xfId="7187" xr:uid="{00000000-0005-0000-0000-0000400A0000}"/>
    <cellStyle name="Comma 4 5 3 2 2 2" xfId="19848" xr:uid="{45CC7842-59F4-41CE-A75C-D21D6521D812}"/>
    <cellStyle name="Comma 4 5 3 2 3" xfId="11419" xr:uid="{101613ED-5166-4106-A03E-7A1409720984}"/>
    <cellStyle name="Comma 4 5 3 2 4" xfId="15630" xr:uid="{DEE92E87-7C6A-4CC0-9C24-0CA3DF09A399}"/>
    <cellStyle name="Comma 4 5 3 3" xfId="5042" xr:uid="{00000000-0005-0000-0000-0000410A0000}"/>
    <cellStyle name="Comma 4 5 3 3 2" xfId="17703" xr:uid="{19873818-6265-4F3A-89D9-9AF7F12877AE}"/>
    <cellStyle name="Comma 4 5 3 4" xfId="9274" xr:uid="{A085C0AB-D7BD-43F1-8723-8FDF974DA35A}"/>
    <cellStyle name="Comma 4 5 3 5" xfId="13485" xr:uid="{652866FC-FBF5-4639-A688-B62E064E5BED}"/>
    <cellStyle name="Comma 4 5 4" xfId="1147" xr:uid="{00000000-0005-0000-0000-0000420A0000}"/>
    <cellStyle name="Comma 4 5 4 2" xfId="3378" xr:uid="{00000000-0005-0000-0000-0000430A0000}"/>
    <cellStyle name="Comma 4 5 4 2 2" xfId="7600" xr:uid="{00000000-0005-0000-0000-0000440A0000}"/>
    <cellStyle name="Comma 4 5 4 2 2 2" xfId="20261" xr:uid="{BA87C2C6-E60C-47BE-A948-349F11D4BB94}"/>
    <cellStyle name="Comma 4 5 4 2 3" xfId="11832" xr:uid="{CAA739F3-568B-4E32-8DDD-B0AF7D704BE8}"/>
    <cellStyle name="Comma 4 5 4 2 4" xfId="16043" xr:uid="{8BAB2BEE-7AAE-4A47-99E7-D30A8EAB2AA9}"/>
    <cellStyle name="Comma 4 5 4 3" xfId="5455" xr:uid="{00000000-0005-0000-0000-0000450A0000}"/>
    <cellStyle name="Comma 4 5 4 3 2" xfId="18116" xr:uid="{F6D9F8A0-910F-436A-80EC-786046423FBF}"/>
    <cellStyle name="Comma 4 5 4 4" xfId="9687" xr:uid="{51D8A580-3452-4A5E-A897-9BEA3BB9111F}"/>
    <cellStyle name="Comma 4 5 4 5" xfId="13898" xr:uid="{9D272E7A-9587-4149-8F24-12F8C6B74D20}"/>
    <cellStyle name="Comma 4 5 5" xfId="1561" xr:uid="{00000000-0005-0000-0000-0000460A0000}"/>
    <cellStyle name="Comma 4 5 5 2" xfId="3791" xr:uid="{00000000-0005-0000-0000-0000470A0000}"/>
    <cellStyle name="Comma 4 5 5 2 2" xfId="8013" xr:uid="{00000000-0005-0000-0000-0000480A0000}"/>
    <cellStyle name="Comma 4 5 5 2 2 2" xfId="20674" xr:uid="{86AB5467-EB64-4F93-B59C-80D05169C3D9}"/>
    <cellStyle name="Comma 4 5 5 2 3" xfId="12245" xr:uid="{BAB1D839-3FC1-4D35-AAB0-BDC67CD7E73E}"/>
    <cellStyle name="Comma 4 5 5 2 4" xfId="16456" xr:uid="{A87D7107-084C-48AB-B500-1F59095FA152}"/>
    <cellStyle name="Comma 4 5 5 3" xfId="5868" xr:uid="{00000000-0005-0000-0000-0000490A0000}"/>
    <cellStyle name="Comma 4 5 5 3 2" xfId="18529" xr:uid="{C7EAF7D8-E096-4B0C-B9D2-378E94D2FD74}"/>
    <cellStyle name="Comma 4 5 5 4" xfId="10100" xr:uid="{98719D94-6094-47B9-B59E-662331A99502}"/>
    <cellStyle name="Comma 4 5 5 5" xfId="14311" xr:uid="{A32D9819-159F-430A-AA71-85311F77A5C7}"/>
    <cellStyle name="Comma 4 5 6" xfId="1975" xr:uid="{00000000-0005-0000-0000-00004A0A0000}"/>
    <cellStyle name="Comma 4 5 6 2" xfId="4204" xr:uid="{00000000-0005-0000-0000-00004B0A0000}"/>
    <cellStyle name="Comma 4 5 6 2 2" xfId="8426" xr:uid="{00000000-0005-0000-0000-00004C0A0000}"/>
    <cellStyle name="Comma 4 5 6 2 2 2" xfId="21087" xr:uid="{2D97BF5A-ACF1-4EAA-A0F1-1C721FB0C904}"/>
    <cellStyle name="Comma 4 5 6 2 3" xfId="12658" xr:uid="{2978E357-0C10-473C-B366-7A1822D26284}"/>
    <cellStyle name="Comma 4 5 6 2 4" xfId="16869" xr:uid="{CE9B3458-4AF3-44D7-8B9E-1E5CBF21C4A1}"/>
    <cellStyle name="Comma 4 5 6 3" xfId="6281" xr:uid="{00000000-0005-0000-0000-00004D0A0000}"/>
    <cellStyle name="Comma 4 5 6 3 2" xfId="18942" xr:uid="{34E69711-B0D9-4D7C-B2B8-DBA2BCB5E50F}"/>
    <cellStyle name="Comma 4 5 6 4" xfId="10513" xr:uid="{8B136C49-4C8D-4C0B-82EC-AE9500DDD901}"/>
    <cellStyle name="Comma 4 5 6 5" xfId="14724" xr:uid="{1E9D1930-55D9-4B10-A594-E8835FF43C53}"/>
    <cellStyle name="Comma 4 5 7" xfId="2410" xr:uid="{00000000-0005-0000-0000-00004E0A0000}"/>
    <cellStyle name="Comma 4 5 7 2" xfId="6694" xr:uid="{00000000-0005-0000-0000-00004F0A0000}"/>
    <cellStyle name="Comma 4 5 7 2 2" xfId="19355" xr:uid="{3743F7F7-081D-4A31-A85F-E975BC125F59}"/>
    <cellStyle name="Comma 4 5 7 3" xfId="10926" xr:uid="{11414E97-2C3D-4439-9308-65B2466DA6FD}"/>
    <cellStyle name="Comma 4 5 7 4" xfId="15137" xr:uid="{04D8EE71-B4D1-4BFD-AF5C-4CD824D2FC6A}"/>
    <cellStyle name="Comma 4 5 8" xfId="2706" xr:uid="{00000000-0005-0000-0000-0000500A0000}"/>
    <cellStyle name="Comma 4 5 9" xfId="2788" xr:uid="{00000000-0005-0000-0000-0000510A0000}"/>
    <cellStyle name="Comma 4 5 9 2" xfId="7011" xr:uid="{00000000-0005-0000-0000-0000520A0000}"/>
    <cellStyle name="Comma 4 5 9 2 2" xfId="19672" xr:uid="{A401FA45-D0C0-4EC3-B137-D353852632AA}"/>
    <cellStyle name="Comma 4 5 9 3" xfId="11243" xr:uid="{0A11B3A5-9673-4080-98AF-930930332AD8}"/>
    <cellStyle name="Comma 4 5 9 4" xfId="15454" xr:uid="{AC5EA542-A37A-43F7-B0B9-42C511098A8A}"/>
    <cellStyle name="Comma 4 6" xfId="159" xr:uid="{00000000-0005-0000-0000-0000530A0000}"/>
    <cellStyle name="Comma 4 6 10" xfId="8862" xr:uid="{03611FDC-DF95-47FE-9D62-999970632ADC}"/>
    <cellStyle name="Comma 4 6 11" xfId="13073" xr:uid="{90F03466-D321-44F4-8CE4-655824B8BE8A}"/>
    <cellStyle name="Comma 4 6 2" xfId="696" xr:uid="{00000000-0005-0000-0000-0000540A0000}"/>
    <cellStyle name="Comma 4 6 2 2" xfId="2967" xr:uid="{00000000-0005-0000-0000-0000550A0000}"/>
    <cellStyle name="Comma 4 6 2 2 2" xfId="7189" xr:uid="{00000000-0005-0000-0000-0000560A0000}"/>
    <cellStyle name="Comma 4 6 2 2 2 2" xfId="19850" xr:uid="{1D1A1446-7B1B-4059-BE6B-E8FD46742E1D}"/>
    <cellStyle name="Comma 4 6 2 2 3" xfId="11421" xr:uid="{21CAB96C-0647-4FDE-9EFB-2E84A1C8AC36}"/>
    <cellStyle name="Comma 4 6 2 2 4" xfId="15632" xr:uid="{AA5CF152-90B6-4A1A-B9B6-50459EF754BC}"/>
    <cellStyle name="Comma 4 6 2 3" xfId="5044" xr:uid="{00000000-0005-0000-0000-0000570A0000}"/>
    <cellStyle name="Comma 4 6 2 3 2" xfId="17705" xr:uid="{6D399DBA-4D5F-4250-8364-25891370B3D0}"/>
    <cellStyle name="Comma 4 6 2 4" xfId="9276" xr:uid="{A474DE38-D032-41C2-973C-3D0D49319EBA}"/>
    <cellStyle name="Comma 4 6 2 5" xfId="13487" xr:uid="{C4931875-57CC-4182-9FB9-814C92DE28CA}"/>
    <cellStyle name="Comma 4 6 3" xfId="1149" xr:uid="{00000000-0005-0000-0000-0000580A0000}"/>
    <cellStyle name="Comma 4 6 3 2" xfId="3380" xr:uid="{00000000-0005-0000-0000-0000590A0000}"/>
    <cellStyle name="Comma 4 6 3 2 2" xfId="7602" xr:uid="{00000000-0005-0000-0000-00005A0A0000}"/>
    <cellStyle name="Comma 4 6 3 2 2 2" xfId="20263" xr:uid="{6798BE01-632C-460F-AD89-F04E7FA530AD}"/>
    <cellStyle name="Comma 4 6 3 2 3" xfId="11834" xr:uid="{E66C02D3-FF17-4BC7-A85F-07238388DB91}"/>
    <cellStyle name="Comma 4 6 3 2 4" xfId="16045" xr:uid="{331FFEA5-FA25-410E-AB6F-5226C1FBD312}"/>
    <cellStyle name="Comma 4 6 3 3" xfId="5457" xr:uid="{00000000-0005-0000-0000-00005B0A0000}"/>
    <cellStyle name="Comma 4 6 3 3 2" xfId="18118" xr:uid="{B658E7CB-0B1A-44B9-A44A-55C21E7C8BCA}"/>
    <cellStyle name="Comma 4 6 3 4" xfId="9689" xr:uid="{B8B580B5-C810-4493-A796-C1F7C611825D}"/>
    <cellStyle name="Comma 4 6 3 5" xfId="13900" xr:uid="{97F1D263-C7EE-4621-9D48-2DB30E081FEF}"/>
    <cellStyle name="Comma 4 6 4" xfId="1563" xr:uid="{00000000-0005-0000-0000-00005C0A0000}"/>
    <cellStyle name="Comma 4 6 4 2" xfId="3793" xr:uid="{00000000-0005-0000-0000-00005D0A0000}"/>
    <cellStyle name="Comma 4 6 4 2 2" xfId="8015" xr:uid="{00000000-0005-0000-0000-00005E0A0000}"/>
    <cellStyle name="Comma 4 6 4 2 2 2" xfId="20676" xr:uid="{AE50544D-ECAF-4E3F-AC0E-5AA02906604A}"/>
    <cellStyle name="Comma 4 6 4 2 3" xfId="12247" xr:uid="{311991F0-C996-472F-A99D-194BB154D334}"/>
    <cellStyle name="Comma 4 6 4 2 4" xfId="16458" xr:uid="{B43FCF6C-A01D-45F0-9CFA-75AAF86C515C}"/>
    <cellStyle name="Comma 4 6 4 3" xfId="5870" xr:uid="{00000000-0005-0000-0000-00005F0A0000}"/>
    <cellStyle name="Comma 4 6 4 3 2" xfId="18531" xr:uid="{C056D070-F542-4304-8A4E-4EF84D14DF33}"/>
    <cellStyle name="Comma 4 6 4 4" xfId="10102" xr:uid="{C029FB24-7F7E-4E92-8CA3-C7E10D20BA1B}"/>
    <cellStyle name="Comma 4 6 4 5" xfId="14313" xr:uid="{FBE157D6-2F73-48E5-AD78-C60B4F463DB3}"/>
    <cellStyle name="Comma 4 6 5" xfId="1977" xr:uid="{00000000-0005-0000-0000-0000600A0000}"/>
    <cellStyle name="Comma 4 6 5 2" xfId="4206" xr:uid="{00000000-0005-0000-0000-0000610A0000}"/>
    <cellStyle name="Comma 4 6 5 2 2" xfId="8428" xr:uid="{00000000-0005-0000-0000-0000620A0000}"/>
    <cellStyle name="Comma 4 6 5 2 2 2" xfId="21089" xr:uid="{156DF3B7-B609-403C-93BE-EC214024D08D}"/>
    <cellStyle name="Comma 4 6 5 2 3" xfId="12660" xr:uid="{D93AB2EA-A7E9-461E-9E0F-122F8A33E11E}"/>
    <cellStyle name="Comma 4 6 5 2 4" xfId="16871" xr:uid="{75243E93-1280-4039-AC04-DAAC5632301C}"/>
    <cellStyle name="Comma 4 6 5 3" xfId="6283" xr:uid="{00000000-0005-0000-0000-0000630A0000}"/>
    <cellStyle name="Comma 4 6 5 3 2" xfId="18944" xr:uid="{401BD1C2-BF9F-40D3-8CD0-BB9704A047AB}"/>
    <cellStyle name="Comma 4 6 5 4" xfId="10515" xr:uid="{6D2ED0CD-93D1-4529-9F42-0E288088709E}"/>
    <cellStyle name="Comma 4 6 5 5" xfId="14726" xr:uid="{D240AE24-B132-4657-A07A-82CD08FE0498}"/>
    <cellStyle name="Comma 4 6 6" xfId="2412" xr:uid="{00000000-0005-0000-0000-0000640A0000}"/>
    <cellStyle name="Comma 4 6 6 2" xfId="6696" xr:uid="{00000000-0005-0000-0000-0000650A0000}"/>
    <cellStyle name="Comma 4 6 6 2 2" xfId="19357" xr:uid="{590277AB-0BCC-4A5D-A224-055CC3B55A14}"/>
    <cellStyle name="Comma 4 6 6 3" xfId="10928" xr:uid="{F1955696-ADF4-4B82-97D0-47C5FD42AE09}"/>
    <cellStyle name="Comma 4 6 6 4" xfId="15139" xr:uid="{BF6ADA95-3CC0-4B90-919C-465AA5DB739E}"/>
    <cellStyle name="Comma 4 6 7" xfId="2708" xr:uid="{00000000-0005-0000-0000-0000660A0000}"/>
    <cellStyle name="Comma 4 6 8" xfId="2790" xr:uid="{00000000-0005-0000-0000-0000670A0000}"/>
    <cellStyle name="Comma 4 6 8 2" xfId="7013" xr:uid="{00000000-0005-0000-0000-0000680A0000}"/>
    <cellStyle name="Comma 4 6 8 2 2" xfId="19674" xr:uid="{A8F84EE4-836A-41B7-BF3C-0F68A1446652}"/>
    <cellStyle name="Comma 4 6 8 3" xfId="11245" xr:uid="{8F98A675-CEE8-4261-AB0C-97E71DD70D34}"/>
    <cellStyle name="Comma 4 6 8 4" xfId="15456" xr:uid="{403F17EF-FF32-4BF3-9860-C39DB1EE6ED8}"/>
    <cellStyle name="Comma 4 6 9" xfId="4630" xr:uid="{00000000-0005-0000-0000-0000690A0000}"/>
    <cellStyle name="Comma 4 6 9 2" xfId="17291" xr:uid="{ED30CACB-E8F0-46B0-BCFA-BE575F5B4870}"/>
    <cellStyle name="Comma 4 7" xfId="160" xr:uid="{00000000-0005-0000-0000-00006A0A0000}"/>
    <cellStyle name="Comma 4 7 10" xfId="8863" xr:uid="{4F6F8169-7894-416E-A2CC-BC281D8988A5}"/>
    <cellStyle name="Comma 4 7 11" xfId="13074" xr:uid="{B7F26503-4A5F-428D-BCE8-A07C5DE44E3B}"/>
    <cellStyle name="Comma 4 7 2" xfId="697" xr:uid="{00000000-0005-0000-0000-00006B0A0000}"/>
    <cellStyle name="Comma 4 7 2 2" xfId="2968" xr:uid="{00000000-0005-0000-0000-00006C0A0000}"/>
    <cellStyle name="Comma 4 7 2 2 2" xfId="7190" xr:uid="{00000000-0005-0000-0000-00006D0A0000}"/>
    <cellStyle name="Comma 4 7 2 2 2 2" xfId="19851" xr:uid="{E1D1A461-5668-439B-B2F4-F8BDD55F2048}"/>
    <cellStyle name="Comma 4 7 2 2 3" xfId="11422" xr:uid="{2AC25077-95FB-4696-A536-3D55325A47D9}"/>
    <cellStyle name="Comma 4 7 2 2 4" xfId="15633" xr:uid="{3A79B1D1-8A10-4613-8229-252AD38E290B}"/>
    <cellStyle name="Comma 4 7 2 3" xfId="5045" xr:uid="{00000000-0005-0000-0000-00006E0A0000}"/>
    <cellStyle name="Comma 4 7 2 3 2" xfId="17706" xr:uid="{2CF0329A-D9F3-418D-9ED4-9295A39AC590}"/>
    <cellStyle name="Comma 4 7 2 4" xfId="9277" xr:uid="{7B5A2FEC-6BD3-43DA-BF02-8DB12738D832}"/>
    <cellStyle name="Comma 4 7 2 5" xfId="13488" xr:uid="{42C04189-7BDF-41C1-8CD8-9B64F79F4CAF}"/>
    <cellStyle name="Comma 4 7 3" xfId="1150" xr:uid="{00000000-0005-0000-0000-00006F0A0000}"/>
    <cellStyle name="Comma 4 7 3 2" xfId="3381" xr:uid="{00000000-0005-0000-0000-0000700A0000}"/>
    <cellStyle name="Comma 4 7 3 2 2" xfId="7603" xr:uid="{00000000-0005-0000-0000-0000710A0000}"/>
    <cellStyle name="Comma 4 7 3 2 2 2" xfId="20264" xr:uid="{690A20AE-4FDF-43A4-B10E-2EEC564A39F4}"/>
    <cellStyle name="Comma 4 7 3 2 3" xfId="11835" xr:uid="{45BD7A8E-9AB4-44A7-AA9A-90840128C1A5}"/>
    <cellStyle name="Comma 4 7 3 2 4" xfId="16046" xr:uid="{9A448ABD-796B-4620-AE6C-621FA2C144C6}"/>
    <cellStyle name="Comma 4 7 3 3" xfId="5458" xr:uid="{00000000-0005-0000-0000-0000720A0000}"/>
    <cellStyle name="Comma 4 7 3 3 2" xfId="18119" xr:uid="{58BCF71E-2BC7-4F17-9677-3135D49504A6}"/>
    <cellStyle name="Comma 4 7 3 4" xfId="9690" xr:uid="{6B649911-5A54-4B2C-A05D-7EBAAA98D45C}"/>
    <cellStyle name="Comma 4 7 3 5" xfId="13901" xr:uid="{2A79F81B-5DC5-4D97-90DB-B1370FF11A04}"/>
    <cellStyle name="Comma 4 7 4" xfId="1564" xr:uid="{00000000-0005-0000-0000-0000730A0000}"/>
    <cellStyle name="Comma 4 7 4 2" xfId="3794" xr:uid="{00000000-0005-0000-0000-0000740A0000}"/>
    <cellStyle name="Comma 4 7 4 2 2" xfId="8016" xr:uid="{00000000-0005-0000-0000-0000750A0000}"/>
    <cellStyle name="Comma 4 7 4 2 2 2" xfId="20677" xr:uid="{11FD6C44-BF1E-419D-ACE1-1E9C4B223B12}"/>
    <cellStyle name="Comma 4 7 4 2 3" xfId="12248" xr:uid="{E64CD19F-008C-4032-A8BC-72757C994EDD}"/>
    <cellStyle name="Comma 4 7 4 2 4" xfId="16459" xr:uid="{2B61B6AC-C52B-416A-A2C4-52C82F618DCE}"/>
    <cellStyle name="Comma 4 7 4 3" xfId="5871" xr:uid="{00000000-0005-0000-0000-0000760A0000}"/>
    <cellStyle name="Comma 4 7 4 3 2" xfId="18532" xr:uid="{AF45841F-A8D2-4796-8AC4-B6CCE500F75B}"/>
    <cellStyle name="Comma 4 7 4 4" xfId="10103" xr:uid="{5579056B-5A3A-4679-AA57-45104F49BC0A}"/>
    <cellStyle name="Comma 4 7 4 5" xfId="14314" xr:uid="{47175BC0-9E33-4338-B6F2-67F43E944E27}"/>
    <cellStyle name="Comma 4 7 5" xfId="1978" xr:uid="{00000000-0005-0000-0000-0000770A0000}"/>
    <cellStyle name="Comma 4 7 5 2" xfId="4207" xr:uid="{00000000-0005-0000-0000-0000780A0000}"/>
    <cellStyle name="Comma 4 7 5 2 2" xfId="8429" xr:uid="{00000000-0005-0000-0000-0000790A0000}"/>
    <cellStyle name="Comma 4 7 5 2 2 2" xfId="21090" xr:uid="{2866E545-7AF9-4124-A73A-2059718879C3}"/>
    <cellStyle name="Comma 4 7 5 2 3" xfId="12661" xr:uid="{FEFD0B29-BF2D-4FA9-A678-9846DFD40A3A}"/>
    <cellStyle name="Comma 4 7 5 2 4" xfId="16872" xr:uid="{BE1C6232-D542-4EC7-AC27-244EC443787D}"/>
    <cellStyle name="Comma 4 7 5 3" xfId="6284" xr:uid="{00000000-0005-0000-0000-00007A0A0000}"/>
    <cellStyle name="Comma 4 7 5 3 2" xfId="18945" xr:uid="{3A7027CF-4CD3-4F19-B1E1-823448EBF75E}"/>
    <cellStyle name="Comma 4 7 5 4" xfId="10516" xr:uid="{0B2E39C6-F134-4875-8FBE-842833621065}"/>
    <cellStyle name="Comma 4 7 5 5" xfId="14727" xr:uid="{FBDBDEC5-D8E6-4320-B337-3AE9902BACF5}"/>
    <cellStyle name="Comma 4 7 6" xfId="2413" xr:uid="{00000000-0005-0000-0000-00007B0A0000}"/>
    <cellStyle name="Comma 4 7 6 2" xfId="6697" xr:uid="{00000000-0005-0000-0000-00007C0A0000}"/>
    <cellStyle name="Comma 4 7 6 2 2" xfId="19358" xr:uid="{47092844-C7E0-4BAB-ADFD-3211D200858A}"/>
    <cellStyle name="Comma 4 7 6 3" xfId="10929" xr:uid="{22945DC3-A3A3-43DE-9AE2-86BA17E4EC97}"/>
    <cellStyle name="Comma 4 7 6 4" xfId="15140" xr:uid="{F9E32C1B-874C-437E-B623-7926BE1D2B5C}"/>
    <cellStyle name="Comma 4 7 7" xfId="2709" xr:uid="{00000000-0005-0000-0000-00007D0A0000}"/>
    <cellStyle name="Comma 4 7 8" xfId="2791" xr:uid="{00000000-0005-0000-0000-00007E0A0000}"/>
    <cellStyle name="Comma 4 7 8 2" xfId="7014" xr:uid="{00000000-0005-0000-0000-00007F0A0000}"/>
    <cellStyle name="Comma 4 7 8 2 2" xfId="19675" xr:uid="{795A9309-50DF-42F0-AB61-92449A826907}"/>
    <cellStyle name="Comma 4 7 8 3" xfId="11246" xr:uid="{8E9578BC-C7B0-42AE-B013-2242AFD172D7}"/>
    <cellStyle name="Comma 4 7 8 4" xfId="15457" xr:uid="{B94D0907-DD61-40F9-A8F7-31D6A342EBD5}"/>
    <cellStyle name="Comma 4 7 9" xfId="4631" xr:uid="{00000000-0005-0000-0000-0000800A0000}"/>
    <cellStyle name="Comma 4 7 9 2" xfId="17292" xr:uid="{AAB90B2C-1FA8-4C3C-8B6C-6522DBFBC9CA}"/>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7160" xr:uid="{B27600FD-100C-4C94-A665-97283C6CAC15}"/>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21377" xr:uid="{94389171-98C1-4F8B-944C-0DC7A0A8D4CA}"/>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3" xfId="21386" xr:uid="{9EAC66D9-8758-4020-A296-895ED95412B5}"/>
    <cellStyle name="Currency 14 3 2 3" xfId="21383" xr:uid="{EB2C3685-12BD-4B3B-A4BA-95418B6A825D}"/>
    <cellStyle name="Currency 14 3 3" xfId="21380" xr:uid="{E5B1F279-9711-42A6-8572-93E55D6EEE4B}"/>
    <cellStyle name="Currency 14 4" xfId="17163" xr:uid="{6D6407D2-79D0-4342-9F18-C0E34E8EF867}"/>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9676" xr:uid="{F257406E-9E78-48CA-A3F4-86832D5432B3}"/>
    <cellStyle name="Currency 3 2 2 10 3" xfId="11247" xr:uid="{9B0F7EA1-301E-4930-9DB2-D049F10F898F}"/>
    <cellStyle name="Currency 3 2 2 10 4" xfId="15458" xr:uid="{D3B0578B-B95F-4429-A566-8A90EEE7862F}"/>
    <cellStyle name="Currency 3 2 2 11" xfId="4632" xr:uid="{00000000-0005-0000-0000-0000A50A0000}"/>
    <cellStyle name="Currency 3 2 2 11 2" xfId="17293" xr:uid="{5B387F28-6AE8-4A0B-A0DA-999A3E5DD9A5}"/>
    <cellStyle name="Currency 3 2 2 12" xfId="8864" xr:uid="{B0085BAB-8CE6-4780-A094-76F8FDC6B405}"/>
    <cellStyle name="Currency 3 2 2 13" xfId="13075" xr:uid="{5A4D9C82-014C-4E02-8BBB-5C4B1ED6885C}"/>
    <cellStyle name="Currency 3 2 2 2" xfId="179" xr:uid="{00000000-0005-0000-0000-0000A60A0000}"/>
    <cellStyle name="Currency 3 2 2 2 10" xfId="4633" xr:uid="{00000000-0005-0000-0000-0000A70A0000}"/>
    <cellStyle name="Currency 3 2 2 2 10 2" xfId="17294" xr:uid="{8D2F4759-F1FF-40F5-BD49-94F91D795350}"/>
    <cellStyle name="Currency 3 2 2 2 11" xfId="8865" xr:uid="{F96C77F5-B98C-4B75-8D0D-934C8A646980}"/>
    <cellStyle name="Currency 3 2 2 2 12" xfId="13076" xr:uid="{B951557D-2BB4-4588-B66E-EF5D68D0C565}"/>
    <cellStyle name="Currency 3 2 2 2 2" xfId="180" xr:uid="{00000000-0005-0000-0000-0000A80A0000}"/>
    <cellStyle name="Currency 3 2 2 2 2 10" xfId="8866" xr:uid="{B891551B-15B6-4DF6-9BFD-3431DBFB7615}"/>
    <cellStyle name="Currency 3 2 2 2 2 11" xfId="13077" xr:uid="{86D1240A-2DA8-4B3E-B0DC-70EE881D2976}"/>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9854" xr:uid="{FCB12745-9C7E-4C5F-BD79-AAD634C6B1C8}"/>
    <cellStyle name="Currency 3 2 2 2 2 2 2 3" xfId="11425" xr:uid="{DC983E34-0969-408D-A773-C71B59B234D2}"/>
    <cellStyle name="Currency 3 2 2 2 2 2 2 4" xfId="15636" xr:uid="{0F451EFB-6057-488D-B4D1-8141C867621B}"/>
    <cellStyle name="Currency 3 2 2 2 2 2 3" xfId="5048" xr:uid="{00000000-0005-0000-0000-0000AC0A0000}"/>
    <cellStyle name="Currency 3 2 2 2 2 2 3 2" xfId="17709" xr:uid="{B092921E-E8C8-4B79-AF2C-AFF4E9E70DC7}"/>
    <cellStyle name="Currency 3 2 2 2 2 2 4" xfId="9280" xr:uid="{0EC1F280-D5E7-49BB-B0D5-590D0251B98A}"/>
    <cellStyle name="Currency 3 2 2 2 2 2 5" xfId="13491" xr:uid="{BB15096B-A54C-4E9D-8A4D-F57B44277E65}"/>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20267" xr:uid="{A01CF2CB-6619-499D-B10E-B5C961819FDE}"/>
    <cellStyle name="Currency 3 2 2 2 2 3 2 3" xfId="11838" xr:uid="{2CD92284-1AA6-44BC-AFE7-5A23924D456A}"/>
    <cellStyle name="Currency 3 2 2 2 2 3 2 4" xfId="16049" xr:uid="{7151BD45-40C4-490C-9F81-C42B975BD2E9}"/>
    <cellStyle name="Currency 3 2 2 2 2 3 3" xfId="5461" xr:uid="{00000000-0005-0000-0000-0000B00A0000}"/>
    <cellStyle name="Currency 3 2 2 2 2 3 3 2" xfId="18122" xr:uid="{C95CF4E7-0942-46CE-B0EA-D9ED58C84381}"/>
    <cellStyle name="Currency 3 2 2 2 2 3 4" xfId="9693" xr:uid="{422EE417-A937-4EED-AE1E-7DD0E35F8F0D}"/>
    <cellStyle name="Currency 3 2 2 2 2 3 5" xfId="13904" xr:uid="{D00C324A-897C-4368-AD2E-4525266F1D0D}"/>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20680" xr:uid="{66C1E6A0-8167-496B-8345-FC3CEEE89541}"/>
    <cellStyle name="Currency 3 2 2 2 2 4 2 3" xfId="12251" xr:uid="{87E0B593-A215-4641-B796-2CF83F5D0814}"/>
    <cellStyle name="Currency 3 2 2 2 2 4 2 4" xfId="16462" xr:uid="{23833B35-EE75-46DB-A2B1-7263F7468D2C}"/>
    <cellStyle name="Currency 3 2 2 2 2 4 3" xfId="5874" xr:uid="{00000000-0005-0000-0000-0000B40A0000}"/>
    <cellStyle name="Currency 3 2 2 2 2 4 3 2" xfId="18535" xr:uid="{B9A7425B-B67B-4DC3-837C-03E0D5FD5A4B}"/>
    <cellStyle name="Currency 3 2 2 2 2 4 4" xfId="10106" xr:uid="{936E031D-C9C1-4F62-A32E-42088B982C1B}"/>
    <cellStyle name="Currency 3 2 2 2 2 4 5" xfId="14317" xr:uid="{B8E258B4-851D-4580-BAFE-47C532522FCA}"/>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21093" xr:uid="{17FFBEAF-3944-4E55-9623-B2A4273AA93F}"/>
    <cellStyle name="Currency 3 2 2 2 2 5 2 3" xfId="12664" xr:uid="{FECE2B38-3ACA-4D23-A041-275877B55AC2}"/>
    <cellStyle name="Currency 3 2 2 2 2 5 2 4" xfId="16875" xr:uid="{989BC0C4-E94B-4D15-BD69-1973D8C96D45}"/>
    <cellStyle name="Currency 3 2 2 2 2 5 3" xfId="6287" xr:uid="{00000000-0005-0000-0000-0000B80A0000}"/>
    <cellStyle name="Currency 3 2 2 2 2 5 3 2" xfId="18948" xr:uid="{593F4916-46FC-43A3-ABF9-E912885A81D0}"/>
    <cellStyle name="Currency 3 2 2 2 2 5 4" xfId="10519" xr:uid="{0476B3B4-C92C-4446-8775-5F9609975BE8}"/>
    <cellStyle name="Currency 3 2 2 2 2 5 5" xfId="14730" xr:uid="{FA8FCD8D-C31D-4060-B0C5-71E0D7C44E5B}"/>
    <cellStyle name="Currency 3 2 2 2 2 6" xfId="2416" xr:uid="{00000000-0005-0000-0000-0000B90A0000}"/>
    <cellStyle name="Currency 3 2 2 2 2 6 2" xfId="6700" xr:uid="{00000000-0005-0000-0000-0000BA0A0000}"/>
    <cellStyle name="Currency 3 2 2 2 2 6 2 2" xfId="19361" xr:uid="{011A90C9-3337-401B-BA3A-A984700215D3}"/>
    <cellStyle name="Currency 3 2 2 2 2 6 3" xfId="10932" xr:uid="{DE074F30-BFE9-411D-9A09-C88A668F5B5B}"/>
    <cellStyle name="Currency 3 2 2 2 2 6 4" xfId="15143" xr:uid="{7C11EACD-E5F9-4A94-9740-953D390B3092}"/>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9678" xr:uid="{E7470F59-1DFD-43D6-AAF6-87DCCA9877A4}"/>
    <cellStyle name="Currency 3 2 2 2 2 8 3" xfId="11249" xr:uid="{9729DC0B-8BAB-4E68-A84E-EAE07BA963D2}"/>
    <cellStyle name="Currency 3 2 2 2 2 8 4" xfId="15460" xr:uid="{C3D5B365-E621-4DBB-8A58-2719573C32D2}"/>
    <cellStyle name="Currency 3 2 2 2 2 9" xfId="4634" xr:uid="{00000000-0005-0000-0000-0000BE0A0000}"/>
    <cellStyle name="Currency 3 2 2 2 2 9 2" xfId="17295" xr:uid="{B748BCD1-9BF6-461D-9BE8-E6FBE7168112}"/>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9853" xr:uid="{2D756F57-D0B5-4A13-A106-D340758FC034}"/>
    <cellStyle name="Currency 3 2 2 2 3 2 3" xfId="11424" xr:uid="{95394983-7A5D-44AC-9942-5DB33EC48413}"/>
    <cellStyle name="Currency 3 2 2 2 3 2 4" xfId="15635" xr:uid="{CA2571EC-0522-40C3-9FB0-2A1A9807BF21}"/>
    <cellStyle name="Currency 3 2 2 2 3 3" xfId="5047" xr:uid="{00000000-0005-0000-0000-0000C20A0000}"/>
    <cellStyle name="Currency 3 2 2 2 3 3 2" xfId="17708" xr:uid="{7C0A696F-5A3B-41C8-881B-55B34C93ECE3}"/>
    <cellStyle name="Currency 3 2 2 2 3 4" xfId="9279" xr:uid="{04ACA5B9-F863-4BE5-AC2A-21CFEFD24154}"/>
    <cellStyle name="Currency 3 2 2 2 3 5" xfId="13490" xr:uid="{3580C7BE-71EB-48F1-9FCE-61915F6E43C5}"/>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20266" xr:uid="{57ED1361-E049-41EE-96F0-FC6AC2375DF2}"/>
    <cellStyle name="Currency 3 2 2 2 4 2 3" xfId="11837" xr:uid="{CBB2C0AB-4828-4BB9-B561-6D80CC9A3A6C}"/>
    <cellStyle name="Currency 3 2 2 2 4 2 4" xfId="16048" xr:uid="{50D1BC26-0531-458F-B48E-BB0B3D14DD00}"/>
    <cellStyle name="Currency 3 2 2 2 4 3" xfId="5460" xr:uid="{00000000-0005-0000-0000-0000C60A0000}"/>
    <cellStyle name="Currency 3 2 2 2 4 3 2" xfId="18121" xr:uid="{A3E417F4-4C33-40DD-B498-F407B24F1E8C}"/>
    <cellStyle name="Currency 3 2 2 2 4 4" xfId="9692" xr:uid="{6CCCED49-203B-482A-BAD5-ED57369B5F2B}"/>
    <cellStyle name="Currency 3 2 2 2 4 5" xfId="13903" xr:uid="{44B1E4B9-47B8-4BB0-AD77-EAFC5B966385}"/>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20679" xr:uid="{BDB8DBFE-64F9-4B68-91E7-2C6FC949B33A}"/>
    <cellStyle name="Currency 3 2 2 2 5 2 3" xfId="12250" xr:uid="{5B88A269-2F9F-44EA-9B24-DF394CBA6FCD}"/>
    <cellStyle name="Currency 3 2 2 2 5 2 4" xfId="16461" xr:uid="{875E3475-0EAA-4186-8CEE-663A3FEA5913}"/>
    <cellStyle name="Currency 3 2 2 2 5 3" xfId="5873" xr:uid="{00000000-0005-0000-0000-0000CA0A0000}"/>
    <cellStyle name="Currency 3 2 2 2 5 3 2" xfId="18534" xr:uid="{3C9E03C0-1736-4FF6-9D9B-9F0DD4CEB1EE}"/>
    <cellStyle name="Currency 3 2 2 2 5 4" xfId="10105" xr:uid="{FC95CF1D-A210-415B-9281-735C975EF910}"/>
    <cellStyle name="Currency 3 2 2 2 5 5" xfId="14316" xr:uid="{A5CDE1C6-D4C0-49F4-96C4-47BCB77B803F}"/>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21092" xr:uid="{3BA69D69-D73B-4B11-90A4-9A4AFA812254}"/>
    <cellStyle name="Currency 3 2 2 2 6 2 3" xfId="12663" xr:uid="{E175B031-07D1-457F-B575-F5A8E7A2512D}"/>
    <cellStyle name="Currency 3 2 2 2 6 2 4" xfId="16874" xr:uid="{18EE83E5-76E3-4908-AD8B-8950569D3B64}"/>
    <cellStyle name="Currency 3 2 2 2 6 3" xfId="6286" xr:uid="{00000000-0005-0000-0000-0000CE0A0000}"/>
    <cellStyle name="Currency 3 2 2 2 6 3 2" xfId="18947" xr:uid="{181765B7-93B5-434D-8449-646726A1487C}"/>
    <cellStyle name="Currency 3 2 2 2 6 4" xfId="10518" xr:uid="{ED384973-ACBF-4D72-87D8-39C2053906DE}"/>
    <cellStyle name="Currency 3 2 2 2 6 5" xfId="14729" xr:uid="{168D44A7-34AC-42A3-863F-8821821112FD}"/>
    <cellStyle name="Currency 3 2 2 2 7" xfId="2415" xr:uid="{00000000-0005-0000-0000-0000CF0A0000}"/>
    <cellStyle name="Currency 3 2 2 2 7 2" xfId="6699" xr:uid="{00000000-0005-0000-0000-0000D00A0000}"/>
    <cellStyle name="Currency 3 2 2 2 7 2 2" xfId="19360" xr:uid="{F93F4DE4-0AA0-4946-8EFC-C3B3678995D8}"/>
    <cellStyle name="Currency 3 2 2 2 7 3" xfId="10931" xr:uid="{A14267C5-2E49-4E52-85EE-C951D372349B}"/>
    <cellStyle name="Currency 3 2 2 2 7 4" xfId="15142" xr:uid="{FD8F2587-A6FE-4DAE-9C70-D48760A65367}"/>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9677" xr:uid="{C23CAE21-A1BB-453D-A351-9517E996C215}"/>
    <cellStyle name="Currency 3 2 2 2 9 3" xfId="11248" xr:uid="{985DEC68-F65B-4898-A91F-8F8753E5BAAB}"/>
    <cellStyle name="Currency 3 2 2 2 9 4" xfId="15459" xr:uid="{6887651F-30D7-41AF-9BDF-D45E99F4F542}"/>
    <cellStyle name="Currency 3 2 2 3" xfId="181" xr:uid="{00000000-0005-0000-0000-0000D40A0000}"/>
    <cellStyle name="Currency 3 2 2 3 10" xfId="8867" xr:uid="{6F5ECE2E-D5F7-4C12-AB1F-BD11A0313BB6}"/>
    <cellStyle name="Currency 3 2 2 3 11" xfId="13078" xr:uid="{C0DF9D0F-AAE7-4A6E-9FB7-97ABE36D20E5}"/>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9855" xr:uid="{A391DE3D-8962-43D2-899A-A03E44C37BD4}"/>
    <cellStyle name="Currency 3 2 2 3 2 2 3" xfId="11426" xr:uid="{DFE59839-0A21-487A-A030-5541C17F4224}"/>
    <cellStyle name="Currency 3 2 2 3 2 2 4" xfId="15637" xr:uid="{FE1641F9-4AE4-4DDE-9D7B-A5599015E9C3}"/>
    <cellStyle name="Currency 3 2 2 3 2 3" xfId="5049" xr:uid="{00000000-0005-0000-0000-0000D80A0000}"/>
    <cellStyle name="Currency 3 2 2 3 2 3 2" xfId="17710" xr:uid="{DF0D9BB2-71B0-475B-A465-D0CC8D4D9F64}"/>
    <cellStyle name="Currency 3 2 2 3 2 4" xfId="9281" xr:uid="{56775AC5-DA40-4CBF-8628-5BFE1F384553}"/>
    <cellStyle name="Currency 3 2 2 3 2 5" xfId="13492" xr:uid="{A8888BB7-DC24-407B-8676-58766700F25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20268" xr:uid="{61903350-0652-4078-87DC-77BE02739777}"/>
    <cellStyle name="Currency 3 2 2 3 3 2 3" xfId="11839" xr:uid="{B1F54D4E-7413-4935-A358-FC1CCA0C18A4}"/>
    <cellStyle name="Currency 3 2 2 3 3 2 4" xfId="16050" xr:uid="{B09BF306-0095-4A99-8EB4-7A7127120464}"/>
    <cellStyle name="Currency 3 2 2 3 3 3" xfId="5462" xr:uid="{00000000-0005-0000-0000-0000DC0A0000}"/>
    <cellStyle name="Currency 3 2 2 3 3 3 2" xfId="18123" xr:uid="{43716C9D-24A5-437C-A971-81FF52F8CE4E}"/>
    <cellStyle name="Currency 3 2 2 3 3 4" xfId="9694" xr:uid="{0DF50AB3-A972-4344-A538-A739F4E30484}"/>
    <cellStyle name="Currency 3 2 2 3 3 5" xfId="13905" xr:uid="{A79AEC7F-B5F7-4A98-93C5-9A63724B85CB}"/>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20681" xr:uid="{1A9D27DB-66E6-4BD6-B938-C901E12B0461}"/>
    <cellStyle name="Currency 3 2 2 3 4 2 3" xfId="12252" xr:uid="{CA0B085B-1301-485B-B74D-F5A2B9F4AC0E}"/>
    <cellStyle name="Currency 3 2 2 3 4 2 4" xfId="16463" xr:uid="{F542B89C-B81C-4185-A384-452103107F3D}"/>
    <cellStyle name="Currency 3 2 2 3 4 3" xfId="5875" xr:uid="{00000000-0005-0000-0000-0000E00A0000}"/>
    <cellStyle name="Currency 3 2 2 3 4 3 2" xfId="18536" xr:uid="{83806061-DD3E-46FF-9197-B246F80BCBBF}"/>
    <cellStyle name="Currency 3 2 2 3 4 4" xfId="10107" xr:uid="{34A082AF-C2B4-4915-AE57-DC995DEC4D89}"/>
    <cellStyle name="Currency 3 2 2 3 4 5" xfId="14318" xr:uid="{D9578363-830F-4E60-A682-1B4B018EBD21}"/>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21094" xr:uid="{5CDA5227-688E-4D21-B402-48BCEF884EAE}"/>
    <cellStyle name="Currency 3 2 2 3 5 2 3" xfId="12665" xr:uid="{CBEAD845-B6C6-495C-82FB-0D95BA7D5149}"/>
    <cellStyle name="Currency 3 2 2 3 5 2 4" xfId="16876" xr:uid="{00AE0FFD-D950-439B-BA03-54285B23D37F}"/>
    <cellStyle name="Currency 3 2 2 3 5 3" xfId="6288" xr:uid="{00000000-0005-0000-0000-0000E40A0000}"/>
    <cellStyle name="Currency 3 2 2 3 5 3 2" xfId="18949" xr:uid="{EEE96CFF-2BA8-49A8-A624-4236CB77FD40}"/>
    <cellStyle name="Currency 3 2 2 3 5 4" xfId="10520" xr:uid="{D3335146-7C62-424E-95DD-92061A10AA34}"/>
    <cellStyle name="Currency 3 2 2 3 5 5" xfId="14731" xr:uid="{D9668B0F-CA5D-4180-9518-E59FD77EF616}"/>
    <cellStyle name="Currency 3 2 2 3 6" xfId="2417" xr:uid="{00000000-0005-0000-0000-0000E50A0000}"/>
    <cellStyle name="Currency 3 2 2 3 6 2" xfId="6701" xr:uid="{00000000-0005-0000-0000-0000E60A0000}"/>
    <cellStyle name="Currency 3 2 2 3 6 2 2" xfId="19362" xr:uid="{62BC99E2-0F63-4F73-8834-49A2FD13E06E}"/>
    <cellStyle name="Currency 3 2 2 3 6 3" xfId="10933" xr:uid="{EE452D51-2E98-45C1-85E1-FB3CC75F38EE}"/>
    <cellStyle name="Currency 3 2 2 3 6 4" xfId="15144" xr:uid="{A4C84C65-2B95-42B0-9B7C-A247B25B108D}"/>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9679" xr:uid="{45ABEC83-DCC9-4E77-98F3-C716414C072C}"/>
    <cellStyle name="Currency 3 2 2 3 8 3" xfId="11250" xr:uid="{F83FF275-C5A4-47E8-8629-7CD99585ADE0}"/>
    <cellStyle name="Currency 3 2 2 3 8 4" xfId="15461" xr:uid="{B30A8C04-C4EF-42A1-82B3-BC3677CB1220}"/>
    <cellStyle name="Currency 3 2 2 3 9" xfId="4635" xr:uid="{00000000-0005-0000-0000-0000EA0A0000}"/>
    <cellStyle name="Currency 3 2 2 3 9 2" xfId="17296" xr:uid="{547C0417-0E8D-4546-B98C-15748429FAF2}"/>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9852" xr:uid="{765FE25A-082D-46A2-9106-355ED7890C78}"/>
    <cellStyle name="Currency 3 2 2 4 2 3" xfId="11423" xr:uid="{3996614F-04E7-434D-81B4-092C1A257C43}"/>
    <cellStyle name="Currency 3 2 2 4 2 4" xfId="15634" xr:uid="{E9CEE3F8-672F-4F7A-9AF5-21877436FE22}"/>
    <cellStyle name="Currency 3 2 2 4 3" xfId="5046" xr:uid="{00000000-0005-0000-0000-0000EE0A0000}"/>
    <cellStyle name="Currency 3 2 2 4 3 2" xfId="17707" xr:uid="{1E3B6EE1-0F54-4470-B56C-A7241D25AA3E}"/>
    <cellStyle name="Currency 3 2 2 4 4" xfId="9278" xr:uid="{E8AAD6DD-D90A-4BA6-AAA4-A6F3492E8085}"/>
    <cellStyle name="Currency 3 2 2 4 5" xfId="13489" xr:uid="{E78DB7B4-7E16-424D-8B78-CBADF55AD74D}"/>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20265" xr:uid="{83511E88-32B0-4F41-AF81-1322E713B587}"/>
    <cellStyle name="Currency 3 2 2 5 2 3" xfId="11836" xr:uid="{5C26D39C-AC6E-43FB-BE50-8DFFE122E5C9}"/>
    <cellStyle name="Currency 3 2 2 5 2 4" xfId="16047" xr:uid="{7867AA5A-2A79-4F49-BD4A-D0209ED88EB2}"/>
    <cellStyle name="Currency 3 2 2 5 3" xfId="5459" xr:uid="{00000000-0005-0000-0000-0000F20A0000}"/>
    <cellStyle name="Currency 3 2 2 5 3 2" xfId="18120" xr:uid="{AD96DF4E-B86C-4AA6-9A57-2E403829AF06}"/>
    <cellStyle name="Currency 3 2 2 5 4" xfId="9691" xr:uid="{933D1E79-04F6-49F4-AE9F-99D40A43227E}"/>
    <cellStyle name="Currency 3 2 2 5 5" xfId="13902" xr:uid="{6D3433EC-77F1-4622-95CB-9BD5F9105144}"/>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20678" xr:uid="{D479C215-667B-4EFF-8136-99D1C4B23487}"/>
    <cellStyle name="Currency 3 2 2 6 2 3" xfId="12249" xr:uid="{FB485AFB-1574-489C-8771-45C6A1070AE6}"/>
    <cellStyle name="Currency 3 2 2 6 2 4" xfId="16460" xr:uid="{6C999821-20A8-4DBC-8F66-B2BEFC80DE06}"/>
    <cellStyle name="Currency 3 2 2 6 3" xfId="5872" xr:uid="{00000000-0005-0000-0000-0000F60A0000}"/>
    <cellStyle name="Currency 3 2 2 6 3 2" xfId="18533" xr:uid="{D0529278-C2F6-4B7F-B20C-8BBAD1AE0FCE}"/>
    <cellStyle name="Currency 3 2 2 6 4" xfId="10104" xr:uid="{70BDD4AF-2DD3-4B6D-854A-E3F91563C85A}"/>
    <cellStyle name="Currency 3 2 2 6 5" xfId="14315" xr:uid="{9ECF037C-24C0-49E1-83F2-6BBE20EB5833}"/>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21091" xr:uid="{1AE30C7C-7BFF-41B6-A4DC-5A1E4F9F976E}"/>
    <cellStyle name="Currency 3 2 2 7 2 3" xfId="12662" xr:uid="{935EA6B0-F3EB-4D1F-84A2-252CF36410A0}"/>
    <cellStyle name="Currency 3 2 2 7 2 4" xfId="16873" xr:uid="{C26D1ED7-91DD-4F4B-87CB-92346EA6FB0F}"/>
    <cellStyle name="Currency 3 2 2 7 3" xfId="6285" xr:uid="{00000000-0005-0000-0000-0000FA0A0000}"/>
    <cellStyle name="Currency 3 2 2 7 3 2" xfId="18946" xr:uid="{A6C0B91D-DCD0-43CF-AED2-47C70FD772D3}"/>
    <cellStyle name="Currency 3 2 2 7 4" xfId="10517" xr:uid="{A650769F-8835-4671-A4FB-9F61F67A2CE3}"/>
    <cellStyle name="Currency 3 2 2 7 5" xfId="14728" xr:uid="{485CEF94-E139-4E71-9BC9-F588675C9A8A}"/>
    <cellStyle name="Currency 3 2 2 8" xfId="2414" xr:uid="{00000000-0005-0000-0000-0000FB0A0000}"/>
    <cellStyle name="Currency 3 2 2 8 2" xfId="6698" xr:uid="{00000000-0005-0000-0000-0000FC0A0000}"/>
    <cellStyle name="Currency 3 2 2 8 2 2" xfId="19359" xr:uid="{C10A9D3C-9932-4B31-B94F-FC07B4582BC6}"/>
    <cellStyle name="Currency 3 2 2 8 3" xfId="10930" xr:uid="{1C2D41AF-A888-4777-A927-4F61F571D30F}"/>
    <cellStyle name="Currency 3 2 2 8 4" xfId="15141" xr:uid="{7B3D9712-0A8B-4127-AE64-8235B3CB68D8}"/>
    <cellStyle name="Currency 3 2 2 9" xfId="2711" xr:uid="{00000000-0005-0000-0000-0000FD0A0000}"/>
    <cellStyle name="Currency 3 2 3" xfId="182" xr:uid="{00000000-0005-0000-0000-0000FE0A0000}"/>
    <cellStyle name="Currency 3 2 3 10" xfId="4636" xr:uid="{00000000-0005-0000-0000-0000FF0A0000}"/>
    <cellStyle name="Currency 3 2 3 10 2" xfId="17297" xr:uid="{FC2CE60C-C257-4045-BA5D-A2152B4A5254}"/>
    <cellStyle name="Currency 3 2 3 11" xfId="8868" xr:uid="{CFAFBB02-55AB-4B99-91C7-6CA72335375B}"/>
    <cellStyle name="Currency 3 2 3 12" xfId="13079" xr:uid="{D95F0F4A-339D-449B-AF92-BDBDB34E1EF0}"/>
    <cellStyle name="Currency 3 2 3 2" xfId="183" xr:uid="{00000000-0005-0000-0000-0000000B0000}"/>
    <cellStyle name="Currency 3 2 3 2 10" xfId="8869" xr:uid="{6E6A6909-4161-4AFF-A4D4-B0013A0B2175}"/>
    <cellStyle name="Currency 3 2 3 2 11" xfId="13080" xr:uid="{98F2964D-BF04-4F25-A783-6E0146768AF4}"/>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9857" xr:uid="{08636000-3A56-4FAF-BCAE-BD2ABDEEA47D}"/>
    <cellStyle name="Currency 3 2 3 2 2 2 3" xfId="11428" xr:uid="{3BF1854A-D013-4AAC-8D97-CC236091B4FE}"/>
    <cellStyle name="Currency 3 2 3 2 2 2 4" xfId="15639" xr:uid="{1593DC58-B228-49BC-B922-5C089F3C091B}"/>
    <cellStyle name="Currency 3 2 3 2 2 3" xfId="5051" xr:uid="{00000000-0005-0000-0000-0000040B0000}"/>
    <cellStyle name="Currency 3 2 3 2 2 3 2" xfId="17712" xr:uid="{45786245-C123-4264-9FB3-A91CB10A5DB6}"/>
    <cellStyle name="Currency 3 2 3 2 2 4" xfId="9283" xr:uid="{400AECCD-37D5-4C4F-A73A-E766451A9D1C}"/>
    <cellStyle name="Currency 3 2 3 2 2 5" xfId="13494" xr:uid="{806D2B2B-6600-48D0-8691-68C321A7F426}"/>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20270" xr:uid="{FB90CEBA-4E7D-4AE0-9335-AEFA90D181F0}"/>
    <cellStyle name="Currency 3 2 3 2 3 2 3" xfId="11841" xr:uid="{21BA24C3-9A19-4BF0-95F4-EBD2BE7B6A6C}"/>
    <cellStyle name="Currency 3 2 3 2 3 2 4" xfId="16052" xr:uid="{061F7787-8A1B-4AD0-BA84-7A03EECB67A0}"/>
    <cellStyle name="Currency 3 2 3 2 3 3" xfId="5464" xr:uid="{00000000-0005-0000-0000-0000080B0000}"/>
    <cellStyle name="Currency 3 2 3 2 3 3 2" xfId="18125" xr:uid="{80D85EB7-F965-4F00-8ED7-775B3239B60C}"/>
    <cellStyle name="Currency 3 2 3 2 3 4" xfId="9696" xr:uid="{38BC119A-051D-4CDB-A6EF-905F2170A948}"/>
    <cellStyle name="Currency 3 2 3 2 3 5" xfId="13907" xr:uid="{896D3A3D-F28A-4368-B6BA-FA28C36FA399}"/>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20683" xr:uid="{C496E790-A037-4A8E-B55D-70168555DC19}"/>
    <cellStyle name="Currency 3 2 3 2 4 2 3" xfId="12254" xr:uid="{D3A8E915-CCD0-4ED6-8AE2-EC9D69A71956}"/>
    <cellStyle name="Currency 3 2 3 2 4 2 4" xfId="16465" xr:uid="{605B464D-CC0C-4474-9EF5-AA9D969B2D3B}"/>
    <cellStyle name="Currency 3 2 3 2 4 3" xfId="5877" xr:uid="{00000000-0005-0000-0000-00000C0B0000}"/>
    <cellStyle name="Currency 3 2 3 2 4 3 2" xfId="18538" xr:uid="{E6B5B96B-6D74-492F-9F9A-A2AB66D9AC60}"/>
    <cellStyle name="Currency 3 2 3 2 4 4" xfId="10109" xr:uid="{C1221510-DF2A-481D-A56B-A5C3376A4403}"/>
    <cellStyle name="Currency 3 2 3 2 4 5" xfId="14320" xr:uid="{7D5313BB-5096-406C-B61B-71D6E47D15FE}"/>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21096" xr:uid="{43063F90-B12C-46EB-9E3A-C36F26F692FB}"/>
    <cellStyle name="Currency 3 2 3 2 5 2 3" xfId="12667" xr:uid="{889F6D16-975E-43AF-9B92-39A6BF08C9BC}"/>
    <cellStyle name="Currency 3 2 3 2 5 2 4" xfId="16878" xr:uid="{2A323E24-420F-4676-BEF3-FB05DB861970}"/>
    <cellStyle name="Currency 3 2 3 2 5 3" xfId="6290" xr:uid="{00000000-0005-0000-0000-0000100B0000}"/>
    <cellStyle name="Currency 3 2 3 2 5 3 2" xfId="18951" xr:uid="{D8A98CAB-1BC6-4192-AF3D-1DD497EEB3C2}"/>
    <cellStyle name="Currency 3 2 3 2 5 4" xfId="10522" xr:uid="{2A5422B1-7AC0-4334-BD37-2FE9B19EF74F}"/>
    <cellStyle name="Currency 3 2 3 2 5 5" xfId="14733" xr:uid="{1548EE16-98A1-4F16-94EB-DAEBC1874CEE}"/>
    <cellStyle name="Currency 3 2 3 2 6" xfId="2419" xr:uid="{00000000-0005-0000-0000-0000110B0000}"/>
    <cellStyle name="Currency 3 2 3 2 6 2" xfId="6703" xr:uid="{00000000-0005-0000-0000-0000120B0000}"/>
    <cellStyle name="Currency 3 2 3 2 6 2 2" xfId="19364" xr:uid="{A8DAAE8E-F909-42AD-8C2E-D8E9C7DC519A}"/>
    <cellStyle name="Currency 3 2 3 2 6 3" xfId="10935" xr:uid="{FBD1A503-2ED8-4A7D-8BA0-B7993B14C960}"/>
    <cellStyle name="Currency 3 2 3 2 6 4" xfId="15146" xr:uid="{F79E4C49-AAF2-4F42-99C4-A55AE9134A61}"/>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9681" xr:uid="{87B8E181-3E77-4C95-BD5C-51F15FC16FFA}"/>
    <cellStyle name="Currency 3 2 3 2 8 3" xfId="11252" xr:uid="{B4325383-AA61-43A9-BD00-DF8918F8DC4E}"/>
    <cellStyle name="Currency 3 2 3 2 8 4" xfId="15463" xr:uid="{76B68E23-57A7-4E70-B063-EB7F7A73C4A2}"/>
    <cellStyle name="Currency 3 2 3 2 9" xfId="4637" xr:uid="{00000000-0005-0000-0000-0000160B0000}"/>
    <cellStyle name="Currency 3 2 3 2 9 2" xfId="17298" xr:uid="{96B2D407-4B80-4DCC-AE63-7E7DDE0A243B}"/>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9856" xr:uid="{76D92BD5-6928-4F76-A9DB-CAF1C14CB4A0}"/>
    <cellStyle name="Currency 3 2 3 3 2 3" xfId="11427" xr:uid="{BA68F8E9-2C65-4300-8F62-8A0AEC57588F}"/>
    <cellStyle name="Currency 3 2 3 3 2 4" xfId="15638" xr:uid="{E19E7C5B-C2FB-464E-B95E-DA8D221323BA}"/>
    <cellStyle name="Currency 3 2 3 3 3" xfId="5050" xr:uid="{00000000-0005-0000-0000-00001A0B0000}"/>
    <cellStyle name="Currency 3 2 3 3 3 2" xfId="17711" xr:uid="{53A15B6C-6C40-4307-9282-59B38BE20599}"/>
    <cellStyle name="Currency 3 2 3 3 4" xfId="9282" xr:uid="{A8A1EB1F-204A-4252-81F2-E0BDBE726DE5}"/>
    <cellStyle name="Currency 3 2 3 3 5" xfId="13493" xr:uid="{6F81E11A-CDBA-4C75-B4F5-42D54527B621}"/>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20269" xr:uid="{971D7E96-5EFD-478D-B99B-7A4A15940378}"/>
    <cellStyle name="Currency 3 2 3 4 2 3" xfId="11840" xr:uid="{FC26D537-30FA-4B8C-B7C5-400A1D8723A8}"/>
    <cellStyle name="Currency 3 2 3 4 2 4" xfId="16051" xr:uid="{35704117-5E2D-440B-8FDA-1638F5AAA2DD}"/>
    <cellStyle name="Currency 3 2 3 4 3" xfId="5463" xr:uid="{00000000-0005-0000-0000-00001E0B0000}"/>
    <cellStyle name="Currency 3 2 3 4 3 2" xfId="18124" xr:uid="{16F67819-E548-48F6-A04F-AB83A78AAF01}"/>
    <cellStyle name="Currency 3 2 3 4 4" xfId="9695" xr:uid="{A8867249-2C16-4F2D-B26F-CC62E500018E}"/>
    <cellStyle name="Currency 3 2 3 4 5" xfId="13906" xr:uid="{C95B7C3A-F399-4963-B906-ACC00B920552}"/>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20682" xr:uid="{AAF101E0-34C3-4EAD-9E56-033099CE3887}"/>
    <cellStyle name="Currency 3 2 3 5 2 3" xfId="12253" xr:uid="{A84F3EBC-F9AC-414C-BDD7-542D6EC05C3B}"/>
    <cellStyle name="Currency 3 2 3 5 2 4" xfId="16464" xr:uid="{49E96208-44A1-4BA8-8DE8-04C9AF3A2F09}"/>
    <cellStyle name="Currency 3 2 3 5 3" xfId="5876" xr:uid="{00000000-0005-0000-0000-0000220B0000}"/>
    <cellStyle name="Currency 3 2 3 5 3 2" xfId="18537" xr:uid="{1825C39A-8295-4285-BDA6-320C6356A378}"/>
    <cellStyle name="Currency 3 2 3 5 4" xfId="10108" xr:uid="{491D5773-FCF5-4201-890B-C798570313E9}"/>
    <cellStyle name="Currency 3 2 3 5 5" xfId="14319" xr:uid="{0280FB68-0EF7-4B5D-8D62-E735A20E4A53}"/>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21095" xr:uid="{F18D5823-95F8-47E0-8961-BB53309A454F}"/>
    <cellStyle name="Currency 3 2 3 6 2 3" xfId="12666" xr:uid="{B70D1F70-31E6-4B8E-9AE9-9E23A4B978E3}"/>
    <cellStyle name="Currency 3 2 3 6 2 4" xfId="16877" xr:uid="{5612E86A-99F3-47EF-AF18-215ED658D2F1}"/>
    <cellStyle name="Currency 3 2 3 6 3" xfId="6289" xr:uid="{00000000-0005-0000-0000-0000260B0000}"/>
    <cellStyle name="Currency 3 2 3 6 3 2" xfId="18950" xr:uid="{A01E5188-F33E-4613-ACBE-A24BB8EAB586}"/>
    <cellStyle name="Currency 3 2 3 6 4" xfId="10521" xr:uid="{6153FD35-9BF3-49BD-9C80-37D12D9EC437}"/>
    <cellStyle name="Currency 3 2 3 6 5" xfId="14732" xr:uid="{93D7D59B-A293-4DFD-9797-5DA421616F04}"/>
    <cellStyle name="Currency 3 2 3 7" xfId="2418" xr:uid="{00000000-0005-0000-0000-0000270B0000}"/>
    <cellStyle name="Currency 3 2 3 7 2" xfId="6702" xr:uid="{00000000-0005-0000-0000-0000280B0000}"/>
    <cellStyle name="Currency 3 2 3 7 2 2" xfId="19363" xr:uid="{F8BD33C3-6369-45CE-BB2D-6140610D6710}"/>
    <cellStyle name="Currency 3 2 3 7 3" xfId="10934" xr:uid="{C8593F50-1EAA-430C-B01E-77EA34E0D551}"/>
    <cellStyle name="Currency 3 2 3 7 4" xfId="15145" xr:uid="{A82FCB52-4A64-4710-87E6-9CB5E66603CD}"/>
    <cellStyle name="Currency 3 2 3 8" xfId="2715" xr:uid="{00000000-0005-0000-0000-0000290B0000}"/>
    <cellStyle name="Currency 3 2 3 9" xfId="2796" xr:uid="{00000000-0005-0000-0000-00002A0B0000}"/>
    <cellStyle name="Currency 3 2 3 9 2" xfId="7019" xr:uid="{00000000-0005-0000-0000-00002B0B0000}"/>
    <cellStyle name="Currency 3 2 3 9 2 2" xfId="19680" xr:uid="{BC184D80-B8A4-4DD8-8F4D-B44C2DE83386}"/>
    <cellStyle name="Currency 3 2 3 9 3" xfId="11251" xr:uid="{E065BBFD-E76E-4F10-9CE0-149BC3C095CB}"/>
    <cellStyle name="Currency 3 2 3 9 4" xfId="15462" xr:uid="{46926D96-4472-4F4C-AED1-E560839FA72E}"/>
    <cellStyle name="Currency 3 2 4" xfId="184" xr:uid="{00000000-0005-0000-0000-00002C0B0000}"/>
    <cellStyle name="Currency 3 2 4 10" xfId="8870" xr:uid="{5DE42D86-9646-413C-BF95-682D2D2090FB}"/>
    <cellStyle name="Currency 3 2 4 11" xfId="13081" xr:uid="{FED5B840-4E82-493F-A397-C915CFF1DE8E}"/>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9858" xr:uid="{A28B9534-D32F-4D28-9AFB-477B29244A19}"/>
    <cellStyle name="Currency 3 2 4 2 2 3" xfId="11429" xr:uid="{6FBE93C7-99FF-4082-8854-00314E93BA87}"/>
    <cellStyle name="Currency 3 2 4 2 2 4" xfId="15640" xr:uid="{E7FB1C4F-C602-4073-9D71-AD6C82E52726}"/>
    <cellStyle name="Currency 3 2 4 2 3" xfId="5052" xr:uid="{00000000-0005-0000-0000-0000300B0000}"/>
    <cellStyle name="Currency 3 2 4 2 3 2" xfId="17713" xr:uid="{B825AB61-580E-486E-890E-E4AF1A88C2AB}"/>
    <cellStyle name="Currency 3 2 4 2 4" xfId="9284" xr:uid="{BE9A0A78-48AF-4C91-89F6-AE4B50D2283B}"/>
    <cellStyle name="Currency 3 2 4 2 5" xfId="13495" xr:uid="{A75FE8E1-4529-4CD8-842D-F5C88EEEA75F}"/>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20271" xr:uid="{492FCFFF-086C-492D-8F24-A8D08E5FBD04}"/>
    <cellStyle name="Currency 3 2 4 3 2 3" xfId="11842" xr:uid="{A861338D-88A2-4FA8-9202-54B5E60581C4}"/>
    <cellStyle name="Currency 3 2 4 3 2 4" xfId="16053" xr:uid="{8AA27478-0255-436B-82DE-0012AFFD3F7C}"/>
    <cellStyle name="Currency 3 2 4 3 3" xfId="5465" xr:uid="{00000000-0005-0000-0000-0000340B0000}"/>
    <cellStyle name="Currency 3 2 4 3 3 2" xfId="18126" xr:uid="{FE89CCF4-1AA1-474E-BD7C-ACAB96C68559}"/>
    <cellStyle name="Currency 3 2 4 3 4" xfId="9697" xr:uid="{3BEDD9CF-F203-4765-96F4-EE9696733D01}"/>
    <cellStyle name="Currency 3 2 4 3 5" xfId="13908" xr:uid="{476C90A9-6970-44D7-B007-2B52D31455DF}"/>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20684" xr:uid="{714B2011-C9D9-4E50-B277-D3CEAD7B69A2}"/>
    <cellStyle name="Currency 3 2 4 4 2 3" xfId="12255" xr:uid="{343B2DDF-14F9-4902-ABBE-43E349DC7377}"/>
    <cellStyle name="Currency 3 2 4 4 2 4" xfId="16466" xr:uid="{A35A61C3-85A7-4F93-A8B3-88060675E004}"/>
    <cellStyle name="Currency 3 2 4 4 3" xfId="5878" xr:uid="{00000000-0005-0000-0000-0000380B0000}"/>
    <cellStyle name="Currency 3 2 4 4 3 2" xfId="18539" xr:uid="{A1A4609A-1623-40E9-B310-00DDB52BCCFF}"/>
    <cellStyle name="Currency 3 2 4 4 4" xfId="10110" xr:uid="{F35CA35E-5EDA-4826-8268-4FF1AC46E61B}"/>
    <cellStyle name="Currency 3 2 4 4 5" xfId="14321" xr:uid="{96D113CA-F94B-42C0-9512-25FC3903C550}"/>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21097" xr:uid="{BA966DB6-88A8-4E37-9BCF-754CA07AA63D}"/>
    <cellStyle name="Currency 3 2 4 5 2 3" xfId="12668" xr:uid="{4CBF8A5C-EA7E-42FC-9E75-999320E7FB70}"/>
    <cellStyle name="Currency 3 2 4 5 2 4" xfId="16879" xr:uid="{8161E842-AC61-44B1-9155-3E106E6BE41C}"/>
    <cellStyle name="Currency 3 2 4 5 3" xfId="6291" xr:uid="{00000000-0005-0000-0000-00003C0B0000}"/>
    <cellStyle name="Currency 3 2 4 5 3 2" xfId="18952" xr:uid="{BDE2B0E9-237C-4D45-902B-DFEABA86DC3C}"/>
    <cellStyle name="Currency 3 2 4 5 4" xfId="10523" xr:uid="{F3D17793-388F-425F-BA90-AD1B3654C3EF}"/>
    <cellStyle name="Currency 3 2 4 5 5" xfId="14734" xr:uid="{EFBEAE46-2D9A-4BB0-9424-8C7DEE715F34}"/>
    <cellStyle name="Currency 3 2 4 6" xfId="2420" xr:uid="{00000000-0005-0000-0000-00003D0B0000}"/>
    <cellStyle name="Currency 3 2 4 6 2" xfId="6704" xr:uid="{00000000-0005-0000-0000-00003E0B0000}"/>
    <cellStyle name="Currency 3 2 4 6 2 2" xfId="19365" xr:uid="{606FDDF9-A9E9-4454-ACB4-4F2A27E0A3A3}"/>
    <cellStyle name="Currency 3 2 4 6 3" xfId="10936" xr:uid="{63F866A7-ACD0-4EAA-B175-6AFD1AEB54B9}"/>
    <cellStyle name="Currency 3 2 4 6 4" xfId="15147" xr:uid="{C7811CE4-61DE-48CB-B1FB-7EC983371B56}"/>
    <cellStyle name="Currency 3 2 4 7" xfId="2717" xr:uid="{00000000-0005-0000-0000-00003F0B0000}"/>
    <cellStyle name="Currency 3 2 4 8" xfId="2798" xr:uid="{00000000-0005-0000-0000-0000400B0000}"/>
    <cellStyle name="Currency 3 2 4 8 2" xfId="7021" xr:uid="{00000000-0005-0000-0000-0000410B0000}"/>
    <cellStyle name="Currency 3 2 4 8 2 2" xfId="19682" xr:uid="{1B51322E-5B5D-481F-A0F2-44099CA6510C}"/>
    <cellStyle name="Currency 3 2 4 8 3" xfId="11253" xr:uid="{95424C43-A5D5-455F-BC1D-45A557E086E3}"/>
    <cellStyle name="Currency 3 2 4 8 4" xfId="15464" xr:uid="{AE62DA07-DCE2-405C-BB52-3908BD1FEB81}"/>
    <cellStyle name="Currency 3 2 4 9" xfId="4638" xr:uid="{00000000-0005-0000-0000-0000420B0000}"/>
    <cellStyle name="Currency 3 2 4 9 2" xfId="17299" xr:uid="{31692DA8-32C2-42D1-BFBA-7D2021450FD6}"/>
    <cellStyle name="Currency 3 2 5" xfId="185" xr:uid="{00000000-0005-0000-0000-0000430B0000}"/>
    <cellStyle name="Currency 3 2 5 10" xfId="8871" xr:uid="{06749159-A654-459F-87C2-E1D1E87FDDC9}"/>
    <cellStyle name="Currency 3 2 5 11" xfId="13082" xr:uid="{301285E9-D362-4BDA-8096-814AE0958CE8}"/>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9859" xr:uid="{CA2CF9A8-FEF8-4D4E-A142-A017C8918B61}"/>
    <cellStyle name="Currency 3 2 5 2 2 3" xfId="11430" xr:uid="{1C8976C1-0595-47B5-9C5A-890BD5FE92D2}"/>
    <cellStyle name="Currency 3 2 5 2 2 4" xfId="15641" xr:uid="{2BC1E16F-9115-4185-B5D4-104DAE021DB1}"/>
    <cellStyle name="Currency 3 2 5 2 3" xfId="5053" xr:uid="{00000000-0005-0000-0000-0000470B0000}"/>
    <cellStyle name="Currency 3 2 5 2 3 2" xfId="17714" xr:uid="{6CC4981D-3029-4C7D-B3A2-5EF19B928778}"/>
    <cellStyle name="Currency 3 2 5 2 4" xfId="9285" xr:uid="{E748F90B-1D10-4E88-A032-57D01DB57CF9}"/>
    <cellStyle name="Currency 3 2 5 2 5" xfId="13496" xr:uid="{DBE92549-B4D1-4874-8C74-80DF52C9B557}"/>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20272" xr:uid="{DA3EF245-A13B-4B17-A7DF-679FB104A820}"/>
    <cellStyle name="Currency 3 2 5 3 2 3" xfId="11843" xr:uid="{F8D6FD4F-2D6A-4D96-B6B3-C768AE492E18}"/>
    <cellStyle name="Currency 3 2 5 3 2 4" xfId="16054" xr:uid="{7415A785-315F-48F1-8E8C-78EAF2D2C8E9}"/>
    <cellStyle name="Currency 3 2 5 3 3" xfId="5466" xr:uid="{00000000-0005-0000-0000-00004B0B0000}"/>
    <cellStyle name="Currency 3 2 5 3 3 2" xfId="18127" xr:uid="{65C52940-96EA-40E3-A077-1A7688069355}"/>
    <cellStyle name="Currency 3 2 5 3 4" xfId="9698" xr:uid="{29293CBD-C236-4669-B61F-994E577CBE16}"/>
    <cellStyle name="Currency 3 2 5 3 5" xfId="13909" xr:uid="{98A6C508-DA5A-4962-A899-C7C9079A3BBA}"/>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20685" xr:uid="{048F0F20-7589-4FB1-BF50-92938B5C7DB7}"/>
    <cellStyle name="Currency 3 2 5 4 2 3" xfId="12256" xr:uid="{71C2A135-8568-4836-A89C-7A5C87D36734}"/>
    <cellStyle name="Currency 3 2 5 4 2 4" xfId="16467" xr:uid="{D1E86233-A8A5-4C86-8F5F-9C79606EF553}"/>
    <cellStyle name="Currency 3 2 5 4 3" xfId="5879" xr:uid="{00000000-0005-0000-0000-00004F0B0000}"/>
    <cellStyle name="Currency 3 2 5 4 3 2" xfId="18540" xr:uid="{F3768AD0-4DF4-40BB-B28C-E542ACAA3E87}"/>
    <cellStyle name="Currency 3 2 5 4 4" xfId="10111" xr:uid="{4FA35FA0-4C38-4622-9ADD-7A99221079B3}"/>
    <cellStyle name="Currency 3 2 5 4 5" xfId="14322" xr:uid="{B07498A3-A903-4D47-A892-73207BB10515}"/>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21098" xr:uid="{CBB84466-72C5-47AA-9210-7FAD67CCE4A6}"/>
    <cellStyle name="Currency 3 2 5 5 2 3" xfId="12669" xr:uid="{05EE9D35-1670-4253-95E6-EEFE015CA11E}"/>
    <cellStyle name="Currency 3 2 5 5 2 4" xfId="16880" xr:uid="{E1D475F0-06E1-43E4-9586-4F63F90E8E0A}"/>
    <cellStyle name="Currency 3 2 5 5 3" xfId="6292" xr:uid="{00000000-0005-0000-0000-0000530B0000}"/>
    <cellStyle name="Currency 3 2 5 5 3 2" xfId="18953" xr:uid="{3D7B7A9B-8DC4-46C1-932E-517096C80470}"/>
    <cellStyle name="Currency 3 2 5 5 4" xfId="10524" xr:uid="{D4AAEF98-54FF-4955-AC23-3F6314F1CF68}"/>
    <cellStyle name="Currency 3 2 5 5 5" xfId="14735" xr:uid="{50C1AAA2-96A2-4D27-899A-2322BEE07883}"/>
    <cellStyle name="Currency 3 2 5 6" xfId="2421" xr:uid="{00000000-0005-0000-0000-0000540B0000}"/>
    <cellStyle name="Currency 3 2 5 6 2" xfId="6705" xr:uid="{00000000-0005-0000-0000-0000550B0000}"/>
    <cellStyle name="Currency 3 2 5 6 2 2" xfId="19366" xr:uid="{93D27EC0-06D9-4058-AAC5-C679C7324696}"/>
    <cellStyle name="Currency 3 2 5 6 3" xfId="10937" xr:uid="{22900DAA-6EBB-47DE-BCDC-602B83D8A0A2}"/>
    <cellStyle name="Currency 3 2 5 6 4" xfId="15148" xr:uid="{C2AAB030-59D4-4915-849A-51D9B739FC68}"/>
    <cellStyle name="Currency 3 2 5 7" xfId="2718" xr:uid="{00000000-0005-0000-0000-0000560B0000}"/>
    <cellStyle name="Currency 3 2 5 8" xfId="2799" xr:uid="{00000000-0005-0000-0000-0000570B0000}"/>
    <cellStyle name="Currency 3 2 5 8 2" xfId="7022" xr:uid="{00000000-0005-0000-0000-0000580B0000}"/>
    <cellStyle name="Currency 3 2 5 8 2 2" xfId="19683" xr:uid="{3FEF17D2-44C2-4870-B2AD-F096F5C0D6FB}"/>
    <cellStyle name="Currency 3 2 5 8 3" xfId="11254" xr:uid="{1F76A580-57C1-4AE8-A2B7-7D76BA9D1008}"/>
    <cellStyle name="Currency 3 2 5 8 4" xfId="15465" xr:uid="{2A95A803-58C1-4787-94E5-8AC9523C584B}"/>
    <cellStyle name="Currency 3 2 5 9" xfId="4639" xr:uid="{00000000-0005-0000-0000-0000590B0000}"/>
    <cellStyle name="Currency 3 2 5 9 2" xfId="17300" xr:uid="{3783EA20-1325-4738-A638-7356E55DFB7E}"/>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9684" xr:uid="{1D412363-DAF3-4FC5-B173-A8D0469D6DD8}"/>
    <cellStyle name="Currency 5 2 2 2 10 3" xfId="11255" xr:uid="{6961676C-C822-47C3-85BE-533D0EC6414D}"/>
    <cellStyle name="Currency 5 2 2 2 10 4" xfId="15466" xr:uid="{1CA1909E-FBF0-411C-AD4E-B473039C02C8}"/>
    <cellStyle name="Currency 5 2 2 2 11" xfId="4640" xr:uid="{00000000-0005-0000-0000-00006C0B0000}"/>
    <cellStyle name="Currency 5 2 2 2 11 2" xfId="17301" xr:uid="{F4E83325-D9E9-4738-93EA-9FCA481A6692}"/>
    <cellStyle name="Currency 5 2 2 2 12" xfId="8872" xr:uid="{9FB4A04E-39F0-4F19-AA51-595403880D4B}"/>
    <cellStyle name="Currency 5 2 2 2 13" xfId="13083" xr:uid="{57FDF8CD-BF35-40F6-B93F-4C219230F4E4}"/>
    <cellStyle name="Currency 5 2 2 2 2" xfId="197" xr:uid="{00000000-0005-0000-0000-00006D0B0000}"/>
    <cellStyle name="Currency 5 2 2 2 2 10" xfId="4641" xr:uid="{00000000-0005-0000-0000-00006E0B0000}"/>
    <cellStyle name="Currency 5 2 2 2 2 10 2" xfId="17302" xr:uid="{95235CD8-D49D-4E0A-BE23-C9A7042DE10D}"/>
    <cellStyle name="Currency 5 2 2 2 2 11" xfId="8873" xr:uid="{0812DA56-488C-47EE-AF32-25D4790F1315}"/>
    <cellStyle name="Currency 5 2 2 2 2 12" xfId="13084" xr:uid="{B5CA4702-B73E-49BE-970A-252E57048A3A}"/>
    <cellStyle name="Currency 5 2 2 2 2 2" xfId="198" xr:uid="{00000000-0005-0000-0000-00006F0B0000}"/>
    <cellStyle name="Currency 5 2 2 2 2 2 10" xfId="8874" xr:uid="{96A02214-0E9F-404D-96B4-A2D1676C8E44}"/>
    <cellStyle name="Currency 5 2 2 2 2 2 11" xfId="13085" xr:uid="{D9325673-3859-418F-8D3F-4DB74E8492F1}"/>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9862" xr:uid="{C39CA26B-CD54-4463-9783-D189A2E9CCE9}"/>
    <cellStyle name="Currency 5 2 2 2 2 2 2 2 3" xfId="11433" xr:uid="{BD5B817C-6835-4FED-8EBC-976B00F2D91A}"/>
    <cellStyle name="Currency 5 2 2 2 2 2 2 2 4" xfId="15644" xr:uid="{9CA4BCDE-9BDE-43CA-8D25-A93F3D537394}"/>
    <cellStyle name="Currency 5 2 2 2 2 2 2 3" xfId="5056" xr:uid="{00000000-0005-0000-0000-0000730B0000}"/>
    <cellStyle name="Currency 5 2 2 2 2 2 2 3 2" xfId="17717" xr:uid="{F8CF16ED-194C-4AB4-8D42-4F92EBA4ACBF}"/>
    <cellStyle name="Currency 5 2 2 2 2 2 2 4" xfId="9288" xr:uid="{9613632C-6D49-4CA4-8E0D-56D84E23E476}"/>
    <cellStyle name="Currency 5 2 2 2 2 2 2 5" xfId="13499" xr:uid="{999B4D8C-BD04-42F8-8380-32549CA4A5EC}"/>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20275" xr:uid="{BA6BCDDE-F901-4C2A-8195-CD3491EA7AEB}"/>
    <cellStyle name="Currency 5 2 2 2 2 2 3 2 3" xfId="11846" xr:uid="{51F18544-CAB3-477A-A076-67DC3B4B71BA}"/>
    <cellStyle name="Currency 5 2 2 2 2 2 3 2 4" xfId="16057" xr:uid="{8562BB5F-EAF9-4BC7-8A20-17153106C225}"/>
    <cellStyle name="Currency 5 2 2 2 2 2 3 3" xfId="5469" xr:uid="{00000000-0005-0000-0000-0000770B0000}"/>
    <cellStyle name="Currency 5 2 2 2 2 2 3 3 2" xfId="18130" xr:uid="{0C932E52-BFFB-4CE7-B147-5339C31B0ACA}"/>
    <cellStyle name="Currency 5 2 2 2 2 2 3 4" xfId="9701" xr:uid="{E4E1406B-8F5E-49FB-8D6F-6F98FC54DBAB}"/>
    <cellStyle name="Currency 5 2 2 2 2 2 3 5" xfId="13912" xr:uid="{C505201D-0F28-4FE5-9A6F-67984683038E}"/>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20688" xr:uid="{F5F2F2F1-6FFC-421A-B716-D14324C4FB1C}"/>
    <cellStyle name="Currency 5 2 2 2 2 2 4 2 3" xfId="12259" xr:uid="{F03A1FF2-0E01-4337-B47C-42950B7730CA}"/>
    <cellStyle name="Currency 5 2 2 2 2 2 4 2 4" xfId="16470" xr:uid="{31383565-2935-45CA-BBA9-F30218BAE077}"/>
    <cellStyle name="Currency 5 2 2 2 2 2 4 3" xfId="5882" xr:uid="{00000000-0005-0000-0000-00007B0B0000}"/>
    <cellStyle name="Currency 5 2 2 2 2 2 4 3 2" xfId="18543" xr:uid="{40774B28-660C-40EA-A925-B2E8233D7A9A}"/>
    <cellStyle name="Currency 5 2 2 2 2 2 4 4" xfId="10114" xr:uid="{C4724D17-95CE-4CA5-8F89-7DCFE258C1A0}"/>
    <cellStyle name="Currency 5 2 2 2 2 2 4 5" xfId="14325" xr:uid="{9313C6EF-4149-4A0F-9F1B-CD57F18F30D4}"/>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21101" xr:uid="{CB35E1BC-DDAF-49E2-AC94-8F2215071595}"/>
    <cellStyle name="Currency 5 2 2 2 2 2 5 2 3" xfId="12672" xr:uid="{21DA45FA-5557-4310-BA0F-7300491024C1}"/>
    <cellStyle name="Currency 5 2 2 2 2 2 5 2 4" xfId="16883" xr:uid="{579F8421-7615-4EA3-AA34-A92DABC41CB0}"/>
    <cellStyle name="Currency 5 2 2 2 2 2 5 3" xfId="6295" xr:uid="{00000000-0005-0000-0000-00007F0B0000}"/>
    <cellStyle name="Currency 5 2 2 2 2 2 5 3 2" xfId="18956" xr:uid="{5B3648DF-D609-4C12-BBE1-C3CA1E7DB723}"/>
    <cellStyle name="Currency 5 2 2 2 2 2 5 4" xfId="10527" xr:uid="{22B9EADC-DDDF-4DA3-8CC5-8023A02EB2C0}"/>
    <cellStyle name="Currency 5 2 2 2 2 2 5 5" xfId="14738" xr:uid="{1DAD6CC2-34B2-48CB-861C-7645B930C530}"/>
    <cellStyle name="Currency 5 2 2 2 2 2 6" xfId="2424" xr:uid="{00000000-0005-0000-0000-0000800B0000}"/>
    <cellStyle name="Currency 5 2 2 2 2 2 6 2" xfId="6708" xr:uid="{00000000-0005-0000-0000-0000810B0000}"/>
    <cellStyle name="Currency 5 2 2 2 2 2 6 2 2" xfId="19369" xr:uid="{9979DB4E-7BB0-49B5-9CC3-7558AD2D30BE}"/>
    <cellStyle name="Currency 5 2 2 2 2 2 6 3" xfId="10940" xr:uid="{D19B5009-A208-4F76-B8F5-DBA80BFB289E}"/>
    <cellStyle name="Currency 5 2 2 2 2 2 6 4" xfId="15151" xr:uid="{3CF91723-89C3-4F50-AFF8-70597C3266B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9686" xr:uid="{FE04FDD3-7C1D-494F-8A3C-034AF32E9FD3}"/>
    <cellStyle name="Currency 5 2 2 2 2 2 8 3" xfId="11257" xr:uid="{33DFEB53-0A51-4DC7-94E0-E4B6118729A4}"/>
    <cellStyle name="Currency 5 2 2 2 2 2 8 4" xfId="15468" xr:uid="{21B098D7-DBEB-40B6-AA8F-7CB2982D2807}"/>
    <cellStyle name="Currency 5 2 2 2 2 2 9" xfId="4642" xr:uid="{00000000-0005-0000-0000-0000850B0000}"/>
    <cellStyle name="Currency 5 2 2 2 2 2 9 2" xfId="17303" xr:uid="{FCEF679A-71D9-4C0B-8D87-C1DC60B1BED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9861" xr:uid="{7A0C812F-6955-4C43-8C5F-F232627FAC98}"/>
    <cellStyle name="Currency 5 2 2 2 2 3 2 3" xfId="11432" xr:uid="{2916529A-ADCE-49C4-BFAC-C500A2DCABA3}"/>
    <cellStyle name="Currency 5 2 2 2 2 3 2 4" xfId="15643" xr:uid="{4C2F2936-960B-4CF1-A47E-F6BADF3E4C2D}"/>
    <cellStyle name="Currency 5 2 2 2 2 3 3" xfId="5055" xr:uid="{00000000-0005-0000-0000-0000890B0000}"/>
    <cellStyle name="Currency 5 2 2 2 2 3 3 2" xfId="17716" xr:uid="{B5BCDDB8-8DC6-4061-B762-F3D5A52D4D7A}"/>
    <cellStyle name="Currency 5 2 2 2 2 3 4" xfId="9287" xr:uid="{1F8303E0-6F96-489F-8490-39A130C1ACC6}"/>
    <cellStyle name="Currency 5 2 2 2 2 3 5" xfId="13498" xr:uid="{0502B1C2-DADF-47EA-9208-59E05E5E361F}"/>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20274" xr:uid="{BDE9D5CC-DA54-45C6-8C7A-B372AA31034F}"/>
    <cellStyle name="Currency 5 2 2 2 2 4 2 3" xfId="11845" xr:uid="{B4097E6E-DE4C-44E3-B51C-D9475A850CF8}"/>
    <cellStyle name="Currency 5 2 2 2 2 4 2 4" xfId="16056" xr:uid="{BAFD1706-3931-4068-9AAD-F83F352F6F4E}"/>
    <cellStyle name="Currency 5 2 2 2 2 4 3" xfId="5468" xr:uid="{00000000-0005-0000-0000-00008D0B0000}"/>
    <cellStyle name="Currency 5 2 2 2 2 4 3 2" xfId="18129" xr:uid="{EDF6B038-6983-40C1-B7E2-50909F59C06F}"/>
    <cellStyle name="Currency 5 2 2 2 2 4 4" xfId="9700" xr:uid="{0A536604-FA26-4756-8CAD-7E862AEA5DCF}"/>
    <cellStyle name="Currency 5 2 2 2 2 4 5" xfId="13911" xr:uid="{78DEDFD1-5FA6-4D7D-9CC4-89289F488E1B}"/>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20687" xr:uid="{653E5A8F-9AAE-4ED3-8A4E-6ECF4C37BCB4}"/>
    <cellStyle name="Currency 5 2 2 2 2 5 2 3" xfId="12258" xr:uid="{A92F7888-D8F8-43FF-9D87-323D3583D30F}"/>
    <cellStyle name="Currency 5 2 2 2 2 5 2 4" xfId="16469" xr:uid="{818122EF-0FD0-4BD9-B03D-13E6B3C3551D}"/>
    <cellStyle name="Currency 5 2 2 2 2 5 3" xfId="5881" xr:uid="{00000000-0005-0000-0000-0000910B0000}"/>
    <cellStyle name="Currency 5 2 2 2 2 5 3 2" xfId="18542" xr:uid="{9E3EA3F3-A7FF-4542-A6D5-065D1227BFBC}"/>
    <cellStyle name="Currency 5 2 2 2 2 5 4" xfId="10113" xr:uid="{FE132C78-C999-462B-AA57-7C672C7DC90F}"/>
    <cellStyle name="Currency 5 2 2 2 2 5 5" xfId="14324" xr:uid="{334B03DF-8E70-4629-9901-F7B5E182CF1E}"/>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21100" xr:uid="{165567E8-D92B-414B-AE1E-4EFDC8D768DA}"/>
    <cellStyle name="Currency 5 2 2 2 2 6 2 3" xfId="12671" xr:uid="{7CDDE36B-3482-47EC-BFEC-434A3A54A83B}"/>
    <cellStyle name="Currency 5 2 2 2 2 6 2 4" xfId="16882" xr:uid="{FD329C29-BD0A-4A2C-BC7B-1AA9B64C5D59}"/>
    <cellStyle name="Currency 5 2 2 2 2 6 3" xfId="6294" xr:uid="{00000000-0005-0000-0000-0000950B0000}"/>
    <cellStyle name="Currency 5 2 2 2 2 6 3 2" xfId="18955" xr:uid="{11D6D3F8-45AE-404A-920C-A40F193A667C}"/>
    <cellStyle name="Currency 5 2 2 2 2 6 4" xfId="10526" xr:uid="{AF40B6CA-CD77-4212-B353-983DF74557BD}"/>
    <cellStyle name="Currency 5 2 2 2 2 6 5" xfId="14737" xr:uid="{387D7C62-ECA1-4D44-B0A9-C3C5E677AA29}"/>
    <cellStyle name="Currency 5 2 2 2 2 7" xfId="2423" xr:uid="{00000000-0005-0000-0000-0000960B0000}"/>
    <cellStyle name="Currency 5 2 2 2 2 7 2" xfId="6707" xr:uid="{00000000-0005-0000-0000-0000970B0000}"/>
    <cellStyle name="Currency 5 2 2 2 2 7 2 2" xfId="19368" xr:uid="{D3FD1BA1-8D9C-47F2-BAAA-8A7FF0008E64}"/>
    <cellStyle name="Currency 5 2 2 2 2 7 3" xfId="10939" xr:uid="{56737AE3-2A34-405C-B369-A11AAA7C8F6C}"/>
    <cellStyle name="Currency 5 2 2 2 2 7 4" xfId="15150" xr:uid="{26E6BA7E-C95B-4DB0-8215-912AD555E4BF}"/>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9685" xr:uid="{B6EF11F5-3EBE-4410-9A20-BBB2135A4073}"/>
    <cellStyle name="Currency 5 2 2 2 2 9 3" xfId="11256" xr:uid="{4037D445-E821-4937-B1F4-E99E914E698D}"/>
    <cellStyle name="Currency 5 2 2 2 2 9 4" xfId="15467" xr:uid="{62543764-E962-4A85-B361-87A1167A33DA}"/>
    <cellStyle name="Currency 5 2 2 2 3" xfId="199" xr:uid="{00000000-0005-0000-0000-00009B0B0000}"/>
    <cellStyle name="Currency 5 2 2 2 3 10" xfId="8875" xr:uid="{8B0D8015-B7F3-46CE-A721-4521E12ACA24}"/>
    <cellStyle name="Currency 5 2 2 2 3 11" xfId="13086" xr:uid="{28E025C2-F4DD-457A-9BEE-565BCF692C31}"/>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9863" xr:uid="{ED141AF6-7D47-460F-8711-E81B469C5A21}"/>
    <cellStyle name="Currency 5 2 2 2 3 2 2 3" xfId="11434" xr:uid="{3B6ACA70-5E74-43EB-B436-49B86D08DCC5}"/>
    <cellStyle name="Currency 5 2 2 2 3 2 2 4" xfId="15645" xr:uid="{0A6A43C1-0033-4762-A0C7-298A35127EBD}"/>
    <cellStyle name="Currency 5 2 2 2 3 2 3" xfId="5057" xr:uid="{00000000-0005-0000-0000-00009F0B0000}"/>
    <cellStyle name="Currency 5 2 2 2 3 2 3 2" xfId="17718" xr:uid="{6189ACA4-B4EF-4DCA-8E94-1E0DC60F53F1}"/>
    <cellStyle name="Currency 5 2 2 2 3 2 4" xfId="9289" xr:uid="{002CA949-DE6F-4AF6-9334-BF2242F029F2}"/>
    <cellStyle name="Currency 5 2 2 2 3 2 5" xfId="13500" xr:uid="{61D35E6E-7F29-4B90-8230-83E829FEE463}"/>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20276" xr:uid="{9AFE32BA-44E7-404F-B1C3-F1A6BCDF64DC}"/>
    <cellStyle name="Currency 5 2 2 2 3 3 2 3" xfId="11847" xr:uid="{97B02C6C-8818-4DB0-B354-55876559317F}"/>
    <cellStyle name="Currency 5 2 2 2 3 3 2 4" xfId="16058" xr:uid="{A8C14832-B5AC-4BDD-B619-057A0D56A930}"/>
    <cellStyle name="Currency 5 2 2 2 3 3 3" xfId="5470" xr:uid="{00000000-0005-0000-0000-0000A30B0000}"/>
    <cellStyle name="Currency 5 2 2 2 3 3 3 2" xfId="18131" xr:uid="{8FE59E94-4E1C-4F91-ADBB-B09D246452F1}"/>
    <cellStyle name="Currency 5 2 2 2 3 3 4" xfId="9702" xr:uid="{F169116C-5682-4625-B547-BD9A5239189B}"/>
    <cellStyle name="Currency 5 2 2 2 3 3 5" xfId="13913" xr:uid="{884F0798-0F88-46DF-B504-8E332E35DF4B}"/>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20689" xr:uid="{C27C0529-B907-4018-9BBB-3AFF02C112ED}"/>
    <cellStyle name="Currency 5 2 2 2 3 4 2 3" xfId="12260" xr:uid="{6EBB67D6-0DA0-4784-BE2A-3B14A0451682}"/>
    <cellStyle name="Currency 5 2 2 2 3 4 2 4" xfId="16471" xr:uid="{E257DEF4-850B-4D67-8240-9C7C38EC0F59}"/>
    <cellStyle name="Currency 5 2 2 2 3 4 3" xfId="5883" xr:uid="{00000000-0005-0000-0000-0000A70B0000}"/>
    <cellStyle name="Currency 5 2 2 2 3 4 3 2" xfId="18544" xr:uid="{580C1B27-2906-48A4-88A6-F86FF8A07A73}"/>
    <cellStyle name="Currency 5 2 2 2 3 4 4" xfId="10115" xr:uid="{C810F844-B532-45A0-BFDF-6921F9D55429}"/>
    <cellStyle name="Currency 5 2 2 2 3 4 5" xfId="14326" xr:uid="{B433C9D9-1D47-4104-BCD4-EE07BDEBF69B}"/>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21102" xr:uid="{6D52E75D-C1F8-468F-BAF6-D8B012C9F533}"/>
    <cellStyle name="Currency 5 2 2 2 3 5 2 3" xfId="12673" xr:uid="{09F86875-1127-4919-9ACE-B56EF459CE50}"/>
    <cellStyle name="Currency 5 2 2 2 3 5 2 4" xfId="16884" xr:uid="{7B48DF94-305C-4A72-819A-C8F4E3848A42}"/>
    <cellStyle name="Currency 5 2 2 2 3 5 3" xfId="6296" xr:uid="{00000000-0005-0000-0000-0000AB0B0000}"/>
    <cellStyle name="Currency 5 2 2 2 3 5 3 2" xfId="18957" xr:uid="{DB521736-A1EF-40FF-831D-80C9A64BDE8A}"/>
    <cellStyle name="Currency 5 2 2 2 3 5 4" xfId="10528" xr:uid="{879C6064-58EC-4AD7-9A12-E68F7CF6FAFC}"/>
    <cellStyle name="Currency 5 2 2 2 3 5 5" xfId="14739" xr:uid="{F14D26A9-89D6-4DF9-9694-6D8FCF2CF85D}"/>
    <cellStyle name="Currency 5 2 2 2 3 6" xfId="2425" xr:uid="{00000000-0005-0000-0000-0000AC0B0000}"/>
    <cellStyle name="Currency 5 2 2 2 3 6 2" xfId="6709" xr:uid="{00000000-0005-0000-0000-0000AD0B0000}"/>
    <cellStyle name="Currency 5 2 2 2 3 6 2 2" xfId="19370" xr:uid="{8891A1E8-C05D-4C95-837F-40667F27E9C9}"/>
    <cellStyle name="Currency 5 2 2 2 3 6 3" xfId="10941" xr:uid="{EBE5C32C-4222-44D9-9062-7E8458E9E21D}"/>
    <cellStyle name="Currency 5 2 2 2 3 6 4" xfId="15152" xr:uid="{1F33C749-A02C-408E-81C2-160FE66D2BB5}"/>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9687" xr:uid="{52E63E1A-DA47-45E0-A262-8FC37D895BA5}"/>
    <cellStyle name="Currency 5 2 2 2 3 8 3" xfId="11258" xr:uid="{6B5E07DE-8DE3-44D1-9C2B-4662F4491B95}"/>
    <cellStyle name="Currency 5 2 2 2 3 8 4" xfId="15469" xr:uid="{4FD5AD3A-7145-434F-BE2E-94EFF65FF558}"/>
    <cellStyle name="Currency 5 2 2 2 3 9" xfId="4643" xr:uid="{00000000-0005-0000-0000-0000B10B0000}"/>
    <cellStyle name="Currency 5 2 2 2 3 9 2" xfId="17304" xr:uid="{86CF43AA-DEA8-49B4-B02A-136B935A9E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9860" xr:uid="{4C064261-1A1E-43F4-B7F5-CE41B83930D7}"/>
    <cellStyle name="Currency 5 2 2 2 4 2 3" xfId="11431" xr:uid="{F70A28B9-F838-487E-B1E0-B57CF683D038}"/>
    <cellStyle name="Currency 5 2 2 2 4 2 4" xfId="15642" xr:uid="{982C0D6C-F3A4-4846-9B74-47C96C51ECAE}"/>
    <cellStyle name="Currency 5 2 2 2 4 3" xfId="5054" xr:uid="{00000000-0005-0000-0000-0000B50B0000}"/>
    <cellStyle name="Currency 5 2 2 2 4 3 2" xfId="17715" xr:uid="{BF2FF539-26D7-46BC-8890-E7A989455035}"/>
    <cellStyle name="Currency 5 2 2 2 4 4" xfId="9286" xr:uid="{F30A2DF7-4264-4148-B6C1-4D9DC47F7E29}"/>
    <cellStyle name="Currency 5 2 2 2 4 5" xfId="13497" xr:uid="{81D6F1A5-B9F7-4CA5-9449-333FDE677DB8}"/>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20273" xr:uid="{ADB5380C-80C5-4739-B9E7-E55911DDF31F}"/>
    <cellStyle name="Currency 5 2 2 2 5 2 3" xfId="11844" xr:uid="{E96514CF-9426-43E9-8403-7D741A9CF5D1}"/>
    <cellStyle name="Currency 5 2 2 2 5 2 4" xfId="16055" xr:uid="{7B178CA6-8E38-4AD1-ABDD-C624B85BBD54}"/>
    <cellStyle name="Currency 5 2 2 2 5 3" xfId="5467" xr:uid="{00000000-0005-0000-0000-0000B90B0000}"/>
    <cellStyle name="Currency 5 2 2 2 5 3 2" xfId="18128" xr:uid="{02490DC7-7915-40EA-A29D-E3193ED47CA2}"/>
    <cellStyle name="Currency 5 2 2 2 5 4" xfId="9699" xr:uid="{26E3DE6B-A6A8-479F-9BC9-1D5AED01EC76}"/>
    <cellStyle name="Currency 5 2 2 2 5 5" xfId="13910" xr:uid="{D2D4329F-FF81-486A-8E66-F4E70C7CF06B}"/>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20686" xr:uid="{1F974FEA-589F-4EBC-8ECC-F5E36593AF7F}"/>
    <cellStyle name="Currency 5 2 2 2 6 2 3" xfId="12257" xr:uid="{5E0C9A22-4556-4D69-B58A-AD9B1E23104B}"/>
    <cellStyle name="Currency 5 2 2 2 6 2 4" xfId="16468" xr:uid="{B6BFFAD8-341F-4EC4-81BC-1F58C90B07F0}"/>
    <cellStyle name="Currency 5 2 2 2 6 3" xfId="5880" xr:uid="{00000000-0005-0000-0000-0000BD0B0000}"/>
    <cellStyle name="Currency 5 2 2 2 6 3 2" xfId="18541" xr:uid="{97673B5A-C655-457E-815B-A7E6EE2AEBC4}"/>
    <cellStyle name="Currency 5 2 2 2 6 4" xfId="10112" xr:uid="{E3B72F01-E6ED-4445-B0CB-D3B336D050BE}"/>
    <cellStyle name="Currency 5 2 2 2 6 5" xfId="14323" xr:uid="{F0358E03-15D5-4CD3-9C0D-F0270B72A214}"/>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21099" xr:uid="{DF84D823-B47B-4A39-B11E-C825D3AB36DB}"/>
    <cellStyle name="Currency 5 2 2 2 7 2 3" xfId="12670" xr:uid="{7E73CE3E-88F0-4C9E-A105-2FC55216E3F1}"/>
    <cellStyle name="Currency 5 2 2 2 7 2 4" xfId="16881" xr:uid="{4DD62248-5701-41D0-8725-54F3101A4108}"/>
    <cellStyle name="Currency 5 2 2 2 7 3" xfId="6293" xr:uid="{00000000-0005-0000-0000-0000C10B0000}"/>
    <cellStyle name="Currency 5 2 2 2 7 3 2" xfId="18954" xr:uid="{58757662-7311-413F-8B99-751F16C8AA9E}"/>
    <cellStyle name="Currency 5 2 2 2 7 4" xfId="10525" xr:uid="{AB162E23-27E1-4AA0-A558-7D1BE8ACC6DB}"/>
    <cellStyle name="Currency 5 2 2 2 7 5" xfId="14736" xr:uid="{E1D804B6-87D0-415A-8F6F-1E61697237DD}"/>
    <cellStyle name="Currency 5 2 2 2 8" xfId="2422" xr:uid="{00000000-0005-0000-0000-0000C20B0000}"/>
    <cellStyle name="Currency 5 2 2 2 8 2" xfId="6706" xr:uid="{00000000-0005-0000-0000-0000C30B0000}"/>
    <cellStyle name="Currency 5 2 2 2 8 2 2" xfId="19367" xr:uid="{F8116E5D-4B71-4B54-9B4D-E61CA85BDFE3}"/>
    <cellStyle name="Currency 5 2 2 2 8 3" xfId="10938" xr:uid="{B513B84C-4B6F-4C5F-86D7-1840F9BEAC0F}"/>
    <cellStyle name="Currency 5 2 2 2 8 4" xfId="15149" xr:uid="{47D084EC-FF8B-4EF5-9343-E92612465983}"/>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7305" xr:uid="{D3FCDE00-0E51-415E-AC3D-9582FF5D0020}"/>
    <cellStyle name="Currency 5 2 2 3 11" xfId="8876" xr:uid="{72C8A7AE-7B54-4BCB-9A4A-200B5A1CC660}"/>
    <cellStyle name="Currency 5 2 2 3 12" xfId="13087" xr:uid="{5D5407E2-4C68-439D-8924-DF7378E8DABB}"/>
    <cellStyle name="Currency 5 2 2 3 2" xfId="201" xr:uid="{00000000-0005-0000-0000-0000C70B0000}"/>
    <cellStyle name="Currency 5 2 2 3 2 10" xfId="8877" xr:uid="{4CB2FE5C-15F9-41CA-9F00-F7A138381D62}"/>
    <cellStyle name="Currency 5 2 2 3 2 11" xfId="13088" xr:uid="{B6D232F3-735E-472E-AE64-DCB5895A5EBE}"/>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9865" xr:uid="{15DBDFC6-9AD8-4055-A977-49D7D3FC1FD7}"/>
    <cellStyle name="Currency 5 2 2 3 2 2 2 3" xfId="11436" xr:uid="{18796944-5FDE-4B47-A53C-7705B65A4FC9}"/>
    <cellStyle name="Currency 5 2 2 3 2 2 2 4" xfId="15647" xr:uid="{F4653256-043B-41E4-B2B2-225879254FDA}"/>
    <cellStyle name="Currency 5 2 2 3 2 2 3" xfId="5059" xr:uid="{00000000-0005-0000-0000-0000CB0B0000}"/>
    <cellStyle name="Currency 5 2 2 3 2 2 3 2" xfId="17720" xr:uid="{E1ED55B3-64D8-4ECA-91B5-14E363557AF4}"/>
    <cellStyle name="Currency 5 2 2 3 2 2 4" xfId="9291" xr:uid="{F76F8EB7-C712-4C50-BF66-CEBDE745C28A}"/>
    <cellStyle name="Currency 5 2 2 3 2 2 5" xfId="13502" xr:uid="{633D34E4-1B8B-438F-91E1-37954AD69B25}"/>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20278" xr:uid="{2A6DBC58-7E7A-40B8-A288-9DB90C4977D7}"/>
    <cellStyle name="Currency 5 2 2 3 2 3 2 3" xfId="11849" xr:uid="{5DCF2709-344E-44C6-BDED-DE358341AD92}"/>
    <cellStyle name="Currency 5 2 2 3 2 3 2 4" xfId="16060" xr:uid="{B9E8BCE3-F95A-472F-BDF5-0E816DF8F001}"/>
    <cellStyle name="Currency 5 2 2 3 2 3 3" xfId="5472" xr:uid="{00000000-0005-0000-0000-0000CF0B0000}"/>
    <cellStyle name="Currency 5 2 2 3 2 3 3 2" xfId="18133" xr:uid="{6A8314AA-0638-414C-A9B8-396437549873}"/>
    <cellStyle name="Currency 5 2 2 3 2 3 4" xfId="9704" xr:uid="{54D1AF7B-5B63-4CAD-9F44-ABCBE36EE30F}"/>
    <cellStyle name="Currency 5 2 2 3 2 3 5" xfId="13915" xr:uid="{3D2EADE6-7791-46AE-9C70-DD28AFF9DD1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20691" xr:uid="{09C29734-0E63-4BBD-86C6-7F169A4F2EFE}"/>
    <cellStyle name="Currency 5 2 2 3 2 4 2 3" xfId="12262" xr:uid="{5BE3E0AD-68E8-4624-8FBE-2A5B6FB7CEFD}"/>
    <cellStyle name="Currency 5 2 2 3 2 4 2 4" xfId="16473" xr:uid="{450E050D-D58B-474A-8CB1-743D40C2716F}"/>
    <cellStyle name="Currency 5 2 2 3 2 4 3" xfId="5885" xr:uid="{00000000-0005-0000-0000-0000D30B0000}"/>
    <cellStyle name="Currency 5 2 2 3 2 4 3 2" xfId="18546" xr:uid="{E036ECDD-3CCE-4F22-87EA-10BB0505685E}"/>
    <cellStyle name="Currency 5 2 2 3 2 4 4" xfId="10117" xr:uid="{44C6BFF5-DEAF-45AA-8B0D-D3B0972A2E46}"/>
    <cellStyle name="Currency 5 2 2 3 2 4 5" xfId="14328" xr:uid="{6194ACB1-6900-4C2F-816B-F72E5630EE8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21104" xr:uid="{3239666A-F3E0-4092-A4DB-9ED25B70B2AE}"/>
    <cellStyle name="Currency 5 2 2 3 2 5 2 3" xfId="12675" xr:uid="{49911079-FCCA-4D6D-A20A-F60B37B9AFA1}"/>
    <cellStyle name="Currency 5 2 2 3 2 5 2 4" xfId="16886" xr:uid="{6F08BBB1-83B0-4328-B9A1-62F7A5A9E686}"/>
    <cellStyle name="Currency 5 2 2 3 2 5 3" xfId="6298" xr:uid="{00000000-0005-0000-0000-0000D70B0000}"/>
    <cellStyle name="Currency 5 2 2 3 2 5 3 2" xfId="18959" xr:uid="{E1D05861-D14B-49CF-87BC-B3293BFFD72B}"/>
    <cellStyle name="Currency 5 2 2 3 2 5 4" xfId="10530" xr:uid="{661D5865-C41E-4C5C-AF7C-47540ED29E79}"/>
    <cellStyle name="Currency 5 2 2 3 2 5 5" xfId="14741" xr:uid="{5B52394B-991D-49DA-B7F7-8CA9884096C7}"/>
    <cellStyle name="Currency 5 2 2 3 2 6" xfId="2427" xr:uid="{00000000-0005-0000-0000-0000D80B0000}"/>
    <cellStyle name="Currency 5 2 2 3 2 6 2" xfId="6711" xr:uid="{00000000-0005-0000-0000-0000D90B0000}"/>
    <cellStyle name="Currency 5 2 2 3 2 6 2 2" xfId="19372" xr:uid="{78777C7A-D21E-4474-924E-EA72738ECA70}"/>
    <cellStyle name="Currency 5 2 2 3 2 6 3" xfId="10943" xr:uid="{A944CE4D-2B33-481A-BF7C-400BF3AB8637}"/>
    <cellStyle name="Currency 5 2 2 3 2 6 4" xfId="15154" xr:uid="{C4398682-E751-48E1-ADD8-C303DDA8ADEC}"/>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9689" xr:uid="{C2C9C8AD-5385-4A16-BE23-30E9B42AEFDE}"/>
    <cellStyle name="Currency 5 2 2 3 2 8 3" xfId="11260" xr:uid="{E46875C3-29B3-42D2-86A8-2E2E8C921D6F}"/>
    <cellStyle name="Currency 5 2 2 3 2 8 4" xfId="15471" xr:uid="{F7CB0AE0-9CD0-4A54-BE39-6FE881F0C5E0}"/>
    <cellStyle name="Currency 5 2 2 3 2 9" xfId="4645" xr:uid="{00000000-0005-0000-0000-0000DD0B0000}"/>
    <cellStyle name="Currency 5 2 2 3 2 9 2" xfId="17306" xr:uid="{A8773927-73E3-41DD-850F-8E516891ED02}"/>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9864" xr:uid="{45CAD762-5313-4EFF-8E20-B8F59DEA38DF}"/>
    <cellStyle name="Currency 5 2 2 3 3 2 3" xfId="11435" xr:uid="{60910FFE-ED1A-4151-8257-188FC697AEAD}"/>
    <cellStyle name="Currency 5 2 2 3 3 2 4" xfId="15646" xr:uid="{6A369AED-7A96-4380-B9A9-A0E2959FF15F}"/>
    <cellStyle name="Currency 5 2 2 3 3 3" xfId="5058" xr:uid="{00000000-0005-0000-0000-0000E10B0000}"/>
    <cellStyle name="Currency 5 2 2 3 3 3 2" xfId="17719" xr:uid="{BF4DE81E-3A8E-4587-BCA3-2A50F7DE6434}"/>
    <cellStyle name="Currency 5 2 2 3 3 4" xfId="9290" xr:uid="{9C7DFABC-7F60-4E5C-8D72-3234CD80825E}"/>
    <cellStyle name="Currency 5 2 2 3 3 5" xfId="13501" xr:uid="{2E353995-1E5B-43AF-9EF6-C4CF86A51117}"/>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20277" xr:uid="{B5D72149-6D02-4419-877F-61ED619C4C14}"/>
    <cellStyle name="Currency 5 2 2 3 4 2 3" xfId="11848" xr:uid="{B71AC5DA-F6AB-4990-AD85-F03FCFA668A8}"/>
    <cellStyle name="Currency 5 2 2 3 4 2 4" xfId="16059" xr:uid="{3DBCA168-FDC9-444D-871D-53B9655AE55F}"/>
    <cellStyle name="Currency 5 2 2 3 4 3" xfId="5471" xr:uid="{00000000-0005-0000-0000-0000E50B0000}"/>
    <cellStyle name="Currency 5 2 2 3 4 3 2" xfId="18132" xr:uid="{30EAB6C4-F8A0-4308-9445-EBBCBE86FED1}"/>
    <cellStyle name="Currency 5 2 2 3 4 4" xfId="9703" xr:uid="{C6CB7633-37C2-467F-8D25-7736AE43DC74}"/>
    <cellStyle name="Currency 5 2 2 3 4 5" xfId="13914" xr:uid="{6F42F549-77C7-4D44-BA44-AFFB7291AEBD}"/>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20690" xr:uid="{283F51A3-7E26-441F-88F8-FADC341B104A}"/>
    <cellStyle name="Currency 5 2 2 3 5 2 3" xfId="12261" xr:uid="{890E9BA0-F387-4E60-8D5A-F9A8054A3B1E}"/>
    <cellStyle name="Currency 5 2 2 3 5 2 4" xfId="16472" xr:uid="{32FF37AD-3911-4852-A3B1-37717D2D0405}"/>
    <cellStyle name="Currency 5 2 2 3 5 3" xfId="5884" xr:uid="{00000000-0005-0000-0000-0000E90B0000}"/>
    <cellStyle name="Currency 5 2 2 3 5 3 2" xfId="18545" xr:uid="{8050B9AB-4048-448C-8155-B26E7B973F77}"/>
    <cellStyle name="Currency 5 2 2 3 5 4" xfId="10116" xr:uid="{8A68B193-EC0D-4E1F-A247-631CC7510A0F}"/>
    <cellStyle name="Currency 5 2 2 3 5 5" xfId="14327" xr:uid="{37AAE7FA-55C5-4114-ACA2-E0001A738323}"/>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21103" xr:uid="{3DB40192-13CC-42AA-8EF9-9E287F284703}"/>
    <cellStyle name="Currency 5 2 2 3 6 2 3" xfId="12674" xr:uid="{598F15A5-9766-4988-8A4D-4DB08F7BC8DA}"/>
    <cellStyle name="Currency 5 2 2 3 6 2 4" xfId="16885" xr:uid="{F0A56E4A-5228-4B86-857F-6A522BB1818C}"/>
    <cellStyle name="Currency 5 2 2 3 6 3" xfId="6297" xr:uid="{00000000-0005-0000-0000-0000ED0B0000}"/>
    <cellStyle name="Currency 5 2 2 3 6 3 2" xfId="18958" xr:uid="{EACC35A5-1604-43B8-8551-776302B42C2A}"/>
    <cellStyle name="Currency 5 2 2 3 6 4" xfId="10529" xr:uid="{3621A5FF-188B-4E7F-8718-DD898D85421B}"/>
    <cellStyle name="Currency 5 2 2 3 6 5" xfId="14740" xr:uid="{8B887A0C-C069-43A2-BB5E-5F3E069D51D2}"/>
    <cellStyle name="Currency 5 2 2 3 7" xfId="2426" xr:uid="{00000000-0005-0000-0000-0000EE0B0000}"/>
    <cellStyle name="Currency 5 2 2 3 7 2" xfId="6710" xr:uid="{00000000-0005-0000-0000-0000EF0B0000}"/>
    <cellStyle name="Currency 5 2 2 3 7 2 2" xfId="19371" xr:uid="{C0F4E0B6-176A-437A-B4F2-1A1838EBBA6C}"/>
    <cellStyle name="Currency 5 2 2 3 7 3" xfId="10942" xr:uid="{058513C4-339A-4E0D-8B87-F577CC85A00D}"/>
    <cellStyle name="Currency 5 2 2 3 7 4" xfId="15153" xr:uid="{2AD9BDFC-613A-4FA6-816A-71428857DB0D}"/>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9688" xr:uid="{273366C3-7A9F-4888-9FE3-18263A54E632}"/>
    <cellStyle name="Currency 5 2 2 3 9 3" xfId="11259" xr:uid="{F2AA5DAE-3D78-4E5D-817A-CBB6A5A63D18}"/>
    <cellStyle name="Currency 5 2 2 3 9 4" xfId="15470" xr:uid="{619095C5-DF23-4BAC-A3B0-A5ADE27EB099}"/>
    <cellStyle name="Currency 5 2 2 4" xfId="202" xr:uid="{00000000-0005-0000-0000-0000F30B0000}"/>
    <cellStyle name="Currency 5 2 2 4 10" xfId="8878" xr:uid="{64ADBE8A-6B18-4571-8122-BA1112DABCF4}"/>
    <cellStyle name="Currency 5 2 2 4 11" xfId="13089" xr:uid="{D0F1DB29-8C92-4706-A5C8-7AF883EE93E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9866" xr:uid="{70506748-93F7-47B3-BDAD-735407FFB5CD}"/>
    <cellStyle name="Currency 5 2 2 4 2 2 3" xfId="11437" xr:uid="{E6D4DD6B-83B3-4729-920F-A29C8477E4B7}"/>
    <cellStyle name="Currency 5 2 2 4 2 2 4" xfId="15648" xr:uid="{0735DA3B-F0B7-4D99-811F-76F702DEFF58}"/>
    <cellStyle name="Currency 5 2 2 4 2 3" xfId="5060" xr:uid="{00000000-0005-0000-0000-0000F70B0000}"/>
    <cellStyle name="Currency 5 2 2 4 2 3 2" xfId="17721" xr:uid="{3247104A-DDA1-4404-81CB-CCB3CA26DB18}"/>
    <cellStyle name="Currency 5 2 2 4 2 4" xfId="9292" xr:uid="{37D387B4-CC48-4907-B35A-854B04B86407}"/>
    <cellStyle name="Currency 5 2 2 4 2 5" xfId="13503" xr:uid="{D2DE4892-3E1F-416E-BA56-CA79FED7130B}"/>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20279" xr:uid="{DBDB238B-B0D4-41C7-8DD5-E6145C441D4C}"/>
    <cellStyle name="Currency 5 2 2 4 3 2 3" xfId="11850" xr:uid="{DFA9109D-AFFB-4F6D-84FA-073A387F28BA}"/>
    <cellStyle name="Currency 5 2 2 4 3 2 4" xfId="16061" xr:uid="{4B2FCB20-177E-4F0E-AE87-80E9C0B0DB01}"/>
    <cellStyle name="Currency 5 2 2 4 3 3" xfId="5473" xr:uid="{00000000-0005-0000-0000-0000FB0B0000}"/>
    <cellStyle name="Currency 5 2 2 4 3 3 2" xfId="18134" xr:uid="{08DE6B07-B8B9-4C1E-9D6A-CD1240A6ED64}"/>
    <cellStyle name="Currency 5 2 2 4 3 4" xfId="9705" xr:uid="{2FB4F7A2-2417-4243-B3E2-E7FEC9A256D8}"/>
    <cellStyle name="Currency 5 2 2 4 3 5" xfId="13916" xr:uid="{EEC94EDC-5FDA-40A1-81CF-788072C0EC34}"/>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20692" xr:uid="{7B804F50-C720-4EF9-85FE-06FDB42EE643}"/>
    <cellStyle name="Currency 5 2 2 4 4 2 3" xfId="12263" xr:uid="{4B173623-1FD1-491B-9628-3D4CAC8946DB}"/>
    <cellStyle name="Currency 5 2 2 4 4 2 4" xfId="16474" xr:uid="{01235C7D-EE79-4DC0-949E-21A81B2271E4}"/>
    <cellStyle name="Currency 5 2 2 4 4 3" xfId="5886" xr:uid="{00000000-0005-0000-0000-0000FF0B0000}"/>
    <cellStyle name="Currency 5 2 2 4 4 3 2" xfId="18547" xr:uid="{04DCEF54-AE6A-4F1F-858F-2B6101296E13}"/>
    <cellStyle name="Currency 5 2 2 4 4 4" xfId="10118" xr:uid="{93C579A1-B712-4E7B-8642-54A0066BAA2B}"/>
    <cellStyle name="Currency 5 2 2 4 4 5" xfId="14329" xr:uid="{4C7155B6-3F96-40CF-AD75-E54FCB06127F}"/>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21105" xr:uid="{04C7B9D2-A39A-4474-B4F5-C8A832054122}"/>
    <cellStyle name="Currency 5 2 2 4 5 2 3" xfId="12676" xr:uid="{16F4CF9C-8DC7-4734-85C4-C0847E922074}"/>
    <cellStyle name="Currency 5 2 2 4 5 2 4" xfId="16887" xr:uid="{AAFD61D1-035F-4FB2-98E2-BE19E52585C6}"/>
    <cellStyle name="Currency 5 2 2 4 5 3" xfId="6299" xr:uid="{00000000-0005-0000-0000-0000030C0000}"/>
    <cellStyle name="Currency 5 2 2 4 5 3 2" xfId="18960" xr:uid="{932BA236-5C87-44F9-9A0A-FEB7DAA1E89B}"/>
    <cellStyle name="Currency 5 2 2 4 5 4" xfId="10531" xr:uid="{65002BF8-E8BA-46F2-A58F-AB98803F5EC5}"/>
    <cellStyle name="Currency 5 2 2 4 5 5" xfId="14742" xr:uid="{1EC3932E-5C9C-42DA-A835-A2CBF3F38818}"/>
    <cellStyle name="Currency 5 2 2 4 6" xfId="2428" xr:uid="{00000000-0005-0000-0000-0000040C0000}"/>
    <cellStyle name="Currency 5 2 2 4 6 2" xfId="6712" xr:uid="{00000000-0005-0000-0000-0000050C0000}"/>
    <cellStyle name="Currency 5 2 2 4 6 2 2" xfId="19373" xr:uid="{9D166692-9D2E-4A4E-BB2A-64A6F89B8D9B}"/>
    <cellStyle name="Currency 5 2 2 4 6 3" xfId="10944" xr:uid="{E5971ACB-6E76-49EE-AB07-39CCA8E20538}"/>
    <cellStyle name="Currency 5 2 2 4 6 4" xfId="15155" xr:uid="{6AD8BB31-17E7-43A6-B096-DA59E4A8C256}"/>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9690" xr:uid="{686B0D81-7F16-4E59-A21D-190F98C3C627}"/>
    <cellStyle name="Currency 5 2 2 4 8 3" xfId="11261" xr:uid="{36064D3A-6D68-4553-972C-8125CCE4C68D}"/>
    <cellStyle name="Currency 5 2 2 4 8 4" xfId="15472" xr:uid="{CC6279B9-9262-45D6-B847-9ED1799B28E6}"/>
    <cellStyle name="Currency 5 2 2 4 9" xfId="4646" xr:uid="{00000000-0005-0000-0000-0000090C0000}"/>
    <cellStyle name="Currency 5 2 2 4 9 2" xfId="17307" xr:uid="{E4068DB1-F7C5-491E-BB78-89C35A0560D1}"/>
    <cellStyle name="Currency 5 2 2 5" xfId="203" xr:uid="{00000000-0005-0000-0000-00000A0C0000}"/>
    <cellStyle name="Currency 5 2 2 5 10" xfId="8879" xr:uid="{B735B28A-1F8A-4F9C-93C1-084228550019}"/>
    <cellStyle name="Currency 5 2 2 5 11" xfId="13090" xr:uid="{720B5F5A-7F17-478D-9C04-14D868E63464}"/>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9867" xr:uid="{BE0AA525-CA9F-4C13-904B-22A0E65691D9}"/>
    <cellStyle name="Currency 5 2 2 5 2 2 3" xfId="11438" xr:uid="{7FAC5DAD-FE38-4B65-BBC7-3D8818E185A9}"/>
    <cellStyle name="Currency 5 2 2 5 2 2 4" xfId="15649" xr:uid="{0EDFD335-9236-44D9-AC54-275970E74996}"/>
    <cellStyle name="Currency 5 2 2 5 2 3" xfId="5061" xr:uid="{00000000-0005-0000-0000-00000E0C0000}"/>
    <cellStyle name="Currency 5 2 2 5 2 3 2" xfId="17722" xr:uid="{5EB7F544-5E13-458C-B82D-8E8F1B6EAA4E}"/>
    <cellStyle name="Currency 5 2 2 5 2 4" xfId="9293" xr:uid="{F30FA4C7-36DC-480D-8CF0-029E93DBA559}"/>
    <cellStyle name="Currency 5 2 2 5 2 5" xfId="13504" xr:uid="{447CABD1-23B4-47B9-9EF9-7D8094620A38}"/>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20280" xr:uid="{A70FEECE-64AE-45FF-8213-22BD44E1B7F9}"/>
    <cellStyle name="Currency 5 2 2 5 3 2 3" xfId="11851" xr:uid="{58900884-AE2B-43B7-80D1-170AEEF9F171}"/>
    <cellStyle name="Currency 5 2 2 5 3 2 4" xfId="16062" xr:uid="{9823D11C-8E97-4581-A0E4-9FC6FF4E84FA}"/>
    <cellStyle name="Currency 5 2 2 5 3 3" xfId="5474" xr:uid="{00000000-0005-0000-0000-0000120C0000}"/>
    <cellStyle name="Currency 5 2 2 5 3 3 2" xfId="18135" xr:uid="{E6C2AC9A-D5FA-44CC-846B-B846073CCB35}"/>
    <cellStyle name="Currency 5 2 2 5 3 4" xfId="9706" xr:uid="{33C13BA9-593C-4CD6-843E-8AAEFBADE712}"/>
    <cellStyle name="Currency 5 2 2 5 3 5" xfId="13917" xr:uid="{579CD543-DC2C-4D80-8B5B-DAC53AFF93BE}"/>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20693" xr:uid="{7E061323-3E52-4CAF-9277-540A520FBD66}"/>
    <cellStyle name="Currency 5 2 2 5 4 2 3" xfId="12264" xr:uid="{A3E1E969-A746-48EB-A590-6F49EDA1ED82}"/>
    <cellStyle name="Currency 5 2 2 5 4 2 4" xfId="16475" xr:uid="{CDAAEA0D-9112-4480-B225-8798F069F76C}"/>
    <cellStyle name="Currency 5 2 2 5 4 3" xfId="5887" xr:uid="{00000000-0005-0000-0000-0000160C0000}"/>
    <cellStyle name="Currency 5 2 2 5 4 3 2" xfId="18548" xr:uid="{3F9E332B-7868-4147-963E-17C7A28516B6}"/>
    <cellStyle name="Currency 5 2 2 5 4 4" xfId="10119" xr:uid="{820F8A2F-A5D7-45C5-9F2E-D6DA9564CB40}"/>
    <cellStyle name="Currency 5 2 2 5 4 5" xfId="14330" xr:uid="{44C87D83-0701-4328-A046-034198078109}"/>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21106" xr:uid="{78AFBABB-D5D8-45D0-A050-411AB63B7CCF}"/>
    <cellStyle name="Currency 5 2 2 5 5 2 3" xfId="12677" xr:uid="{E8110A68-4F21-4F2C-977D-0825E9D747E0}"/>
    <cellStyle name="Currency 5 2 2 5 5 2 4" xfId="16888" xr:uid="{397A3E77-2E20-48F7-ACC8-E90635FB1C27}"/>
    <cellStyle name="Currency 5 2 2 5 5 3" xfId="6300" xr:uid="{00000000-0005-0000-0000-00001A0C0000}"/>
    <cellStyle name="Currency 5 2 2 5 5 3 2" xfId="18961" xr:uid="{3C499378-39D3-4E19-BE1A-AA185D1223A3}"/>
    <cellStyle name="Currency 5 2 2 5 5 4" xfId="10532" xr:uid="{34128D4A-B1F2-4AD5-844F-2AF0CC4357B4}"/>
    <cellStyle name="Currency 5 2 2 5 5 5" xfId="14743" xr:uid="{6E1497BE-D299-4AFA-BCC1-EEC807D154B1}"/>
    <cellStyle name="Currency 5 2 2 5 6" xfId="2429" xr:uid="{00000000-0005-0000-0000-00001B0C0000}"/>
    <cellStyle name="Currency 5 2 2 5 6 2" xfId="6713" xr:uid="{00000000-0005-0000-0000-00001C0C0000}"/>
    <cellStyle name="Currency 5 2 2 5 6 2 2" xfId="19374" xr:uid="{001CFCDB-A479-4CF6-A875-AE490311B6B1}"/>
    <cellStyle name="Currency 5 2 2 5 6 3" xfId="10945" xr:uid="{E4706589-DFBA-47AE-8927-0B3AC0758701}"/>
    <cellStyle name="Currency 5 2 2 5 6 4" xfId="15156" xr:uid="{0B5936BF-B821-4ADD-A222-DED2DA588E30}"/>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9691" xr:uid="{EEB57C7C-6B1D-49DD-AD30-4E845AB1C694}"/>
    <cellStyle name="Currency 5 2 2 5 8 3" xfId="11262" xr:uid="{C8A6C6C6-CFB3-4C62-A72A-88B5C7A885AF}"/>
    <cellStyle name="Currency 5 2 2 5 8 4" xfId="15473" xr:uid="{87325E53-8601-48EC-9BE0-1C180C730DDD}"/>
    <cellStyle name="Currency 5 2 2 5 9" xfId="4647" xr:uid="{00000000-0005-0000-0000-0000200C0000}"/>
    <cellStyle name="Currency 5 2 2 5 9 2" xfId="17308" xr:uid="{A407BE1C-69E2-4B89-B106-B30B88E1D97B}"/>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7309" xr:uid="{48363DD0-9D5C-4608-8F20-DA50E8036B71}"/>
    <cellStyle name="Currency 5 2 4 11" xfId="8880" xr:uid="{DCFAEC29-5E82-456D-ADCA-21A627FF26A4}"/>
    <cellStyle name="Currency 5 2 4 12" xfId="13091" xr:uid="{F4BE34A9-436C-4DA0-B1D7-55572A4F8C63}"/>
    <cellStyle name="Currency 5 2 4 2" xfId="206" xr:uid="{00000000-0005-0000-0000-0000250C0000}"/>
    <cellStyle name="Currency 5 2 4 2 10" xfId="8881" xr:uid="{4B162D8F-25E3-42ED-927E-019B17A1F03F}"/>
    <cellStyle name="Currency 5 2 4 2 11" xfId="13092" xr:uid="{B3BCA17A-460A-4541-84AC-58585A6548B8}"/>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9869" xr:uid="{4512CE20-E056-40AB-B8EA-2C3AB765D429}"/>
    <cellStyle name="Currency 5 2 4 2 2 2 3" xfId="11440" xr:uid="{EA35DEF5-DFDC-49F3-820A-C32C57840833}"/>
    <cellStyle name="Currency 5 2 4 2 2 2 4" xfId="15651" xr:uid="{55D116AF-0CA3-46D2-822E-740A788EB547}"/>
    <cellStyle name="Currency 5 2 4 2 2 3" xfId="5063" xr:uid="{00000000-0005-0000-0000-0000290C0000}"/>
    <cellStyle name="Currency 5 2 4 2 2 3 2" xfId="17724" xr:uid="{D968BDB1-B185-48F7-9C77-321C46240D21}"/>
    <cellStyle name="Currency 5 2 4 2 2 4" xfId="9295" xr:uid="{E899DD7D-839E-4CBE-BBFB-52C1A70DDFBA}"/>
    <cellStyle name="Currency 5 2 4 2 2 5" xfId="13506" xr:uid="{6595E933-BBC8-4C53-9B71-E235B463DB31}"/>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20282" xr:uid="{98A09C44-8FE8-47CB-89E8-AB15798181F4}"/>
    <cellStyle name="Currency 5 2 4 2 3 2 3" xfId="11853" xr:uid="{F93C1478-6F7F-4D45-B718-B4510A24329B}"/>
    <cellStyle name="Currency 5 2 4 2 3 2 4" xfId="16064" xr:uid="{1BA1D731-9AF6-4D52-ACBE-CA9EF118E7EC}"/>
    <cellStyle name="Currency 5 2 4 2 3 3" xfId="5476" xr:uid="{00000000-0005-0000-0000-00002D0C0000}"/>
    <cellStyle name="Currency 5 2 4 2 3 3 2" xfId="18137" xr:uid="{4051570C-172C-45AF-A120-3E83FA5D41E8}"/>
    <cellStyle name="Currency 5 2 4 2 3 4" xfId="9708" xr:uid="{1A24B8B4-482F-478A-BD78-2D414101C21D}"/>
    <cellStyle name="Currency 5 2 4 2 3 5" xfId="13919" xr:uid="{3D2F35F6-C04A-416E-9F67-1010DBC7EB4E}"/>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20695" xr:uid="{613AFCA6-A74A-4B77-8BFF-B229ECD9C65C}"/>
    <cellStyle name="Currency 5 2 4 2 4 2 3" xfId="12266" xr:uid="{5AA86BE8-9361-4722-B4A8-D24852F5D485}"/>
    <cellStyle name="Currency 5 2 4 2 4 2 4" xfId="16477" xr:uid="{04BEEF9D-6FFF-4D84-8B78-F44863969081}"/>
    <cellStyle name="Currency 5 2 4 2 4 3" xfId="5889" xr:uid="{00000000-0005-0000-0000-0000310C0000}"/>
    <cellStyle name="Currency 5 2 4 2 4 3 2" xfId="18550" xr:uid="{88BF3C2B-B7C2-4C70-B74C-ADCB8581E80C}"/>
    <cellStyle name="Currency 5 2 4 2 4 4" xfId="10121" xr:uid="{A7A75FD0-D121-46AF-A8EF-19D8DF8F9FC1}"/>
    <cellStyle name="Currency 5 2 4 2 4 5" xfId="14332" xr:uid="{9074717B-2791-4353-BE7A-D0124D3449F9}"/>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21108" xr:uid="{C01F54A8-61CA-481C-BCB1-B3687B47AD9F}"/>
    <cellStyle name="Currency 5 2 4 2 5 2 3" xfId="12679" xr:uid="{87557FA6-CA3A-4A44-9F04-1E84D75B69D8}"/>
    <cellStyle name="Currency 5 2 4 2 5 2 4" xfId="16890" xr:uid="{24C71FAE-5FD8-4352-BF12-C6C479EC753A}"/>
    <cellStyle name="Currency 5 2 4 2 5 3" xfId="6302" xr:uid="{00000000-0005-0000-0000-0000350C0000}"/>
    <cellStyle name="Currency 5 2 4 2 5 3 2" xfId="18963" xr:uid="{87A2EB53-5588-4554-B42F-E9FE5411F478}"/>
    <cellStyle name="Currency 5 2 4 2 5 4" xfId="10534" xr:uid="{4AEAD8BD-686F-41A4-B7E8-42A422F6928E}"/>
    <cellStyle name="Currency 5 2 4 2 5 5" xfId="14745" xr:uid="{C1599497-7E67-498D-B1F8-24B1D19A127E}"/>
    <cellStyle name="Currency 5 2 4 2 6" xfId="2431" xr:uid="{00000000-0005-0000-0000-0000360C0000}"/>
    <cellStyle name="Currency 5 2 4 2 6 2" xfId="6715" xr:uid="{00000000-0005-0000-0000-0000370C0000}"/>
    <cellStyle name="Currency 5 2 4 2 6 2 2" xfId="19376" xr:uid="{C4FA69A8-361A-459E-89A7-FF59AB3E1443}"/>
    <cellStyle name="Currency 5 2 4 2 6 3" xfId="10947" xr:uid="{309903A5-ACFA-4011-98C2-8CBE94217408}"/>
    <cellStyle name="Currency 5 2 4 2 6 4" xfId="15158" xr:uid="{83E35035-0525-4AB7-9B14-04733685A645}"/>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9693" xr:uid="{E8033886-7B0E-46E3-9A43-717B62E1D5C5}"/>
    <cellStyle name="Currency 5 2 4 2 8 3" xfId="11264" xr:uid="{3695F95A-32E0-4676-A69C-C00E74E7F6ED}"/>
    <cellStyle name="Currency 5 2 4 2 8 4" xfId="15475" xr:uid="{B13536CD-4F2B-4452-8724-DA17A5C56CC4}"/>
    <cellStyle name="Currency 5 2 4 2 9" xfId="4649" xr:uid="{00000000-0005-0000-0000-00003B0C0000}"/>
    <cellStyle name="Currency 5 2 4 2 9 2" xfId="17310" xr:uid="{5B5D6710-2F3D-49C5-B6F1-C4DC1E39E811}"/>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9868" xr:uid="{E0DE4D15-6841-4B92-9AF2-7E788A662747}"/>
    <cellStyle name="Currency 5 2 4 3 2 3" xfId="11439" xr:uid="{E7517619-457B-4498-9355-511E41ECA900}"/>
    <cellStyle name="Currency 5 2 4 3 2 4" xfId="15650" xr:uid="{7F650A08-8710-4A4C-9FFD-18827BB1D79A}"/>
    <cellStyle name="Currency 5 2 4 3 3" xfId="5062" xr:uid="{00000000-0005-0000-0000-00003F0C0000}"/>
    <cellStyle name="Currency 5 2 4 3 3 2" xfId="17723" xr:uid="{D46F6DC6-327F-44A2-97C5-B0BB84E9DBEA}"/>
    <cellStyle name="Currency 5 2 4 3 4" xfId="9294" xr:uid="{2367ED93-7EAD-456A-89F5-B330244A3BA1}"/>
    <cellStyle name="Currency 5 2 4 3 5" xfId="13505" xr:uid="{C78BF04F-622C-4C6C-BE15-FDDE392548C3}"/>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20281" xr:uid="{DE4668AA-891B-477A-B904-41AE39BFFECC}"/>
    <cellStyle name="Currency 5 2 4 4 2 3" xfId="11852" xr:uid="{6F74CD5D-FD55-46C6-949D-20BFEC54C6CC}"/>
    <cellStyle name="Currency 5 2 4 4 2 4" xfId="16063" xr:uid="{E0CB84C3-F5B0-4EBA-B58E-36EFC86E828E}"/>
    <cellStyle name="Currency 5 2 4 4 3" xfId="5475" xr:uid="{00000000-0005-0000-0000-0000430C0000}"/>
    <cellStyle name="Currency 5 2 4 4 3 2" xfId="18136" xr:uid="{72083591-315F-47AE-8800-27F570B9F013}"/>
    <cellStyle name="Currency 5 2 4 4 4" xfId="9707" xr:uid="{06DAEBBE-884E-434A-8B31-8462BEE18FAD}"/>
    <cellStyle name="Currency 5 2 4 4 5" xfId="13918" xr:uid="{07B7EF47-8A4E-4916-AEB3-0209E01B917A}"/>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20694" xr:uid="{CD9D607A-93D2-491C-99D5-497E26089738}"/>
    <cellStyle name="Currency 5 2 4 5 2 3" xfId="12265" xr:uid="{AD383F13-2993-472D-A301-D9B5E046940F}"/>
    <cellStyle name="Currency 5 2 4 5 2 4" xfId="16476" xr:uid="{95B467BC-C2FA-4BE6-9E9A-770B04018EA3}"/>
    <cellStyle name="Currency 5 2 4 5 3" xfId="5888" xr:uid="{00000000-0005-0000-0000-0000470C0000}"/>
    <cellStyle name="Currency 5 2 4 5 3 2" xfId="18549" xr:uid="{7054B3A4-A98E-4953-9490-A8A1553C1B9E}"/>
    <cellStyle name="Currency 5 2 4 5 4" xfId="10120" xr:uid="{7CAAB9C4-AAD3-4872-A25A-2FE0553AB36B}"/>
    <cellStyle name="Currency 5 2 4 5 5" xfId="14331" xr:uid="{5AB5727C-8020-4255-A03C-EE0562C32A3F}"/>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21107" xr:uid="{BB6AB494-BC05-423D-9D70-25711E2BC059}"/>
    <cellStyle name="Currency 5 2 4 6 2 3" xfId="12678" xr:uid="{BBF4AC07-6738-4745-A5DE-299A97BBF432}"/>
    <cellStyle name="Currency 5 2 4 6 2 4" xfId="16889" xr:uid="{CD122506-6747-4ABA-8AEF-CB61883CAFAC}"/>
    <cellStyle name="Currency 5 2 4 6 3" xfId="6301" xr:uid="{00000000-0005-0000-0000-00004B0C0000}"/>
    <cellStyle name="Currency 5 2 4 6 3 2" xfId="18962" xr:uid="{BEC0A3FE-2A5D-4785-A8DE-C95250F54976}"/>
    <cellStyle name="Currency 5 2 4 6 4" xfId="10533" xr:uid="{5DC9BA90-31C3-4C6A-AFF4-689A6D244142}"/>
    <cellStyle name="Currency 5 2 4 6 5" xfId="14744" xr:uid="{085FF223-253D-42E3-BC44-F5542DE38837}"/>
    <cellStyle name="Currency 5 2 4 7" xfId="2430" xr:uid="{00000000-0005-0000-0000-00004C0C0000}"/>
    <cellStyle name="Currency 5 2 4 7 2" xfId="6714" xr:uid="{00000000-0005-0000-0000-00004D0C0000}"/>
    <cellStyle name="Currency 5 2 4 7 2 2" xfId="19375" xr:uid="{1A4F9EA4-8D4B-4C77-ABAB-148111A5B4B2}"/>
    <cellStyle name="Currency 5 2 4 7 3" xfId="10946" xr:uid="{3277E5FA-F568-4C6D-85D5-26E0E56B4F78}"/>
    <cellStyle name="Currency 5 2 4 7 4" xfId="15157" xr:uid="{4494603C-B193-40CC-BCEC-5A2A6E5DD6A4}"/>
    <cellStyle name="Currency 5 2 4 8" xfId="2727" xr:uid="{00000000-0005-0000-0000-00004E0C0000}"/>
    <cellStyle name="Currency 5 2 4 9" xfId="2808" xr:uid="{00000000-0005-0000-0000-00004F0C0000}"/>
    <cellStyle name="Currency 5 2 4 9 2" xfId="7031" xr:uid="{00000000-0005-0000-0000-0000500C0000}"/>
    <cellStyle name="Currency 5 2 4 9 2 2" xfId="19692" xr:uid="{23EC4936-DDC5-411E-A28D-1457818B26CB}"/>
    <cellStyle name="Currency 5 2 4 9 3" xfId="11263" xr:uid="{CF93C727-724E-4387-801A-6DDD60383F07}"/>
    <cellStyle name="Currency 5 2 4 9 4" xfId="15474" xr:uid="{0CF02458-2D10-4C54-A2E7-9B93CCB6A214}"/>
    <cellStyle name="Currency 5 2 5" xfId="207" xr:uid="{00000000-0005-0000-0000-0000510C0000}"/>
    <cellStyle name="Currency 5 2 5 10" xfId="8882" xr:uid="{9EDF04D0-4823-4D06-8A63-CF8920DD27EB}"/>
    <cellStyle name="Currency 5 2 5 11" xfId="13093" xr:uid="{92474E64-281C-4705-9C3B-DF514A78B211}"/>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9870" xr:uid="{688E374E-3427-4980-AE2E-6845AD806D8E}"/>
    <cellStyle name="Currency 5 2 5 2 2 3" xfId="11441" xr:uid="{DC13A74A-5E7B-42A4-9E19-D7341BBFE53E}"/>
    <cellStyle name="Currency 5 2 5 2 2 4" xfId="15652" xr:uid="{8D2D69BD-4E73-4193-B471-1C0EB71BB8E0}"/>
    <cellStyle name="Currency 5 2 5 2 3" xfId="5064" xr:uid="{00000000-0005-0000-0000-0000550C0000}"/>
    <cellStyle name="Currency 5 2 5 2 3 2" xfId="17725" xr:uid="{19079FFA-A3E0-4E3A-B5A4-48B580526775}"/>
    <cellStyle name="Currency 5 2 5 2 4" xfId="9296" xr:uid="{0F29E2D9-A2A1-4CB0-B684-2ACA82C208B0}"/>
    <cellStyle name="Currency 5 2 5 2 5" xfId="13507" xr:uid="{3150649B-CC04-4951-B9DB-B23E42BD5833}"/>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20283" xr:uid="{EAD3CFBF-2120-49DD-9354-236AF1AAA5C8}"/>
    <cellStyle name="Currency 5 2 5 3 2 3" xfId="11854" xr:uid="{585B714A-14ED-4F0D-95C6-197751E9B621}"/>
    <cellStyle name="Currency 5 2 5 3 2 4" xfId="16065" xr:uid="{7B4B888E-7988-42DB-8BF4-BE951CE8C9E5}"/>
    <cellStyle name="Currency 5 2 5 3 3" xfId="5477" xr:uid="{00000000-0005-0000-0000-0000590C0000}"/>
    <cellStyle name="Currency 5 2 5 3 3 2" xfId="18138" xr:uid="{1E3B13FF-A7F5-4AA5-8509-70EDFE9EC1B4}"/>
    <cellStyle name="Currency 5 2 5 3 4" xfId="9709" xr:uid="{461DCCF5-9903-44B5-A21F-04EA77E19B79}"/>
    <cellStyle name="Currency 5 2 5 3 5" xfId="13920" xr:uid="{4058CA02-A296-4750-A23B-7D7853861AB9}"/>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20696" xr:uid="{12AF37C1-AC62-4E9C-83FA-EEC38F8A23C1}"/>
    <cellStyle name="Currency 5 2 5 4 2 3" xfId="12267" xr:uid="{A5B4AA58-DEF3-4C51-B2A8-607D4EC4A901}"/>
    <cellStyle name="Currency 5 2 5 4 2 4" xfId="16478" xr:uid="{D932DAAE-D3BB-4806-8D98-1B50938E934C}"/>
    <cellStyle name="Currency 5 2 5 4 3" xfId="5890" xr:uid="{00000000-0005-0000-0000-00005D0C0000}"/>
    <cellStyle name="Currency 5 2 5 4 3 2" xfId="18551" xr:uid="{7F77E905-425D-4C6A-A6FD-49F8F9197CAD}"/>
    <cellStyle name="Currency 5 2 5 4 4" xfId="10122" xr:uid="{7916B8E0-16F5-403D-8BEE-7772B0B13E90}"/>
    <cellStyle name="Currency 5 2 5 4 5" xfId="14333" xr:uid="{A4E155A4-AF43-4DA4-9F2E-423755350E5C}"/>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21109" xr:uid="{15FBF1D6-65C7-4F92-A8A3-9DBD0631E85A}"/>
    <cellStyle name="Currency 5 2 5 5 2 3" xfId="12680" xr:uid="{E724DBEF-9CB1-475F-A1B7-2E994BB6A8B3}"/>
    <cellStyle name="Currency 5 2 5 5 2 4" xfId="16891" xr:uid="{2713D534-9302-4B71-AB75-168A40478073}"/>
    <cellStyle name="Currency 5 2 5 5 3" xfId="6303" xr:uid="{00000000-0005-0000-0000-0000610C0000}"/>
    <cellStyle name="Currency 5 2 5 5 3 2" xfId="18964" xr:uid="{919E43CA-F2DC-4354-94E0-4F47ADFB9BE4}"/>
    <cellStyle name="Currency 5 2 5 5 4" xfId="10535" xr:uid="{D96E3A93-B5C1-496A-BC91-B3989D03B9C5}"/>
    <cellStyle name="Currency 5 2 5 5 5" xfId="14746" xr:uid="{39718EDA-3832-4A35-A935-368EABD15095}"/>
    <cellStyle name="Currency 5 2 5 6" xfId="2432" xr:uid="{00000000-0005-0000-0000-0000620C0000}"/>
    <cellStyle name="Currency 5 2 5 6 2" xfId="6716" xr:uid="{00000000-0005-0000-0000-0000630C0000}"/>
    <cellStyle name="Currency 5 2 5 6 2 2" xfId="19377" xr:uid="{1B503F36-BD4D-4198-8488-6A4B1C94135F}"/>
    <cellStyle name="Currency 5 2 5 6 3" xfId="10948" xr:uid="{229CAF1E-7F8E-4977-B646-E31702585860}"/>
    <cellStyle name="Currency 5 2 5 6 4" xfId="15159" xr:uid="{BB7841E3-D831-44FB-BFEC-6888F4927FF3}"/>
    <cellStyle name="Currency 5 2 5 7" xfId="2729" xr:uid="{00000000-0005-0000-0000-0000640C0000}"/>
    <cellStyle name="Currency 5 2 5 8" xfId="2810" xr:uid="{00000000-0005-0000-0000-0000650C0000}"/>
    <cellStyle name="Currency 5 2 5 8 2" xfId="7033" xr:uid="{00000000-0005-0000-0000-0000660C0000}"/>
    <cellStyle name="Currency 5 2 5 8 2 2" xfId="19694" xr:uid="{8CF96D75-D786-42DD-B7EE-EA3A94EE1E4D}"/>
    <cellStyle name="Currency 5 2 5 8 3" xfId="11265" xr:uid="{5E191DD7-9B2F-41CD-97EE-98321FF5252B}"/>
    <cellStyle name="Currency 5 2 5 8 4" xfId="15476" xr:uid="{F19B7E05-321C-4D16-A5A4-3DBACCC55ACF}"/>
    <cellStyle name="Currency 5 2 5 9" xfId="4650" xr:uid="{00000000-0005-0000-0000-0000670C0000}"/>
    <cellStyle name="Currency 5 2 5 9 2" xfId="17311" xr:uid="{B5E421FB-6357-4742-BA97-3901200831BC}"/>
    <cellStyle name="Currency 5 2 6" xfId="208" xr:uid="{00000000-0005-0000-0000-0000680C0000}"/>
    <cellStyle name="Currency 5 2 6 10" xfId="8883" xr:uid="{A1F3F561-E243-4151-A3B9-B0B0647EB7F4}"/>
    <cellStyle name="Currency 5 2 6 11" xfId="13094" xr:uid="{FF50F99B-CDDC-4D95-B4C6-F4491D1782F3}"/>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9871" xr:uid="{3A0B13C6-E92F-4174-86D9-33F18722FAE9}"/>
    <cellStyle name="Currency 5 2 6 2 2 3" xfId="11442" xr:uid="{0BB41876-4F47-496C-89A9-29DAC11A371A}"/>
    <cellStyle name="Currency 5 2 6 2 2 4" xfId="15653" xr:uid="{B6BA01B4-0623-471C-ACE7-70971ACD4368}"/>
    <cellStyle name="Currency 5 2 6 2 3" xfId="5065" xr:uid="{00000000-0005-0000-0000-00006C0C0000}"/>
    <cellStyle name="Currency 5 2 6 2 3 2" xfId="17726" xr:uid="{B7C77476-36C5-4A1C-9C5F-C8EEF250BE69}"/>
    <cellStyle name="Currency 5 2 6 2 4" xfId="9297" xr:uid="{C3C5DA7C-D948-4ABB-B84C-A62E6EE5AAED}"/>
    <cellStyle name="Currency 5 2 6 2 5" xfId="13508" xr:uid="{2D810DAB-D983-42B1-A9E0-278F2109C99A}"/>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20284" xr:uid="{D570B5D9-6B10-4405-ABD3-EB28DBD3D2E5}"/>
    <cellStyle name="Currency 5 2 6 3 2 3" xfId="11855" xr:uid="{95619867-9427-4084-9D6F-12E73E3C8648}"/>
    <cellStyle name="Currency 5 2 6 3 2 4" xfId="16066" xr:uid="{23C36C31-5D7B-4B64-BACA-86C84706149D}"/>
    <cellStyle name="Currency 5 2 6 3 3" xfId="5478" xr:uid="{00000000-0005-0000-0000-0000700C0000}"/>
    <cellStyle name="Currency 5 2 6 3 3 2" xfId="18139" xr:uid="{1D8A832B-B6D6-460B-9907-DD9EE2E85AFB}"/>
    <cellStyle name="Currency 5 2 6 3 4" xfId="9710" xr:uid="{CE283A76-267B-4214-B665-AC4957684300}"/>
    <cellStyle name="Currency 5 2 6 3 5" xfId="13921" xr:uid="{299D8D01-5BD1-4594-BF74-197D85A7E3EC}"/>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20697" xr:uid="{1F2242E2-1A14-4A24-81AC-EAE25358B655}"/>
    <cellStyle name="Currency 5 2 6 4 2 3" xfId="12268" xr:uid="{D3438C39-787A-41E9-9EC4-4C87371ED994}"/>
    <cellStyle name="Currency 5 2 6 4 2 4" xfId="16479" xr:uid="{D673BD71-AB9C-4EAB-8174-B2DEDAD9C6C2}"/>
    <cellStyle name="Currency 5 2 6 4 3" xfId="5891" xr:uid="{00000000-0005-0000-0000-0000740C0000}"/>
    <cellStyle name="Currency 5 2 6 4 3 2" xfId="18552" xr:uid="{C0545E7D-4FBA-4122-A5B2-7011FA23C164}"/>
    <cellStyle name="Currency 5 2 6 4 4" xfId="10123" xr:uid="{5FBA9FAA-E94E-4189-81D0-D08847925C2A}"/>
    <cellStyle name="Currency 5 2 6 4 5" xfId="14334" xr:uid="{6E35FDD6-4820-4EDB-8EF1-61AF6E9BCB32}"/>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21110" xr:uid="{F3A4DE35-041D-45C5-9B3C-822442FCDF58}"/>
    <cellStyle name="Currency 5 2 6 5 2 3" xfId="12681" xr:uid="{5611C67D-18B1-4BB8-A0F7-899496C52848}"/>
    <cellStyle name="Currency 5 2 6 5 2 4" xfId="16892" xr:uid="{EE7BAEC4-4E6D-49FE-BFAF-A4918BCA5884}"/>
    <cellStyle name="Currency 5 2 6 5 3" xfId="6304" xr:uid="{00000000-0005-0000-0000-0000780C0000}"/>
    <cellStyle name="Currency 5 2 6 5 3 2" xfId="18965" xr:uid="{C76E9864-700A-44FA-AD82-9E3C4FEC220A}"/>
    <cellStyle name="Currency 5 2 6 5 4" xfId="10536" xr:uid="{5C0530B2-44C6-4CBE-B3F3-FE413E57A3E4}"/>
    <cellStyle name="Currency 5 2 6 5 5" xfId="14747" xr:uid="{40CC09C5-780B-4FD6-95AA-42111430E925}"/>
    <cellStyle name="Currency 5 2 6 6" xfId="2433" xr:uid="{00000000-0005-0000-0000-0000790C0000}"/>
    <cellStyle name="Currency 5 2 6 6 2" xfId="6717" xr:uid="{00000000-0005-0000-0000-00007A0C0000}"/>
    <cellStyle name="Currency 5 2 6 6 2 2" xfId="19378" xr:uid="{009606E2-269B-4706-A330-5B22E84F8A5F}"/>
    <cellStyle name="Currency 5 2 6 6 3" xfId="10949" xr:uid="{C0D2614E-AA7A-4B07-ADF4-0832591ED365}"/>
    <cellStyle name="Currency 5 2 6 6 4" xfId="15160" xr:uid="{824B7AA7-60C2-4FEA-9F78-90AA4700F5CE}"/>
    <cellStyle name="Currency 5 2 6 7" xfId="2730" xr:uid="{00000000-0005-0000-0000-00007B0C0000}"/>
    <cellStyle name="Currency 5 2 6 8" xfId="2811" xr:uid="{00000000-0005-0000-0000-00007C0C0000}"/>
    <cellStyle name="Currency 5 2 6 8 2" xfId="7034" xr:uid="{00000000-0005-0000-0000-00007D0C0000}"/>
    <cellStyle name="Currency 5 2 6 8 2 2" xfId="19695" xr:uid="{BF83A40A-1BA3-4221-8C33-A2FC05524C76}"/>
    <cellStyle name="Currency 5 2 6 8 3" xfId="11266" xr:uid="{55474AA6-A53C-44D1-8A58-083C4691AABA}"/>
    <cellStyle name="Currency 5 2 6 8 4" xfId="15477" xr:uid="{CBB3FAB0-F8FE-4EB2-B434-844DB0DA480B}"/>
    <cellStyle name="Currency 5 2 6 9" xfId="4651" xr:uid="{00000000-0005-0000-0000-00007E0C0000}"/>
    <cellStyle name="Currency 5 2 6 9 2" xfId="17312" xr:uid="{09402664-BDDC-4D37-AE71-E4ADDB8CD845}"/>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9696" xr:uid="{B95D1D52-8616-488D-B3A2-BCE4558EC9AE}"/>
    <cellStyle name="Currency 5 3 2 10 3" xfId="11267" xr:uid="{C8AE13C3-C6DC-4FE5-B4BF-EEC60D0148F6}"/>
    <cellStyle name="Currency 5 3 2 10 4" xfId="15478" xr:uid="{2961F001-0586-4065-B854-6194A7B67122}"/>
    <cellStyle name="Currency 5 3 2 11" xfId="4652" xr:uid="{00000000-0005-0000-0000-0000840C0000}"/>
    <cellStyle name="Currency 5 3 2 11 2" xfId="17313" xr:uid="{5CAB6A81-A435-4B9F-8245-48583C86AF02}"/>
    <cellStyle name="Currency 5 3 2 12" xfId="8884" xr:uid="{234B83F9-9893-4BFD-BA7A-1A47240776C6}"/>
    <cellStyle name="Currency 5 3 2 13" xfId="13095" xr:uid="{40B53393-1FC3-4365-892A-636121BBC3C8}"/>
    <cellStyle name="Currency 5 3 2 2" xfId="211" xr:uid="{00000000-0005-0000-0000-0000850C0000}"/>
    <cellStyle name="Currency 5 3 2 2 10" xfId="4653" xr:uid="{00000000-0005-0000-0000-0000860C0000}"/>
    <cellStyle name="Currency 5 3 2 2 10 2" xfId="17314" xr:uid="{45F333B8-AD07-4D7D-9849-6CAC18E8660A}"/>
    <cellStyle name="Currency 5 3 2 2 11" xfId="8885" xr:uid="{F1B75D5E-8A5E-4095-9A0E-9CCECA7CF04B}"/>
    <cellStyle name="Currency 5 3 2 2 12" xfId="13096" xr:uid="{B5E5DFBA-84A0-456A-99FD-853D3E4CE9D1}"/>
    <cellStyle name="Currency 5 3 2 2 2" xfId="212" xr:uid="{00000000-0005-0000-0000-0000870C0000}"/>
    <cellStyle name="Currency 5 3 2 2 2 10" xfId="8886" xr:uid="{EE1AB351-360D-466C-8C12-04B5F3F66EA3}"/>
    <cellStyle name="Currency 5 3 2 2 2 11" xfId="13097" xr:uid="{5EA13CCA-0AD0-4E8F-A979-5A22069DE7D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9874" xr:uid="{C924B409-3EFA-449B-A29E-258CE673798E}"/>
    <cellStyle name="Currency 5 3 2 2 2 2 2 3" xfId="11445" xr:uid="{2508F72E-5E49-4C31-AA42-3F4126DBAAC6}"/>
    <cellStyle name="Currency 5 3 2 2 2 2 2 4" xfId="15656" xr:uid="{D2599B8B-46E7-4E53-834E-B31E73EB9719}"/>
    <cellStyle name="Currency 5 3 2 2 2 2 3" xfId="5068" xr:uid="{00000000-0005-0000-0000-00008B0C0000}"/>
    <cellStyle name="Currency 5 3 2 2 2 2 3 2" xfId="17729" xr:uid="{B4D90BDF-5B14-4448-BA16-B5485DAA6012}"/>
    <cellStyle name="Currency 5 3 2 2 2 2 4" xfId="9300" xr:uid="{A0758076-5D20-457D-842B-164DDE06B283}"/>
    <cellStyle name="Currency 5 3 2 2 2 2 5" xfId="13511" xr:uid="{F8159C8E-6EDA-4F5E-A64C-BE034877857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20287" xr:uid="{AF6D3857-8EC9-4579-A0F8-56ABA313B2D3}"/>
    <cellStyle name="Currency 5 3 2 2 2 3 2 3" xfId="11858" xr:uid="{185FF1A2-D5CF-478F-9C99-80311262701F}"/>
    <cellStyle name="Currency 5 3 2 2 2 3 2 4" xfId="16069" xr:uid="{6D7CB136-7D59-4490-88CB-B4D865541562}"/>
    <cellStyle name="Currency 5 3 2 2 2 3 3" xfId="5481" xr:uid="{00000000-0005-0000-0000-00008F0C0000}"/>
    <cellStyle name="Currency 5 3 2 2 2 3 3 2" xfId="18142" xr:uid="{17BEB1C2-452A-4DF1-93AA-0E0FB6F811B5}"/>
    <cellStyle name="Currency 5 3 2 2 2 3 4" xfId="9713" xr:uid="{B621A43A-C53D-4DE3-970C-78DF5A0F7E59}"/>
    <cellStyle name="Currency 5 3 2 2 2 3 5" xfId="13924" xr:uid="{68033E3B-D6F9-46BF-9826-C44B13D5972E}"/>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20700" xr:uid="{CD69E74F-EF56-40CF-A55E-5B7063261539}"/>
    <cellStyle name="Currency 5 3 2 2 2 4 2 3" xfId="12271" xr:uid="{E009D1F9-31E5-44F9-8C60-474523C728EB}"/>
    <cellStyle name="Currency 5 3 2 2 2 4 2 4" xfId="16482" xr:uid="{30A70B2F-52AB-4DE0-A9E6-D69296D50745}"/>
    <cellStyle name="Currency 5 3 2 2 2 4 3" xfId="5894" xr:uid="{00000000-0005-0000-0000-0000930C0000}"/>
    <cellStyle name="Currency 5 3 2 2 2 4 3 2" xfId="18555" xr:uid="{69865018-649F-4E9E-8181-229098E9DBB4}"/>
    <cellStyle name="Currency 5 3 2 2 2 4 4" xfId="10126" xr:uid="{E9BA4A70-E49C-41E1-BF67-0D9E9628EBEE}"/>
    <cellStyle name="Currency 5 3 2 2 2 4 5" xfId="14337" xr:uid="{16890B45-9F6F-48BE-87B8-71A3FC9E0148}"/>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21113" xr:uid="{DDE3239F-66D5-4F69-8552-B91F89CF4447}"/>
    <cellStyle name="Currency 5 3 2 2 2 5 2 3" xfId="12684" xr:uid="{6BCE82F4-2658-475F-9E09-9219928A3AC7}"/>
    <cellStyle name="Currency 5 3 2 2 2 5 2 4" xfId="16895" xr:uid="{34A08053-7AB2-45CD-AD03-DEDD06EE7019}"/>
    <cellStyle name="Currency 5 3 2 2 2 5 3" xfId="6307" xr:uid="{00000000-0005-0000-0000-0000970C0000}"/>
    <cellStyle name="Currency 5 3 2 2 2 5 3 2" xfId="18968" xr:uid="{4B5A8DFE-A10B-4A26-B2EE-940D9D4CE07B}"/>
    <cellStyle name="Currency 5 3 2 2 2 5 4" xfId="10539" xr:uid="{F4EE06D5-B11A-4842-9EE3-23F8397BE0D4}"/>
    <cellStyle name="Currency 5 3 2 2 2 5 5" xfId="14750" xr:uid="{93DBA80A-EA5A-4A35-86B4-515689F68A28}"/>
    <cellStyle name="Currency 5 3 2 2 2 6" xfId="2436" xr:uid="{00000000-0005-0000-0000-0000980C0000}"/>
    <cellStyle name="Currency 5 3 2 2 2 6 2" xfId="6720" xr:uid="{00000000-0005-0000-0000-0000990C0000}"/>
    <cellStyle name="Currency 5 3 2 2 2 6 2 2" xfId="19381" xr:uid="{C08B5782-B00C-47DC-B3CB-00881E9857D9}"/>
    <cellStyle name="Currency 5 3 2 2 2 6 3" xfId="10952" xr:uid="{FF558AA7-4A95-4876-80F0-3CB6CE053A6D}"/>
    <cellStyle name="Currency 5 3 2 2 2 6 4" xfId="15163" xr:uid="{194AE0D4-A550-4973-9A11-4FCF5F43D96D}"/>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9698" xr:uid="{5C55435D-EC76-48EC-8008-824906473F92}"/>
    <cellStyle name="Currency 5 3 2 2 2 8 3" xfId="11269" xr:uid="{DE6320D6-D299-4C9E-B50F-3D7F8D884E6D}"/>
    <cellStyle name="Currency 5 3 2 2 2 8 4" xfId="15480" xr:uid="{EAB2E7B9-A00B-47E0-863C-E4F4185BA0D4}"/>
    <cellStyle name="Currency 5 3 2 2 2 9" xfId="4654" xr:uid="{00000000-0005-0000-0000-00009D0C0000}"/>
    <cellStyle name="Currency 5 3 2 2 2 9 2" xfId="17315" xr:uid="{E7BAB0B9-CE99-409A-BE0B-E3A6779507B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9873" xr:uid="{7DEB0C14-3471-4D9B-8D3A-F08978484614}"/>
    <cellStyle name="Currency 5 3 2 2 3 2 3" xfId="11444" xr:uid="{23DD8F64-A8B4-48C2-8411-CCE7E1B3496A}"/>
    <cellStyle name="Currency 5 3 2 2 3 2 4" xfId="15655" xr:uid="{B49236BF-7D82-4551-A7B0-630DF233BB7A}"/>
    <cellStyle name="Currency 5 3 2 2 3 3" xfId="5067" xr:uid="{00000000-0005-0000-0000-0000A10C0000}"/>
    <cellStyle name="Currency 5 3 2 2 3 3 2" xfId="17728" xr:uid="{38F83385-EEFD-4829-94DB-902455F26859}"/>
    <cellStyle name="Currency 5 3 2 2 3 4" xfId="9299" xr:uid="{B9F02A1D-EB20-4961-A0DD-4FDF79424487}"/>
    <cellStyle name="Currency 5 3 2 2 3 5" xfId="13510" xr:uid="{BA97A6EA-C98B-436A-919F-D439D7314F83}"/>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20286" xr:uid="{48845637-2B1B-4AF1-96F2-47B901D5C642}"/>
    <cellStyle name="Currency 5 3 2 2 4 2 3" xfId="11857" xr:uid="{DE73AEE3-DDBE-4A49-B3A3-F98D9861BBF1}"/>
    <cellStyle name="Currency 5 3 2 2 4 2 4" xfId="16068" xr:uid="{630968D8-4680-468E-A480-7B74F6B586F9}"/>
    <cellStyle name="Currency 5 3 2 2 4 3" xfId="5480" xr:uid="{00000000-0005-0000-0000-0000A50C0000}"/>
    <cellStyle name="Currency 5 3 2 2 4 3 2" xfId="18141" xr:uid="{779E46F1-1EB7-4D04-8190-1680E4417A3A}"/>
    <cellStyle name="Currency 5 3 2 2 4 4" xfId="9712" xr:uid="{9D71E7A5-73B5-4D74-91F8-4844D87FF136}"/>
    <cellStyle name="Currency 5 3 2 2 4 5" xfId="13923" xr:uid="{FF3D736C-EA6A-4CBB-B96C-9D919D63D281}"/>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20699" xr:uid="{80C92292-28BF-47F3-BC2B-5CCA13D8C9FE}"/>
    <cellStyle name="Currency 5 3 2 2 5 2 3" xfId="12270" xr:uid="{66A6E56D-A005-48DA-8022-8B4FB05DEC84}"/>
    <cellStyle name="Currency 5 3 2 2 5 2 4" xfId="16481" xr:uid="{B958B65E-44EA-4A3B-96CF-F11E05F37036}"/>
    <cellStyle name="Currency 5 3 2 2 5 3" xfId="5893" xr:uid="{00000000-0005-0000-0000-0000A90C0000}"/>
    <cellStyle name="Currency 5 3 2 2 5 3 2" xfId="18554" xr:uid="{3F074B6F-3D9E-495D-A7E5-ED41422FACF3}"/>
    <cellStyle name="Currency 5 3 2 2 5 4" xfId="10125" xr:uid="{D95E2F91-B806-4A02-9943-500FAE7735C5}"/>
    <cellStyle name="Currency 5 3 2 2 5 5" xfId="14336" xr:uid="{7D19892B-8EEA-4912-9842-290F8DB97BF9}"/>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21112" xr:uid="{D7C65B04-9217-4B7B-8574-FCBB2DC1EE24}"/>
    <cellStyle name="Currency 5 3 2 2 6 2 3" xfId="12683" xr:uid="{7763B117-3100-4D2A-9664-ACA111DB894E}"/>
    <cellStyle name="Currency 5 3 2 2 6 2 4" xfId="16894" xr:uid="{4352266D-2D53-464F-BDAE-A1A6C21C1933}"/>
    <cellStyle name="Currency 5 3 2 2 6 3" xfId="6306" xr:uid="{00000000-0005-0000-0000-0000AD0C0000}"/>
    <cellStyle name="Currency 5 3 2 2 6 3 2" xfId="18967" xr:uid="{DAEA5419-D225-4510-86A1-44800E5A5107}"/>
    <cellStyle name="Currency 5 3 2 2 6 4" xfId="10538" xr:uid="{09264042-E5CE-4C9B-843E-9CB7DA80D4D3}"/>
    <cellStyle name="Currency 5 3 2 2 6 5" xfId="14749" xr:uid="{BA54D829-968C-4F9A-B130-84378AF36CD0}"/>
    <cellStyle name="Currency 5 3 2 2 7" xfId="2435" xr:uid="{00000000-0005-0000-0000-0000AE0C0000}"/>
    <cellStyle name="Currency 5 3 2 2 7 2" xfId="6719" xr:uid="{00000000-0005-0000-0000-0000AF0C0000}"/>
    <cellStyle name="Currency 5 3 2 2 7 2 2" xfId="19380" xr:uid="{58C7A83D-CFBA-44F1-9D80-A32A0D250864}"/>
    <cellStyle name="Currency 5 3 2 2 7 3" xfId="10951" xr:uid="{14657EEC-3C61-4AF1-AC1B-88C5CEB41559}"/>
    <cellStyle name="Currency 5 3 2 2 7 4" xfId="15162" xr:uid="{A9117574-C4A0-4536-B914-D8768AD5744F}"/>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9697" xr:uid="{C5DB6FDA-7A32-42E7-A2A4-41F415A25138}"/>
    <cellStyle name="Currency 5 3 2 2 9 3" xfId="11268" xr:uid="{5AFA4209-DF23-496C-BCFA-6A9643F34468}"/>
    <cellStyle name="Currency 5 3 2 2 9 4" xfId="15479" xr:uid="{E3DA9E09-61AA-490E-8123-E31ADB358410}"/>
    <cellStyle name="Currency 5 3 2 3" xfId="213" xr:uid="{00000000-0005-0000-0000-0000B30C0000}"/>
    <cellStyle name="Currency 5 3 2 3 10" xfId="8887" xr:uid="{CB4CBA36-9EDC-42C3-A8B5-837BF674B8D5}"/>
    <cellStyle name="Currency 5 3 2 3 11" xfId="13098" xr:uid="{A4AB2076-DEF6-4DC7-97D8-60B89C297A2E}"/>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9875" xr:uid="{FA97E500-0FEF-4F24-BCA8-4430FB07C70A}"/>
    <cellStyle name="Currency 5 3 2 3 2 2 3" xfId="11446" xr:uid="{B6710E25-BCE3-47EC-B8B6-06009D659686}"/>
    <cellStyle name="Currency 5 3 2 3 2 2 4" xfId="15657" xr:uid="{52C95EFB-8E68-4F98-B6BD-1CEBEEAEEC2E}"/>
    <cellStyle name="Currency 5 3 2 3 2 3" xfId="5069" xr:uid="{00000000-0005-0000-0000-0000B70C0000}"/>
    <cellStyle name="Currency 5 3 2 3 2 3 2" xfId="17730" xr:uid="{FE36E05F-3E61-4CD6-B806-83346628B4C0}"/>
    <cellStyle name="Currency 5 3 2 3 2 4" xfId="9301" xr:uid="{67FE98A6-95CE-42B0-B45D-709A51668D68}"/>
    <cellStyle name="Currency 5 3 2 3 2 5" xfId="13512" xr:uid="{46517AD5-2756-408B-882B-ECFE14AF53A3}"/>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20288" xr:uid="{B94255BF-C521-4D1F-82EB-6D80767BB8D9}"/>
    <cellStyle name="Currency 5 3 2 3 3 2 3" xfId="11859" xr:uid="{20184688-CA5B-4677-AEC9-3673CB58FF2F}"/>
    <cellStyle name="Currency 5 3 2 3 3 2 4" xfId="16070" xr:uid="{9179863E-5D03-4288-A9D8-4F54FECC2C85}"/>
    <cellStyle name="Currency 5 3 2 3 3 3" xfId="5482" xr:uid="{00000000-0005-0000-0000-0000BB0C0000}"/>
    <cellStyle name="Currency 5 3 2 3 3 3 2" xfId="18143" xr:uid="{17F1DD72-B74E-4E0C-BE30-401F5007B58A}"/>
    <cellStyle name="Currency 5 3 2 3 3 4" xfId="9714" xr:uid="{038EEBE5-1239-4A8C-9A1C-351CD650554E}"/>
    <cellStyle name="Currency 5 3 2 3 3 5" xfId="13925" xr:uid="{F09047E3-E0E8-44C8-8CBB-7ABA995D83BD}"/>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20701" xr:uid="{4FDFFFFB-AD77-44AD-BCC5-C12251049196}"/>
    <cellStyle name="Currency 5 3 2 3 4 2 3" xfId="12272" xr:uid="{E5D75D94-B021-476C-AD49-947DF997C84F}"/>
    <cellStyle name="Currency 5 3 2 3 4 2 4" xfId="16483" xr:uid="{F3022C93-92DE-42D1-B98C-8A68F3A30EF8}"/>
    <cellStyle name="Currency 5 3 2 3 4 3" xfId="5895" xr:uid="{00000000-0005-0000-0000-0000BF0C0000}"/>
    <cellStyle name="Currency 5 3 2 3 4 3 2" xfId="18556" xr:uid="{E968C8F9-F0B5-4884-A4C0-B5240F554F25}"/>
    <cellStyle name="Currency 5 3 2 3 4 4" xfId="10127" xr:uid="{FFE831FF-53B4-45E7-94ED-795385BE3A3A}"/>
    <cellStyle name="Currency 5 3 2 3 4 5" xfId="14338" xr:uid="{CCE89665-9152-4087-9567-FA353A834C98}"/>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21114" xr:uid="{F91D94D6-F9E3-49F2-9CFD-57D4FB8DB013}"/>
    <cellStyle name="Currency 5 3 2 3 5 2 3" xfId="12685" xr:uid="{00E1F60B-03C3-4111-AE16-9D3FB380AA2A}"/>
    <cellStyle name="Currency 5 3 2 3 5 2 4" xfId="16896" xr:uid="{E7EBF92B-B241-4E4A-AE79-A6F130FD3296}"/>
    <cellStyle name="Currency 5 3 2 3 5 3" xfId="6308" xr:uid="{00000000-0005-0000-0000-0000C30C0000}"/>
    <cellStyle name="Currency 5 3 2 3 5 3 2" xfId="18969" xr:uid="{4777AF91-8374-41C3-ACE3-E8D4F11C4D93}"/>
    <cellStyle name="Currency 5 3 2 3 5 4" xfId="10540" xr:uid="{6C62CF75-9F18-4A3D-BB2A-28C6B2AF4FB7}"/>
    <cellStyle name="Currency 5 3 2 3 5 5" xfId="14751" xr:uid="{50E7C520-4A3A-4678-B8F8-982FC9879F25}"/>
    <cellStyle name="Currency 5 3 2 3 6" xfId="2437" xr:uid="{00000000-0005-0000-0000-0000C40C0000}"/>
    <cellStyle name="Currency 5 3 2 3 6 2" xfId="6721" xr:uid="{00000000-0005-0000-0000-0000C50C0000}"/>
    <cellStyle name="Currency 5 3 2 3 6 2 2" xfId="19382" xr:uid="{D0F62E38-8216-4D3E-9624-6DB457FB3EB0}"/>
    <cellStyle name="Currency 5 3 2 3 6 3" xfId="10953" xr:uid="{CA779D6F-61FF-4C89-BD70-5F8FF31C39C4}"/>
    <cellStyle name="Currency 5 3 2 3 6 4" xfId="15164" xr:uid="{3121678C-4536-4090-AC65-9EDB3DFFC1DF}"/>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9699" xr:uid="{9BCAA3D5-A720-4D36-9DDD-7A79A93AA9E3}"/>
    <cellStyle name="Currency 5 3 2 3 8 3" xfId="11270" xr:uid="{95D90E73-3208-41BF-8B76-7A38235C8969}"/>
    <cellStyle name="Currency 5 3 2 3 8 4" xfId="15481" xr:uid="{5529B919-F9CF-4AC4-B25E-ABC856907C00}"/>
    <cellStyle name="Currency 5 3 2 3 9" xfId="4655" xr:uid="{00000000-0005-0000-0000-0000C90C0000}"/>
    <cellStyle name="Currency 5 3 2 3 9 2" xfId="17316" xr:uid="{790C7A49-A3AE-4DE5-B09D-A4D924A43615}"/>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9872" xr:uid="{03E8EF59-C727-4DC4-A72F-EDFD88A446EA}"/>
    <cellStyle name="Currency 5 3 2 4 2 3" xfId="11443" xr:uid="{46F67D48-A350-413B-883A-4B4DCFCE834B}"/>
    <cellStyle name="Currency 5 3 2 4 2 4" xfId="15654" xr:uid="{19537720-15EB-496F-9437-BE9A67D604AB}"/>
    <cellStyle name="Currency 5 3 2 4 3" xfId="5066" xr:uid="{00000000-0005-0000-0000-0000CD0C0000}"/>
    <cellStyle name="Currency 5 3 2 4 3 2" xfId="17727" xr:uid="{CBE901C2-F09A-47E5-8083-93012023E940}"/>
    <cellStyle name="Currency 5 3 2 4 4" xfId="9298" xr:uid="{7E203EB4-0723-4D84-A13E-B20CB38B61CD}"/>
    <cellStyle name="Currency 5 3 2 4 5" xfId="13509" xr:uid="{EBB42D9A-9AA9-4E4E-82D8-6C28B4262292}"/>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20285" xr:uid="{AF92BA65-6F4E-4DC5-A84D-8A0653DAC0F6}"/>
    <cellStyle name="Currency 5 3 2 5 2 3" xfId="11856" xr:uid="{8747BC8D-5B50-4157-B58B-8D0A6FA5EF06}"/>
    <cellStyle name="Currency 5 3 2 5 2 4" xfId="16067" xr:uid="{07F95E36-FFEA-4EB2-8890-1791C8C5BB6E}"/>
    <cellStyle name="Currency 5 3 2 5 3" xfId="5479" xr:uid="{00000000-0005-0000-0000-0000D10C0000}"/>
    <cellStyle name="Currency 5 3 2 5 3 2" xfId="18140" xr:uid="{B9008D9B-88FA-4E1C-A029-0546B82A5F8B}"/>
    <cellStyle name="Currency 5 3 2 5 4" xfId="9711" xr:uid="{AF374C8F-1457-476B-86FA-9893D61AE820}"/>
    <cellStyle name="Currency 5 3 2 5 5" xfId="13922" xr:uid="{4D26789B-0738-4716-83A4-AA72623F7553}"/>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20698" xr:uid="{0FD78962-547C-4AE0-ABED-4C54FA886EEA}"/>
    <cellStyle name="Currency 5 3 2 6 2 3" xfId="12269" xr:uid="{BAC874CD-5757-4E2D-A44B-8A464660DEFE}"/>
    <cellStyle name="Currency 5 3 2 6 2 4" xfId="16480" xr:uid="{C4535FB8-51D7-467A-9289-291CC39ACC36}"/>
    <cellStyle name="Currency 5 3 2 6 3" xfId="5892" xr:uid="{00000000-0005-0000-0000-0000D50C0000}"/>
    <cellStyle name="Currency 5 3 2 6 3 2" xfId="18553" xr:uid="{5C32EC01-CDB0-4ECC-90EE-CB94823F781D}"/>
    <cellStyle name="Currency 5 3 2 6 4" xfId="10124" xr:uid="{40ECB774-9D57-4CB1-958B-39B3CE4835CD}"/>
    <cellStyle name="Currency 5 3 2 6 5" xfId="14335" xr:uid="{B7023276-B254-408B-843C-B9688FE76099}"/>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21111" xr:uid="{0DC2AF2F-BB6C-4484-8A58-5D315AF84605}"/>
    <cellStyle name="Currency 5 3 2 7 2 3" xfId="12682" xr:uid="{F07A3557-2A16-4B35-B846-C7A24C836844}"/>
    <cellStyle name="Currency 5 3 2 7 2 4" xfId="16893" xr:uid="{1905B42F-FDE9-4547-978A-68D456EE7E74}"/>
    <cellStyle name="Currency 5 3 2 7 3" xfId="6305" xr:uid="{00000000-0005-0000-0000-0000D90C0000}"/>
    <cellStyle name="Currency 5 3 2 7 3 2" xfId="18966" xr:uid="{0A16D898-C753-4ACF-AF95-DA3DB01D33A7}"/>
    <cellStyle name="Currency 5 3 2 7 4" xfId="10537" xr:uid="{15D696D4-628C-4F2B-BFD8-125FF469E1AD}"/>
    <cellStyle name="Currency 5 3 2 7 5" xfId="14748" xr:uid="{B3019C44-238F-468E-AD82-9D393EA3104A}"/>
    <cellStyle name="Currency 5 3 2 8" xfId="2434" xr:uid="{00000000-0005-0000-0000-0000DA0C0000}"/>
    <cellStyle name="Currency 5 3 2 8 2" xfId="6718" xr:uid="{00000000-0005-0000-0000-0000DB0C0000}"/>
    <cellStyle name="Currency 5 3 2 8 2 2" xfId="19379" xr:uid="{B308F3A7-9E8E-4BE0-843C-93124C5DF061}"/>
    <cellStyle name="Currency 5 3 2 8 3" xfId="10950" xr:uid="{E9993DA0-ED3B-4E0D-B3AD-6EA446BA80FA}"/>
    <cellStyle name="Currency 5 3 2 8 4" xfId="15161" xr:uid="{7B0153D1-AC2C-41DB-88AD-FFCF34D8E574}"/>
    <cellStyle name="Currency 5 3 2 9" xfId="2731" xr:uid="{00000000-0005-0000-0000-0000DC0C0000}"/>
    <cellStyle name="Currency 5 3 3" xfId="214" xr:uid="{00000000-0005-0000-0000-0000DD0C0000}"/>
    <cellStyle name="Currency 5 3 3 10" xfId="4656" xr:uid="{00000000-0005-0000-0000-0000DE0C0000}"/>
    <cellStyle name="Currency 5 3 3 10 2" xfId="17317" xr:uid="{8026EAA3-4CDE-4B57-98D2-42274C793B4F}"/>
    <cellStyle name="Currency 5 3 3 11" xfId="8888" xr:uid="{4FCE9B6B-1DEA-4305-9DD6-251FE76E58E5}"/>
    <cellStyle name="Currency 5 3 3 12" xfId="13099" xr:uid="{900AA7EA-19E4-47F6-8A44-1D218B643B7F}"/>
    <cellStyle name="Currency 5 3 3 2" xfId="215" xr:uid="{00000000-0005-0000-0000-0000DF0C0000}"/>
    <cellStyle name="Currency 5 3 3 2 10" xfId="8889" xr:uid="{D770A2D0-91D5-41CD-918F-DA7709F21685}"/>
    <cellStyle name="Currency 5 3 3 2 11" xfId="13100" xr:uid="{75473CCC-3CF9-46EB-A671-A1284C93F9D4}"/>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9877" xr:uid="{D8B2B497-BC80-4263-8FFF-E3758120C9F5}"/>
    <cellStyle name="Currency 5 3 3 2 2 2 3" xfId="11448" xr:uid="{3CB2DF55-A87D-4727-8367-FCCAFA17D92B}"/>
    <cellStyle name="Currency 5 3 3 2 2 2 4" xfId="15659" xr:uid="{54770652-E054-4DB6-A6D4-08D031CBABE8}"/>
    <cellStyle name="Currency 5 3 3 2 2 3" xfId="5071" xr:uid="{00000000-0005-0000-0000-0000E30C0000}"/>
    <cellStyle name="Currency 5 3 3 2 2 3 2" xfId="17732" xr:uid="{0148B5D9-52EE-4E5A-8BF3-E7B0C5B219DC}"/>
    <cellStyle name="Currency 5 3 3 2 2 4" xfId="9303" xr:uid="{DF66BEB6-FCA7-4686-BEDA-FC754AE6EBD4}"/>
    <cellStyle name="Currency 5 3 3 2 2 5" xfId="13514" xr:uid="{985DD621-D003-46A3-9E37-4E494D34425F}"/>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20290" xr:uid="{063F3852-7DE2-4AB5-B820-492A99AF8762}"/>
    <cellStyle name="Currency 5 3 3 2 3 2 3" xfId="11861" xr:uid="{C8A86A8B-366E-4C90-A03A-4D8E52067985}"/>
    <cellStyle name="Currency 5 3 3 2 3 2 4" xfId="16072" xr:uid="{DE3B7653-6898-4445-A29C-05A9D3DD24BE}"/>
    <cellStyle name="Currency 5 3 3 2 3 3" xfId="5484" xr:uid="{00000000-0005-0000-0000-0000E70C0000}"/>
    <cellStyle name="Currency 5 3 3 2 3 3 2" xfId="18145" xr:uid="{A4EA0B3A-E040-44B6-96B6-0EDB469F6E69}"/>
    <cellStyle name="Currency 5 3 3 2 3 4" xfId="9716" xr:uid="{75F32B48-C11B-4CA9-A81D-92347467BF07}"/>
    <cellStyle name="Currency 5 3 3 2 3 5" xfId="13927" xr:uid="{F79FD734-15FD-405C-A4D9-B3FBB64F9C83}"/>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20703" xr:uid="{71B7A63B-DE83-4B4B-864C-08568CD4642D}"/>
    <cellStyle name="Currency 5 3 3 2 4 2 3" xfId="12274" xr:uid="{FBAC66CE-1E3D-45EC-8029-F596D1E0931B}"/>
    <cellStyle name="Currency 5 3 3 2 4 2 4" xfId="16485" xr:uid="{3E370B5C-F1B0-47D5-8758-639B8BA4FDB7}"/>
    <cellStyle name="Currency 5 3 3 2 4 3" xfId="5897" xr:uid="{00000000-0005-0000-0000-0000EB0C0000}"/>
    <cellStyle name="Currency 5 3 3 2 4 3 2" xfId="18558" xr:uid="{FE15E7C7-56BB-4434-9947-34601EDB6195}"/>
    <cellStyle name="Currency 5 3 3 2 4 4" xfId="10129" xr:uid="{C756F888-6838-402E-A349-DA42CB2D3946}"/>
    <cellStyle name="Currency 5 3 3 2 4 5" xfId="14340" xr:uid="{9C92630D-525C-4E09-AB1C-93C463822CDF}"/>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21116" xr:uid="{C2595D1A-4F85-46C7-84EC-BBD0FA997D3F}"/>
    <cellStyle name="Currency 5 3 3 2 5 2 3" xfId="12687" xr:uid="{3905C935-0F25-481F-8478-9F696EFBBC7E}"/>
    <cellStyle name="Currency 5 3 3 2 5 2 4" xfId="16898" xr:uid="{5321AFE3-F30E-4DD0-B33B-CA4FF6A3EFA9}"/>
    <cellStyle name="Currency 5 3 3 2 5 3" xfId="6310" xr:uid="{00000000-0005-0000-0000-0000EF0C0000}"/>
    <cellStyle name="Currency 5 3 3 2 5 3 2" xfId="18971" xr:uid="{54B0CB54-4811-4B31-A54C-5AEF24D2D091}"/>
    <cellStyle name="Currency 5 3 3 2 5 4" xfId="10542" xr:uid="{E576BAF7-C501-482C-978D-668C818D9154}"/>
    <cellStyle name="Currency 5 3 3 2 5 5" xfId="14753" xr:uid="{D29858AE-CEA8-4548-919A-A17F76F17A95}"/>
    <cellStyle name="Currency 5 3 3 2 6" xfId="2439" xr:uid="{00000000-0005-0000-0000-0000F00C0000}"/>
    <cellStyle name="Currency 5 3 3 2 6 2" xfId="6723" xr:uid="{00000000-0005-0000-0000-0000F10C0000}"/>
    <cellStyle name="Currency 5 3 3 2 6 2 2" xfId="19384" xr:uid="{F07C1131-D2C6-4470-A1CF-44B0B8142AAC}"/>
    <cellStyle name="Currency 5 3 3 2 6 3" xfId="10955" xr:uid="{971325E9-A116-42AC-8DA6-D49FADD84E5D}"/>
    <cellStyle name="Currency 5 3 3 2 6 4" xfId="15166" xr:uid="{CD01C78C-248A-458C-AABB-AC305199270B}"/>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9701" xr:uid="{0A8473D1-25EE-41B7-9E37-A1576C74E840}"/>
    <cellStyle name="Currency 5 3 3 2 8 3" xfId="11272" xr:uid="{009888F1-7AF7-4B82-B2FE-CC83E03C7C0B}"/>
    <cellStyle name="Currency 5 3 3 2 8 4" xfId="15483" xr:uid="{5299BE4A-A794-4528-B890-6191486C2ED6}"/>
    <cellStyle name="Currency 5 3 3 2 9" xfId="4657" xr:uid="{00000000-0005-0000-0000-0000F50C0000}"/>
    <cellStyle name="Currency 5 3 3 2 9 2" xfId="17318" xr:uid="{F9DC3AE7-9C4A-480F-8741-78ABCE96B5EA}"/>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9876" xr:uid="{9DF1C767-8C8A-4561-A3B7-E5A3EE82247C}"/>
    <cellStyle name="Currency 5 3 3 3 2 3" xfId="11447" xr:uid="{C86A990D-9F20-443F-A074-8734F8BF4FCC}"/>
    <cellStyle name="Currency 5 3 3 3 2 4" xfId="15658" xr:uid="{B6261789-04B4-4D40-BACA-6A3AFEBFC06D}"/>
    <cellStyle name="Currency 5 3 3 3 3" xfId="5070" xr:uid="{00000000-0005-0000-0000-0000F90C0000}"/>
    <cellStyle name="Currency 5 3 3 3 3 2" xfId="17731" xr:uid="{AA77E013-BC58-44B5-BAD8-D885D7F90864}"/>
    <cellStyle name="Currency 5 3 3 3 4" xfId="9302" xr:uid="{72CEB958-FA9E-429F-9981-FAD09768E3AE}"/>
    <cellStyle name="Currency 5 3 3 3 5" xfId="13513" xr:uid="{7EB6B4EF-B139-4C23-AE10-2ABACE0A16BD}"/>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20289" xr:uid="{7CE51D75-DBBA-409B-BB5A-98294A8C2D8A}"/>
    <cellStyle name="Currency 5 3 3 4 2 3" xfId="11860" xr:uid="{D44C815E-54C5-4F7C-BA7D-D1EE51B2F3CC}"/>
    <cellStyle name="Currency 5 3 3 4 2 4" xfId="16071" xr:uid="{933475FD-EF39-4A26-B605-A076EF9FE9B4}"/>
    <cellStyle name="Currency 5 3 3 4 3" xfId="5483" xr:uid="{00000000-0005-0000-0000-0000FD0C0000}"/>
    <cellStyle name="Currency 5 3 3 4 3 2" xfId="18144" xr:uid="{17A1ED43-8DA4-4650-9901-85842F69A6C5}"/>
    <cellStyle name="Currency 5 3 3 4 4" xfId="9715" xr:uid="{27CDA7DB-B3D3-442F-B545-15C923085961}"/>
    <cellStyle name="Currency 5 3 3 4 5" xfId="13926" xr:uid="{9C0A9CB8-8081-4657-AA43-C3BCD71AB64C}"/>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20702" xr:uid="{057FB570-D746-496A-AFF7-C5184079B0D8}"/>
    <cellStyle name="Currency 5 3 3 5 2 3" xfId="12273" xr:uid="{41FB3A25-20DB-46A4-8A2E-78F79C5F6827}"/>
    <cellStyle name="Currency 5 3 3 5 2 4" xfId="16484" xr:uid="{763661E1-7FEF-4925-8244-B93D267D3CF4}"/>
    <cellStyle name="Currency 5 3 3 5 3" xfId="5896" xr:uid="{00000000-0005-0000-0000-0000010D0000}"/>
    <cellStyle name="Currency 5 3 3 5 3 2" xfId="18557" xr:uid="{650C6909-8EBC-454C-9897-24D5D7D70924}"/>
    <cellStyle name="Currency 5 3 3 5 4" xfId="10128" xr:uid="{790C98A3-A95A-4FA9-A742-2D445F33B37C}"/>
    <cellStyle name="Currency 5 3 3 5 5" xfId="14339" xr:uid="{0A4CDC48-FD41-4756-8504-D5F57B74D42F}"/>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21115" xr:uid="{58A72282-5365-4386-989C-1F3175FBDE70}"/>
    <cellStyle name="Currency 5 3 3 6 2 3" xfId="12686" xr:uid="{7FB3D2C2-9EE3-4449-8294-25B52EF8452D}"/>
    <cellStyle name="Currency 5 3 3 6 2 4" xfId="16897" xr:uid="{E840FE68-299D-4F51-93DC-897447A02024}"/>
    <cellStyle name="Currency 5 3 3 6 3" xfId="6309" xr:uid="{00000000-0005-0000-0000-0000050D0000}"/>
    <cellStyle name="Currency 5 3 3 6 3 2" xfId="18970" xr:uid="{EB3CEABF-1C2D-4244-B9C4-5AB636AF4C5E}"/>
    <cellStyle name="Currency 5 3 3 6 4" xfId="10541" xr:uid="{607456D7-FF57-45EC-A586-29D5E8077067}"/>
    <cellStyle name="Currency 5 3 3 6 5" xfId="14752" xr:uid="{738745CB-324F-4358-B55D-AEC6F57486B0}"/>
    <cellStyle name="Currency 5 3 3 7" xfId="2438" xr:uid="{00000000-0005-0000-0000-0000060D0000}"/>
    <cellStyle name="Currency 5 3 3 7 2" xfId="6722" xr:uid="{00000000-0005-0000-0000-0000070D0000}"/>
    <cellStyle name="Currency 5 3 3 7 2 2" xfId="19383" xr:uid="{D37A4829-0567-4F51-99F3-4D80076200C5}"/>
    <cellStyle name="Currency 5 3 3 7 3" xfId="10954" xr:uid="{6EA0FD95-FB47-41BE-8BA1-944D1CD0E8B6}"/>
    <cellStyle name="Currency 5 3 3 7 4" xfId="15165" xr:uid="{CD4B4775-B3BD-40DC-B04D-2D7D0954CA56}"/>
    <cellStyle name="Currency 5 3 3 8" xfId="2735" xr:uid="{00000000-0005-0000-0000-0000080D0000}"/>
    <cellStyle name="Currency 5 3 3 9" xfId="2816" xr:uid="{00000000-0005-0000-0000-0000090D0000}"/>
    <cellStyle name="Currency 5 3 3 9 2" xfId="7039" xr:uid="{00000000-0005-0000-0000-00000A0D0000}"/>
    <cellStyle name="Currency 5 3 3 9 2 2" xfId="19700" xr:uid="{47C3D4BA-EFD2-4523-A38F-C1F89EBE7742}"/>
    <cellStyle name="Currency 5 3 3 9 3" xfId="11271" xr:uid="{5EBB7D81-D80F-468B-B000-9C84E8E3581F}"/>
    <cellStyle name="Currency 5 3 3 9 4" xfId="15482" xr:uid="{D0F3B3B9-4A04-450B-96BC-CBE143AA561A}"/>
    <cellStyle name="Currency 5 3 4" xfId="216" xr:uid="{00000000-0005-0000-0000-00000B0D0000}"/>
    <cellStyle name="Currency 5 3 4 10" xfId="8890" xr:uid="{5A0CE6A5-35F7-47D7-9A9B-C5E63E1C8E2F}"/>
    <cellStyle name="Currency 5 3 4 11" xfId="13101" xr:uid="{8A88BA4C-945A-4265-9D9C-1034E3B4B41C}"/>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9878" xr:uid="{9E17D60B-0E97-4F2A-9BA3-BFE5818E7AA7}"/>
    <cellStyle name="Currency 5 3 4 2 2 3" xfId="11449" xr:uid="{1C13A694-CB3B-4888-99B6-BF68BC81C724}"/>
    <cellStyle name="Currency 5 3 4 2 2 4" xfId="15660" xr:uid="{A8CEF3D1-2822-4702-BFAD-AA412280FDDC}"/>
    <cellStyle name="Currency 5 3 4 2 3" xfId="5072" xr:uid="{00000000-0005-0000-0000-00000F0D0000}"/>
    <cellStyle name="Currency 5 3 4 2 3 2" xfId="17733" xr:uid="{C27E9481-61DE-4A6E-9717-6466AE4D13F5}"/>
    <cellStyle name="Currency 5 3 4 2 4" xfId="9304" xr:uid="{D32E572E-F11E-45C7-AF37-25D15C1B2AA3}"/>
    <cellStyle name="Currency 5 3 4 2 5" xfId="13515" xr:uid="{D621CCFC-0043-40B5-8EAA-3EBAADAF6227}"/>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20291" xr:uid="{0BF61A67-F9BB-4A69-B110-6C057EC77F43}"/>
    <cellStyle name="Currency 5 3 4 3 2 3" xfId="11862" xr:uid="{8D18B2B3-0FFC-459B-97B3-77B28A2D3B15}"/>
    <cellStyle name="Currency 5 3 4 3 2 4" xfId="16073" xr:uid="{6E5F26BC-67CF-4F0A-88A0-3E6EE9BCF5A6}"/>
    <cellStyle name="Currency 5 3 4 3 3" xfId="5485" xr:uid="{00000000-0005-0000-0000-0000130D0000}"/>
    <cellStyle name="Currency 5 3 4 3 3 2" xfId="18146" xr:uid="{B42369D1-90D3-42B6-BB66-F6A2BE248F34}"/>
    <cellStyle name="Currency 5 3 4 3 4" xfId="9717" xr:uid="{B2F0A9B1-8557-4FB7-A1E5-E699BB1F78C5}"/>
    <cellStyle name="Currency 5 3 4 3 5" xfId="13928" xr:uid="{01CDB146-AA29-4C6C-B341-57956386DCEB}"/>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20704" xr:uid="{5DC6BAE2-FA27-4F48-B832-75341109383D}"/>
    <cellStyle name="Currency 5 3 4 4 2 3" xfId="12275" xr:uid="{37763260-F67C-4DC7-9AF0-03B06728495E}"/>
    <cellStyle name="Currency 5 3 4 4 2 4" xfId="16486" xr:uid="{DBC4FC27-9204-48E8-9186-EEF5B162CEC9}"/>
    <cellStyle name="Currency 5 3 4 4 3" xfId="5898" xr:uid="{00000000-0005-0000-0000-0000170D0000}"/>
    <cellStyle name="Currency 5 3 4 4 3 2" xfId="18559" xr:uid="{A5B2B8DF-053B-4547-B2C6-B4E7ACC6AEA8}"/>
    <cellStyle name="Currency 5 3 4 4 4" xfId="10130" xr:uid="{94411A61-EFE9-4159-ADA4-CC951B23936B}"/>
    <cellStyle name="Currency 5 3 4 4 5" xfId="14341" xr:uid="{8262294B-C8B4-4661-BF12-8C6585461786}"/>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21117" xr:uid="{3DAA83A5-E8C6-40AB-BD43-DE87AF5195CB}"/>
    <cellStyle name="Currency 5 3 4 5 2 3" xfId="12688" xr:uid="{5FF32BDA-C24D-4BB3-BDA4-AD9E77CF469A}"/>
    <cellStyle name="Currency 5 3 4 5 2 4" xfId="16899" xr:uid="{163BABCD-52E0-4438-B7E3-D090E974ABA7}"/>
    <cellStyle name="Currency 5 3 4 5 3" xfId="6311" xr:uid="{00000000-0005-0000-0000-00001B0D0000}"/>
    <cellStyle name="Currency 5 3 4 5 3 2" xfId="18972" xr:uid="{6D14956D-7688-497D-9107-554324B7AA93}"/>
    <cellStyle name="Currency 5 3 4 5 4" xfId="10543" xr:uid="{3DD88D18-FB32-43D6-AC0D-FC264ECAA067}"/>
    <cellStyle name="Currency 5 3 4 5 5" xfId="14754" xr:uid="{A5A17472-F7A0-47E8-BC8A-FA86EB359ABA}"/>
    <cellStyle name="Currency 5 3 4 6" xfId="2440" xr:uid="{00000000-0005-0000-0000-00001C0D0000}"/>
    <cellStyle name="Currency 5 3 4 6 2" xfId="6724" xr:uid="{00000000-0005-0000-0000-00001D0D0000}"/>
    <cellStyle name="Currency 5 3 4 6 2 2" xfId="19385" xr:uid="{DD283D93-A7E1-4577-8DA6-1453D5177813}"/>
    <cellStyle name="Currency 5 3 4 6 3" xfId="10956" xr:uid="{B25FD9AE-8524-4041-8AC4-A39A1FA6DE94}"/>
    <cellStyle name="Currency 5 3 4 6 4" xfId="15167" xr:uid="{194C401D-F556-4162-81DB-5080B0F046B7}"/>
    <cellStyle name="Currency 5 3 4 7" xfId="2737" xr:uid="{00000000-0005-0000-0000-00001E0D0000}"/>
    <cellStyle name="Currency 5 3 4 8" xfId="2818" xr:uid="{00000000-0005-0000-0000-00001F0D0000}"/>
    <cellStyle name="Currency 5 3 4 8 2" xfId="7041" xr:uid="{00000000-0005-0000-0000-0000200D0000}"/>
    <cellStyle name="Currency 5 3 4 8 2 2" xfId="19702" xr:uid="{C11AF205-86B2-49A8-83BB-370955887B55}"/>
    <cellStyle name="Currency 5 3 4 8 3" xfId="11273" xr:uid="{1B83B2E8-530B-4A19-AD99-5338416BEE23}"/>
    <cellStyle name="Currency 5 3 4 8 4" xfId="15484" xr:uid="{F013E012-125C-47D9-878B-EE5D063BDDC0}"/>
    <cellStyle name="Currency 5 3 4 9" xfId="4658" xr:uid="{00000000-0005-0000-0000-0000210D0000}"/>
    <cellStyle name="Currency 5 3 4 9 2" xfId="17319" xr:uid="{4E4853DA-0D26-40DE-BED8-8B9AFA4EFFEE}"/>
    <cellStyle name="Currency 5 3 5" xfId="217" xr:uid="{00000000-0005-0000-0000-0000220D0000}"/>
    <cellStyle name="Currency 5 3 5 10" xfId="8891" xr:uid="{A4170680-D4DA-4D49-B914-297E35E9A191}"/>
    <cellStyle name="Currency 5 3 5 11" xfId="13102" xr:uid="{7D2EF9C7-24CC-44F3-AFBA-EBFB24666C34}"/>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9879" xr:uid="{F2CD1FEA-EB61-410C-978E-5C2943888AB8}"/>
    <cellStyle name="Currency 5 3 5 2 2 3" xfId="11450" xr:uid="{9C3BB84F-DDAB-4AA7-AE3C-6B83C69EFD47}"/>
    <cellStyle name="Currency 5 3 5 2 2 4" xfId="15661" xr:uid="{3936B604-0BDB-424F-8EF0-99FED8542136}"/>
    <cellStyle name="Currency 5 3 5 2 3" xfId="5073" xr:uid="{00000000-0005-0000-0000-0000260D0000}"/>
    <cellStyle name="Currency 5 3 5 2 3 2" xfId="17734" xr:uid="{E4E7C812-0084-4240-BDAF-DC571D06CE57}"/>
    <cellStyle name="Currency 5 3 5 2 4" xfId="9305" xr:uid="{D24B1E14-2B5D-4AD0-A376-53CB50A70848}"/>
    <cellStyle name="Currency 5 3 5 2 5" xfId="13516" xr:uid="{8ACC712F-9D1C-4FC0-A41E-1EC1B85037BA}"/>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20292" xr:uid="{CFE9027E-5DAF-4896-80E9-2E3749C233C1}"/>
    <cellStyle name="Currency 5 3 5 3 2 3" xfId="11863" xr:uid="{41FC2C80-4FB3-4272-B0C7-18D903F60894}"/>
    <cellStyle name="Currency 5 3 5 3 2 4" xfId="16074" xr:uid="{E8F65AE0-EFF1-49C1-99D3-C07B84F14496}"/>
    <cellStyle name="Currency 5 3 5 3 3" xfId="5486" xr:uid="{00000000-0005-0000-0000-00002A0D0000}"/>
    <cellStyle name="Currency 5 3 5 3 3 2" xfId="18147" xr:uid="{3842704E-493F-431A-B58A-2CBA4DA2ED78}"/>
    <cellStyle name="Currency 5 3 5 3 4" xfId="9718" xr:uid="{D068AF4C-D1DE-4359-8FF6-0C30C023043A}"/>
    <cellStyle name="Currency 5 3 5 3 5" xfId="13929" xr:uid="{C83A7F49-E1B9-42E9-AC10-4B0358EB220F}"/>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20705" xr:uid="{DA9CB0E6-4424-4183-A975-67B16D5E99D4}"/>
    <cellStyle name="Currency 5 3 5 4 2 3" xfId="12276" xr:uid="{78D79798-5850-4F6A-95A4-5399FBD5CCB4}"/>
    <cellStyle name="Currency 5 3 5 4 2 4" xfId="16487" xr:uid="{82DCBC26-5D9B-4FDD-8DDA-020AE44D652F}"/>
    <cellStyle name="Currency 5 3 5 4 3" xfId="5899" xr:uid="{00000000-0005-0000-0000-00002E0D0000}"/>
    <cellStyle name="Currency 5 3 5 4 3 2" xfId="18560" xr:uid="{CFEB71C4-3A75-41E2-89C9-DD93D3900139}"/>
    <cellStyle name="Currency 5 3 5 4 4" xfId="10131" xr:uid="{27944079-195A-4F75-98E8-B651E133DE27}"/>
    <cellStyle name="Currency 5 3 5 4 5" xfId="14342" xr:uid="{849B8EB0-C187-4F8F-BA9A-4D3FF2C6AB16}"/>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21118" xr:uid="{F6B71CCB-4830-4BDC-8345-8FE6E277311D}"/>
    <cellStyle name="Currency 5 3 5 5 2 3" xfId="12689" xr:uid="{87DAD1E5-63D1-46B6-AAF2-F7A4ED7071CB}"/>
    <cellStyle name="Currency 5 3 5 5 2 4" xfId="16900" xr:uid="{32410F18-26F8-4860-AA09-640591A9F044}"/>
    <cellStyle name="Currency 5 3 5 5 3" xfId="6312" xr:uid="{00000000-0005-0000-0000-0000320D0000}"/>
    <cellStyle name="Currency 5 3 5 5 3 2" xfId="18973" xr:uid="{29A7B270-1F4B-4205-A0C7-86AC4992FB27}"/>
    <cellStyle name="Currency 5 3 5 5 4" xfId="10544" xr:uid="{BACDA3F4-AC3B-4800-B4C7-F8E39CE4C5E7}"/>
    <cellStyle name="Currency 5 3 5 5 5" xfId="14755" xr:uid="{A2DED87D-0E11-4A64-9102-EC8DC29FDDB7}"/>
    <cellStyle name="Currency 5 3 5 6" xfId="2441" xr:uid="{00000000-0005-0000-0000-0000330D0000}"/>
    <cellStyle name="Currency 5 3 5 6 2" xfId="6725" xr:uid="{00000000-0005-0000-0000-0000340D0000}"/>
    <cellStyle name="Currency 5 3 5 6 2 2" xfId="19386" xr:uid="{D6180B14-401A-405E-B35E-612A8F8E2FFE}"/>
    <cellStyle name="Currency 5 3 5 6 3" xfId="10957" xr:uid="{49927A1C-8CDE-46DB-88F1-B53CE9C51DA3}"/>
    <cellStyle name="Currency 5 3 5 6 4" xfId="15168" xr:uid="{F212F982-28A6-4C12-8B07-09F729FD4B6D}"/>
    <cellStyle name="Currency 5 3 5 7" xfId="2738" xr:uid="{00000000-0005-0000-0000-0000350D0000}"/>
    <cellStyle name="Currency 5 3 5 8" xfId="2819" xr:uid="{00000000-0005-0000-0000-0000360D0000}"/>
    <cellStyle name="Currency 5 3 5 8 2" xfId="7042" xr:uid="{00000000-0005-0000-0000-0000370D0000}"/>
    <cellStyle name="Currency 5 3 5 8 2 2" xfId="19703" xr:uid="{F540AE69-7B7F-45BC-BDA6-D42399E5EE95}"/>
    <cellStyle name="Currency 5 3 5 8 3" xfId="11274" xr:uid="{40885A86-6B5C-4D2C-B5BA-D0F9A0F76761}"/>
    <cellStyle name="Currency 5 3 5 8 4" xfId="15485" xr:uid="{0A2731EC-88A0-45C5-A060-D56878CC8A55}"/>
    <cellStyle name="Currency 5 3 5 9" xfId="4659" xr:uid="{00000000-0005-0000-0000-0000380D0000}"/>
    <cellStyle name="Currency 5 3 5 9 2" xfId="17320" xr:uid="{6F564493-EE03-42F3-97E5-695944D14F11}"/>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7321" xr:uid="{7E2DA0C4-7211-43FE-9C02-73C50782AE83}"/>
    <cellStyle name="Currency 5 5 11" xfId="8892" xr:uid="{7C09B1CC-5FE2-4D6B-9578-98A59F795433}"/>
    <cellStyle name="Currency 5 5 12" xfId="13103" xr:uid="{030E2870-46EE-433E-8F5A-B22FC234742F}"/>
    <cellStyle name="Currency 5 5 2" xfId="220" xr:uid="{00000000-0005-0000-0000-00003D0D0000}"/>
    <cellStyle name="Currency 5 5 2 10" xfId="8893" xr:uid="{47FB3D59-ABCF-4909-9F15-99DA30E59217}"/>
    <cellStyle name="Currency 5 5 2 11" xfId="13104" xr:uid="{687C748E-7D45-4B53-BF5C-F47AB87673E1}"/>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9881" xr:uid="{1B1779A7-F70A-446B-AF1F-8F6FEAE2928A}"/>
    <cellStyle name="Currency 5 5 2 2 2 3" xfId="11452" xr:uid="{9CFF13EF-45DA-4003-B158-3CFCBADE3E49}"/>
    <cellStyle name="Currency 5 5 2 2 2 4" xfId="15663" xr:uid="{ED77A157-5F52-483D-B59E-3CB23DD0A625}"/>
    <cellStyle name="Currency 5 5 2 2 3" xfId="5075" xr:uid="{00000000-0005-0000-0000-0000410D0000}"/>
    <cellStyle name="Currency 5 5 2 2 3 2" xfId="17736" xr:uid="{0A76850B-6085-43DB-9F4F-C1A4DA527A38}"/>
    <cellStyle name="Currency 5 5 2 2 4" xfId="9307" xr:uid="{B2BAB405-35C1-4BFE-9A12-D779DD7DEBF7}"/>
    <cellStyle name="Currency 5 5 2 2 5" xfId="13518" xr:uid="{5780C0FD-C829-4494-AE3C-8B2D8E7143DA}"/>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20294" xr:uid="{1D2945FC-5502-4FBF-A9E5-FFC4BA17B571}"/>
    <cellStyle name="Currency 5 5 2 3 2 3" xfId="11865" xr:uid="{FE1E2875-BC83-4B75-9B16-788A5A9E0308}"/>
    <cellStyle name="Currency 5 5 2 3 2 4" xfId="16076" xr:uid="{39F7DEA5-9A4F-4A4D-9C69-0AEE908EDF44}"/>
    <cellStyle name="Currency 5 5 2 3 3" xfId="5488" xr:uid="{00000000-0005-0000-0000-0000450D0000}"/>
    <cellStyle name="Currency 5 5 2 3 3 2" xfId="18149" xr:uid="{49D6601D-7A79-4573-AD0B-F3D37C79359F}"/>
    <cellStyle name="Currency 5 5 2 3 4" xfId="9720" xr:uid="{F61731FF-F622-4EBC-A773-DB9D748FDBB5}"/>
    <cellStyle name="Currency 5 5 2 3 5" xfId="13931" xr:uid="{2D46E80E-B293-45C9-8F17-C53876359E47}"/>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20707" xr:uid="{03F03E9B-0135-4848-9287-13FBB538DC3D}"/>
    <cellStyle name="Currency 5 5 2 4 2 3" xfId="12278" xr:uid="{F2A1CF0F-CA1F-4B8F-8D54-020306BEAF0F}"/>
    <cellStyle name="Currency 5 5 2 4 2 4" xfId="16489" xr:uid="{932A0CBB-F28A-4247-92D0-4FD06A30C872}"/>
    <cellStyle name="Currency 5 5 2 4 3" xfId="5901" xr:uid="{00000000-0005-0000-0000-0000490D0000}"/>
    <cellStyle name="Currency 5 5 2 4 3 2" xfId="18562" xr:uid="{4F199B67-700E-4A42-91C3-0561ED87A648}"/>
    <cellStyle name="Currency 5 5 2 4 4" xfId="10133" xr:uid="{C82D6A8D-5B05-4176-BED7-FE48F9B25881}"/>
    <cellStyle name="Currency 5 5 2 4 5" xfId="14344" xr:uid="{453F6980-EE2E-46E2-8CA3-4E1CEB13F78C}"/>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21120" xr:uid="{7465323E-9E42-40E4-B846-BD53DA5683A7}"/>
    <cellStyle name="Currency 5 5 2 5 2 3" xfId="12691" xr:uid="{A9D867B8-D7DA-45F9-919B-31D75560030C}"/>
    <cellStyle name="Currency 5 5 2 5 2 4" xfId="16902" xr:uid="{731C7EBD-136B-4548-AAAE-4A761C6B3C79}"/>
    <cellStyle name="Currency 5 5 2 5 3" xfId="6314" xr:uid="{00000000-0005-0000-0000-00004D0D0000}"/>
    <cellStyle name="Currency 5 5 2 5 3 2" xfId="18975" xr:uid="{C2B7BFEB-296B-47A2-9C6D-34215705F745}"/>
    <cellStyle name="Currency 5 5 2 5 4" xfId="10546" xr:uid="{0C574C0F-FBAD-450D-9DF0-B861B6C44815}"/>
    <cellStyle name="Currency 5 5 2 5 5" xfId="14757" xr:uid="{36ADB5BA-C128-40DC-8A02-C83699AAC0F0}"/>
    <cellStyle name="Currency 5 5 2 6" xfId="2443" xr:uid="{00000000-0005-0000-0000-00004E0D0000}"/>
    <cellStyle name="Currency 5 5 2 6 2" xfId="6727" xr:uid="{00000000-0005-0000-0000-00004F0D0000}"/>
    <cellStyle name="Currency 5 5 2 6 2 2" xfId="19388" xr:uid="{6CBE49F9-D405-4613-8D0A-4D3D9BB6AC3C}"/>
    <cellStyle name="Currency 5 5 2 6 3" xfId="10959" xr:uid="{B4A9D1B5-A9BE-4720-892D-062A2F43C430}"/>
    <cellStyle name="Currency 5 5 2 6 4" xfId="15170" xr:uid="{C002EDD7-BC4E-4A92-A4B8-7561C746D5CA}"/>
    <cellStyle name="Currency 5 5 2 7" xfId="2740" xr:uid="{00000000-0005-0000-0000-0000500D0000}"/>
    <cellStyle name="Currency 5 5 2 8" xfId="2821" xr:uid="{00000000-0005-0000-0000-0000510D0000}"/>
    <cellStyle name="Currency 5 5 2 8 2" xfId="7044" xr:uid="{00000000-0005-0000-0000-0000520D0000}"/>
    <cellStyle name="Currency 5 5 2 8 2 2" xfId="19705" xr:uid="{FC8069CC-D3A4-4B9D-8EBA-78D5D48DEAC8}"/>
    <cellStyle name="Currency 5 5 2 8 3" xfId="11276" xr:uid="{A0453946-0BC8-4743-8FF4-D782008FEFEC}"/>
    <cellStyle name="Currency 5 5 2 8 4" xfId="15487" xr:uid="{192C50AF-DC1F-4AE3-8193-4321DB84052F}"/>
    <cellStyle name="Currency 5 5 2 9" xfId="4661" xr:uid="{00000000-0005-0000-0000-0000530D0000}"/>
    <cellStyle name="Currency 5 5 2 9 2" xfId="17322" xr:uid="{3EFD00E7-F859-4A3F-AA82-EF128D9C5CA2}"/>
    <cellStyle name="Currency 5 5 3" xfId="745" xr:uid="{00000000-0005-0000-0000-0000540D0000}"/>
    <cellStyle name="Currency 5 5 3 2" xfId="2997" xr:uid="{00000000-0005-0000-0000-0000550D0000}"/>
    <cellStyle name="Currency 5 5 3 2 2" xfId="7219" xr:uid="{00000000-0005-0000-0000-0000560D0000}"/>
    <cellStyle name="Currency 5 5 3 2 2 2" xfId="19880" xr:uid="{E584ABD9-AF52-492F-B6CC-82AC46F3184A}"/>
    <cellStyle name="Currency 5 5 3 2 3" xfId="11451" xr:uid="{4B652FAD-3FAE-4E57-9144-F5D63984871D}"/>
    <cellStyle name="Currency 5 5 3 2 4" xfId="15662" xr:uid="{45B70BDA-B3D5-4568-902C-6F68A054F63F}"/>
    <cellStyle name="Currency 5 5 3 3" xfId="5074" xr:uid="{00000000-0005-0000-0000-0000570D0000}"/>
    <cellStyle name="Currency 5 5 3 3 2" xfId="17735" xr:uid="{3BD4A583-5903-4973-ADC9-25E945B2F0C2}"/>
    <cellStyle name="Currency 5 5 3 4" xfId="9306" xr:uid="{9113CB33-19EE-4F94-86E7-D6613943FC67}"/>
    <cellStyle name="Currency 5 5 3 5" xfId="13517" xr:uid="{D92C9B8A-1499-4BD3-9865-CF1E9C15338B}"/>
    <cellStyle name="Currency 5 5 4" xfId="1179" xr:uid="{00000000-0005-0000-0000-0000580D0000}"/>
    <cellStyle name="Currency 5 5 4 2" xfId="3410" xr:uid="{00000000-0005-0000-0000-0000590D0000}"/>
    <cellStyle name="Currency 5 5 4 2 2" xfId="7632" xr:uid="{00000000-0005-0000-0000-00005A0D0000}"/>
    <cellStyle name="Currency 5 5 4 2 2 2" xfId="20293" xr:uid="{A78ACD4D-0248-48F2-91AC-239BD27EBD3F}"/>
    <cellStyle name="Currency 5 5 4 2 3" xfId="11864" xr:uid="{AE3645F2-9D61-40E8-AA97-561810F9A655}"/>
    <cellStyle name="Currency 5 5 4 2 4" xfId="16075" xr:uid="{0D7A18F4-3312-4C77-BDB6-EB9A706DBA59}"/>
    <cellStyle name="Currency 5 5 4 3" xfId="5487" xr:uid="{00000000-0005-0000-0000-00005B0D0000}"/>
    <cellStyle name="Currency 5 5 4 3 2" xfId="18148" xr:uid="{01161129-5694-468E-8C09-99E818CC4F9D}"/>
    <cellStyle name="Currency 5 5 4 4" xfId="9719" xr:uid="{3A6CE586-3EC3-4626-8CC3-84973C88BA07}"/>
    <cellStyle name="Currency 5 5 4 5" xfId="13930" xr:uid="{67A37CA8-F43C-40C8-A191-402EBBB1AED6}"/>
    <cellStyle name="Currency 5 5 5" xfId="1593" xr:uid="{00000000-0005-0000-0000-00005C0D0000}"/>
    <cellStyle name="Currency 5 5 5 2" xfId="3823" xr:uid="{00000000-0005-0000-0000-00005D0D0000}"/>
    <cellStyle name="Currency 5 5 5 2 2" xfId="8045" xr:uid="{00000000-0005-0000-0000-00005E0D0000}"/>
    <cellStyle name="Currency 5 5 5 2 2 2" xfId="20706" xr:uid="{D3C99C38-7BD7-4CBE-815D-F2E9E247750D}"/>
    <cellStyle name="Currency 5 5 5 2 3" xfId="12277" xr:uid="{22616693-C568-439D-932A-9FD96AC76434}"/>
    <cellStyle name="Currency 5 5 5 2 4" xfId="16488" xr:uid="{F9CB7FD8-42BC-45EB-B3D2-300FB4EE6744}"/>
    <cellStyle name="Currency 5 5 5 3" xfId="5900" xr:uid="{00000000-0005-0000-0000-00005F0D0000}"/>
    <cellStyle name="Currency 5 5 5 3 2" xfId="18561" xr:uid="{BA8F1D03-503E-43FB-A3A5-BD047E36EBA9}"/>
    <cellStyle name="Currency 5 5 5 4" xfId="10132" xr:uid="{24716109-7C05-4538-A452-A66316F552ED}"/>
    <cellStyle name="Currency 5 5 5 5" xfId="14343" xr:uid="{FEE1EE29-0A5C-4014-9461-638CAFDADE96}"/>
    <cellStyle name="Currency 5 5 6" xfId="2007" xr:uid="{00000000-0005-0000-0000-0000600D0000}"/>
    <cellStyle name="Currency 5 5 6 2" xfId="4236" xr:uid="{00000000-0005-0000-0000-0000610D0000}"/>
    <cellStyle name="Currency 5 5 6 2 2" xfId="8458" xr:uid="{00000000-0005-0000-0000-0000620D0000}"/>
    <cellStyle name="Currency 5 5 6 2 2 2" xfId="21119" xr:uid="{C76D8574-B2D5-441B-A5AA-9DD6BEEB527A}"/>
    <cellStyle name="Currency 5 5 6 2 3" xfId="12690" xr:uid="{7F385529-6A70-450A-807F-853F5D8A6FE7}"/>
    <cellStyle name="Currency 5 5 6 2 4" xfId="16901" xr:uid="{8132DF96-173C-476E-9D92-0C3605B61EF2}"/>
    <cellStyle name="Currency 5 5 6 3" xfId="6313" xr:uid="{00000000-0005-0000-0000-0000630D0000}"/>
    <cellStyle name="Currency 5 5 6 3 2" xfId="18974" xr:uid="{4BFF85B7-662E-464F-B5BA-3F29278D8A19}"/>
    <cellStyle name="Currency 5 5 6 4" xfId="10545" xr:uid="{A073E8E3-AB0D-48A8-AA71-B388679F4770}"/>
    <cellStyle name="Currency 5 5 6 5" xfId="14756" xr:uid="{5FAD57A5-7746-4CB2-B614-C6B8F83DF1BB}"/>
    <cellStyle name="Currency 5 5 7" xfId="2442" xr:uid="{00000000-0005-0000-0000-0000640D0000}"/>
    <cellStyle name="Currency 5 5 7 2" xfId="6726" xr:uid="{00000000-0005-0000-0000-0000650D0000}"/>
    <cellStyle name="Currency 5 5 7 2 2" xfId="19387" xr:uid="{2C213C25-8518-4B93-BB1B-FFE00ACE3E3B}"/>
    <cellStyle name="Currency 5 5 7 3" xfId="10958" xr:uid="{C9183367-3CDB-453D-816B-787366F0FE9E}"/>
    <cellStyle name="Currency 5 5 7 4" xfId="15169" xr:uid="{26140EC7-9486-4CCB-8FA1-2D00C3CF5756}"/>
    <cellStyle name="Currency 5 5 8" xfId="2739" xr:uid="{00000000-0005-0000-0000-0000660D0000}"/>
    <cellStyle name="Currency 5 5 9" xfId="2820" xr:uid="{00000000-0005-0000-0000-0000670D0000}"/>
    <cellStyle name="Currency 5 5 9 2" xfId="7043" xr:uid="{00000000-0005-0000-0000-0000680D0000}"/>
    <cellStyle name="Currency 5 5 9 2 2" xfId="19704" xr:uid="{44EC6E9F-893C-4F3C-B153-939D273FE7E5}"/>
    <cellStyle name="Currency 5 5 9 3" xfId="11275" xr:uid="{69908F66-88CB-4D2C-802D-02A2AEC83149}"/>
    <cellStyle name="Currency 5 5 9 4" xfId="15486" xr:uid="{9B9EEC18-8C04-472E-BE98-645102A164F1}"/>
    <cellStyle name="Currency 5 6" xfId="221" xr:uid="{00000000-0005-0000-0000-0000690D0000}"/>
    <cellStyle name="Currency 5 6 10" xfId="8894" xr:uid="{024759DA-5C8A-4E10-98A0-D76051E57DC7}"/>
    <cellStyle name="Currency 5 6 11" xfId="13105" xr:uid="{F2F14482-00E3-4CCB-AD7B-273F733FA7DB}"/>
    <cellStyle name="Currency 5 6 2" xfId="747" xr:uid="{00000000-0005-0000-0000-00006A0D0000}"/>
    <cellStyle name="Currency 5 6 2 2" xfId="2999" xr:uid="{00000000-0005-0000-0000-00006B0D0000}"/>
    <cellStyle name="Currency 5 6 2 2 2" xfId="7221" xr:uid="{00000000-0005-0000-0000-00006C0D0000}"/>
    <cellStyle name="Currency 5 6 2 2 2 2" xfId="19882" xr:uid="{B507D6D0-9089-4D87-AB61-3C226C51D91B}"/>
    <cellStyle name="Currency 5 6 2 2 3" xfId="11453" xr:uid="{06386F69-9F95-413C-AB21-6E31A96404D9}"/>
    <cellStyle name="Currency 5 6 2 2 4" xfId="15664" xr:uid="{0A0613D8-28BA-4DEB-A6D9-A9A611CBA39C}"/>
    <cellStyle name="Currency 5 6 2 3" xfId="5076" xr:uid="{00000000-0005-0000-0000-00006D0D0000}"/>
    <cellStyle name="Currency 5 6 2 3 2" xfId="17737" xr:uid="{22705428-86C5-4ED4-BB0E-97A44FADF947}"/>
    <cellStyle name="Currency 5 6 2 4" xfId="9308" xr:uid="{462E9BB3-4514-4AAC-BB97-9789650F8D41}"/>
    <cellStyle name="Currency 5 6 2 5" xfId="13519" xr:uid="{11A9819B-D32C-4EB5-9F5F-95163F4B8F9D}"/>
    <cellStyle name="Currency 5 6 3" xfId="1181" xr:uid="{00000000-0005-0000-0000-00006E0D0000}"/>
    <cellStyle name="Currency 5 6 3 2" xfId="3412" xr:uid="{00000000-0005-0000-0000-00006F0D0000}"/>
    <cellStyle name="Currency 5 6 3 2 2" xfId="7634" xr:uid="{00000000-0005-0000-0000-0000700D0000}"/>
    <cellStyle name="Currency 5 6 3 2 2 2" xfId="20295" xr:uid="{1A7B95AC-A7B3-48A9-9F4F-2E62ED88E97A}"/>
    <cellStyle name="Currency 5 6 3 2 3" xfId="11866" xr:uid="{A290ACCE-D166-42C7-AC13-C226E5A4A6A4}"/>
    <cellStyle name="Currency 5 6 3 2 4" xfId="16077" xr:uid="{3B59FD0A-3518-4E6D-A0F0-AB3B71F0AB5E}"/>
    <cellStyle name="Currency 5 6 3 3" xfId="5489" xr:uid="{00000000-0005-0000-0000-0000710D0000}"/>
    <cellStyle name="Currency 5 6 3 3 2" xfId="18150" xr:uid="{04FFB2DD-51B6-4274-A677-8369B5A0298A}"/>
    <cellStyle name="Currency 5 6 3 4" xfId="9721" xr:uid="{C3136DDD-6C09-4D7F-AC60-99B5A6D63655}"/>
    <cellStyle name="Currency 5 6 3 5" xfId="13932" xr:uid="{9D960356-725A-4EA3-9D88-2EE9C884B42F}"/>
    <cellStyle name="Currency 5 6 4" xfId="1595" xr:uid="{00000000-0005-0000-0000-0000720D0000}"/>
    <cellStyle name="Currency 5 6 4 2" xfId="3825" xr:uid="{00000000-0005-0000-0000-0000730D0000}"/>
    <cellStyle name="Currency 5 6 4 2 2" xfId="8047" xr:uid="{00000000-0005-0000-0000-0000740D0000}"/>
    <cellStyle name="Currency 5 6 4 2 2 2" xfId="20708" xr:uid="{7EC7F106-13A7-4E8D-A186-72975FC83523}"/>
    <cellStyle name="Currency 5 6 4 2 3" xfId="12279" xr:uid="{6ADE6E49-CDA4-4BD8-A242-469EA3340C1F}"/>
    <cellStyle name="Currency 5 6 4 2 4" xfId="16490" xr:uid="{D5C22FEC-042B-44F4-A394-48019A199A08}"/>
    <cellStyle name="Currency 5 6 4 3" xfId="5902" xr:uid="{00000000-0005-0000-0000-0000750D0000}"/>
    <cellStyle name="Currency 5 6 4 3 2" xfId="18563" xr:uid="{E0A8F206-967B-4937-AF7F-E417FB196CD4}"/>
    <cellStyle name="Currency 5 6 4 4" xfId="10134" xr:uid="{F1179A19-13EC-45FC-AE92-47A783E3AD77}"/>
    <cellStyle name="Currency 5 6 4 5" xfId="14345" xr:uid="{FF9E65F9-8399-4D09-8DE6-682A1743AEEF}"/>
    <cellStyle name="Currency 5 6 5" xfId="2009" xr:uid="{00000000-0005-0000-0000-0000760D0000}"/>
    <cellStyle name="Currency 5 6 5 2" xfId="4238" xr:uid="{00000000-0005-0000-0000-0000770D0000}"/>
    <cellStyle name="Currency 5 6 5 2 2" xfId="8460" xr:uid="{00000000-0005-0000-0000-0000780D0000}"/>
    <cellStyle name="Currency 5 6 5 2 2 2" xfId="21121" xr:uid="{14D8193C-D485-4C03-8952-033BD0EB6FDE}"/>
    <cellStyle name="Currency 5 6 5 2 3" xfId="12692" xr:uid="{6AA6C2EE-4A25-4C77-B51B-78B8FA09F9C6}"/>
    <cellStyle name="Currency 5 6 5 2 4" xfId="16903" xr:uid="{6C3238A2-692F-4E14-8625-7DA2958A422F}"/>
    <cellStyle name="Currency 5 6 5 3" xfId="6315" xr:uid="{00000000-0005-0000-0000-0000790D0000}"/>
    <cellStyle name="Currency 5 6 5 3 2" xfId="18976" xr:uid="{88A659C8-F980-47B3-9AE8-A3E0F3ABAC23}"/>
    <cellStyle name="Currency 5 6 5 4" xfId="10547" xr:uid="{3D3FEB46-3A50-4A1B-A127-9DFB816C430A}"/>
    <cellStyle name="Currency 5 6 5 5" xfId="14758" xr:uid="{85417798-28B5-4F49-9D2B-6A74464E9B8E}"/>
    <cellStyle name="Currency 5 6 6" xfId="2444" xr:uid="{00000000-0005-0000-0000-00007A0D0000}"/>
    <cellStyle name="Currency 5 6 6 2" xfId="6728" xr:uid="{00000000-0005-0000-0000-00007B0D0000}"/>
    <cellStyle name="Currency 5 6 6 2 2" xfId="19389" xr:uid="{C88EF452-CC99-4FAF-BD84-27AC2EFB5D60}"/>
    <cellStyle name="Currency 5 6 6 3" xfId="10960" xr:uid="{64E1D03E-F1EB-4DB6-9A4F-884DFF9D12AE}"/>
    <cellStyle name="Currency 5 6 6 4" xfId="15171" xr:uid="{27BF8128-C7C4-486A-8508-3E0837EA52D9}"/>
    <cellStyle name="Currency 5 6 7" xfId="2741" xr:uid="{00000000-0005-0000-0000-00007C0D0000}"/>
    <cellStyle name="Currency 5 6 8" xfId="2822" xr:uid="{00000000-0005-0000-0000-00007D0D0000}"/>
    <cellStyle name="Currency 5 6 8 2" xfId="7045" xr:uid="{00000000-0005-0000-0000-00007E0D0000}"/>
    <cellStyle name="Currency 5 6 8 2 2" xfId="19706" xr:uid="{0DE5450C-91A3-4D7D-B4E2-6A703D1219FC}"/>
    <cellStyle name="Currency 5 6 8 3" xfId="11277" xr:uid="{0AF362F7-5C02-4856-960C-5F7E643CB26E}"/>
    <cellStyle name="Currency 5 6 8 4" xfId="15488" xr:uid="{C2832BDC-F971-480C-9224-F5DB8902B478}"/>
    <cellStyle name="Currency 5 6 9" xfId="4662" xr:uid="{00000000-0005-0000-0000-00007F0D0000}"/>
    <cellStyle name="Currency 5 6 9 2" xfId="17323" xr:uid="{25B59FB5-5675-444B-B524-221C522A312D}"/>
    <cellStyle name="Currency 5 7" xfId="222" xr:uid="{00000000-0005-0000-0000-0000800D0000}"/>
    <cellStyle name="Currency 5 7 10" xfId="8895" xr:uid="{36F96033-E3A3-4E4C-BCBA-8F68A2C3987B}"/>
    <cellStyle name="Currency 5 7 11" xfId="13106" xr:uid="{0C292714-1BCB-4494-8F29-888347DE0BAD}"/>
    <cellStyle name="Currency 5 7 2" xfId="748" xr:uid="{00000000-0005-0000-0000-0000810D0000}"/>
    <cellStyle name="Currency 5 7 2 2" xfId="3000" xr:uid="{00000000-0005-0000-0000-0000820D0000}"/>
    <cellStyle name="Currency 5 7 2 2 2" xfId="7222" xr:uid="{00000000-0005-0000-0000-0000830D0000}"/>
    <cellStyle name="Currency 5 7 2 2 2 2" xfId="19883" xr:uid="{9CCCA7C5-E1E3-4650-839B-108926F6C27A}"/>
    <cellStyle name="Currency 5 7 2 2 3" xfId="11454" xr:uid="{4DD349C8-61BE-4B5E-9B19-35EB54C35A46}"/>
    <cellStyle name="Currency 5 7 2 2 4" xfId="15665" xr:uid="{966BE7E8-8C1C-4D03-B3AA-A2A4859A947F}"/>
    <cellStyle name="Currency 5 7 2 3" xfId="5077" xr:uid="{00000000-0005-0000-0000-0000840D0000}"/>
    <cellStyle name="Currency 5 7 2 3 2" xfId="17738" xr:uid="{17346B92-5B25-46A0-B7D2-31743D75EFF3}"/>
    <cellStyle name="Currency 5 7 2 4" xfId="9309" xr:uid="{0D407FC5-B0F6-425F-A48A-13EE344F8A9B}"/>
    <cellStyle name="Currency 5 7 2 5" xfId="13520" xr:uid="{ADB2D39B-EBEA-4E41-B575-E2C103EA030C}"/>
    <cellStyle name="Currency 5 7 3" xfId="1182" xr:uid="{00000000-0005-0000-0000-0000850D0000}"/>
    <cellStyle name="Currency 5 7 3 2" xfId="3413" xr:uid="{00000000-0005-0000-0000-0000860D0000}"/>
    <cellStyle name="Currency 5 7 3 2 2" xfId="7635" xr:uid="{00000000-0005-0000-0000-0000870D0000}"/>
    <cellStyle name="Currency 5 7 3 2 2 2" xfId="20296" xr:uid="{A0B1F961-2141-4FAC-9651-41A3EA026254}"/>
    <cellStyle name="Currency 5 7 3 2 3" xfId="11867" xr:uid="{BB060468-E529-4E38-B8F8-F81945B80083}"/>
    <cellStyle name="Currency 5 7 3 2 4" xfId="16078" xr:uid="{5FD8BA75-6532-4696-B3B2-F30418B7D707}"/>
    <cellStyle name="Currency 5 7 3 3" xfId="5490" xr:uid="{00000000-0005-0000-0000-0000880D0000}"/>
    <cellStyle name="Currency 5 7 3 3 2" xfId="18151" xr:uid="{386C76BD-76ED-4124-B9C8-072D4D2674CA}"/>
    <cellStyle name="Currency 5 7 3 4" xfId="9722" xr:uid="{18CD65FC-5B51-4327-85E8-2AAEF1364C8E}"/>
    <cellStyle name="Currency 5 7 3 5" xfId="13933" xr:uid="{92040916-EF54-49B1-8243-D3B2F2ED457C}"/>
    <cellStyle name="Currency 5 7 4" xfId="1596" xr:uid="{00000000-0005-0000-0000-0000890D0000}"/>
    <cellStyle name="Currency 5 7 4 2" xfId="3826" xr:uid="{00000000-0005-0000-0000-00008A0D0000}"/>
    <cellStyle name="Currency 5 7 4 2 2" xfId="8048" xr:uid="{00000000-0005-0000-0000-00008B0D0000}"/>
    <cellStyle name="Currency 5 7 4 2 2 2" xfId="20709" xr:uid="{ED096275-7A75-43FE-8BE1-AD396F412A90}"/>
    <cellStyle name="Currency 5 7 4 2 3" xfId="12280" xr:uid="{9FF40374-153D-4B21-9431-FD6F7C9729B4}"/>
    <cellStyle name="Currency 5 7 4 2 4" xfId="16491" xr:uid="{D121928E-0426-494B-ABD9-7DCCE30549CC}"/>
    <cellStyle name="Currency 5 7 4 3" xfId="5903" xr:uid="{00000000-0005-0000-0000-00008C0D0000}"/>
    <cellStyle name="Currency 5 7 4 3 2" xfId="18564" xr:uid="{BCE70FAA-F320-405C-AC47-7C03D7493C6E}"/>
    <cellStyle name="Currency 5 7 4 4" xfId="10135" xr:uid="{01C4C4C8-B6CB-4048-BB3A-9FBF43D3E000}"/>
    <cellStyle name="Currency 5 7 4 5" xfId="14346" xr:uid="{244D1D1E-4FA8-4FFD-86D3-E881A3C174BE}"/>
    <cellStyle name="Currency 5 7 5" xfId="2010" xr:uid="{00000000-0005-0000-0000-00008D0D0000}"/>
    <cellStyle name="Currency 5 7 5 2" xfId="4239" xr:uid="{00000000-0005-0000-0000-00008E0D0000}"/>
    <cellStyle name="Currency 5 7 5 2 2" xfId="8461" xr:uid="{00000000-0005-0000-0000-00008F0D0000}"/>
    <cellStyle name="Currency 5 7 5 2 2 2" xfId="21122" xr:uid="{3E4B8181-044F-4746-8B04-2D7EDDB68CF8}"/>
    <cellStyle name="Currency 5 7 5 2 3" xfId="12693" xr:uid="{1E523277-F304-4D73-A54A-D1B72057E3A4}"/>
    <cellStyle name="Currency 5 7 5 2 4" xfId="16904" xr:uid="{A0F9CEA2-FC12-4585-9A2C-2B5709E3E6B0}"/>
    <cellStyle name="Currency 5 7 5 3" xfId="6316" xr:uid="{00000000-0005-0000-0000-0000900D0000}"/>
    <cellStyle name="Currency 5 7 5 3 2" xfId="18977" xr:uid="{0D82D9BB-6F2A-4F2D-B664-F331E60D5274}"/>
    <cellStyle name="Currency 5 7 5 4" xfId="10548" xr:uid="{133241BC-401C-408E-82AC-5CE97ED233F7}"/>
    <cellStyle name="Currency 5 7 5 5" xfId="14759" xr:uid="{65A36DCC-1EA1-4784-B1D9-25EC4B97A38A}"/>
    <cellStyle name="Currency 5 7 6" xfId="2445" xr:uid="{00000000-0005-0000-0000-0000910D0000}"/>
    <cellStyle name="Currency 5 7 6 2" xfId="6729" xr:uid="{00000000-0005-0000-0000-0000920D0000}"/>
    <cellStyle name="Currency 5 7 6 2 2" xfId="19390" xr:uid="{D5BAC193-788F-4182-ACCE-47D848B5F30F}"/>
    <cellStyle name="Currency 5 7 6 3" xfId="10961" xr:uid="{5432A1DF-E8AB-4ABA-ACC9-4791BDF6DD1B}"/>
    <cellStyle name="Currency 5 7 6 4" xfId="15172" xr:uid="{356EBAF5-4F39-4FA3-897F-BD3EAF058B95}"/>
    <cellStyle name="Currency 5 7 7" xfId="2742" xr:uid="{00000000-0005-0000-0000-0000930D0000}"/>
    <cellStyle name="Currency 5 7 8" xfId="2823" xr:uid="{00000000-0005-0000-0000-0000940D0000}"/>
    <cellStyle name="Currency 5 7 8 2" xfId="7046" xr:uid="{00000000-0005-0000-0000-0000950D0000}"/>
    <cellStyle name="Currency 5 7 8 2 2" xfId="19707" xr:uid="{700DB0CE-5D76-4E29-BE8B-0047CCA8EE18}"/>
    <cellStyle name="Currency 5 7 8 3" xfId="11278" xr:uid="{50BFDEF8-2DE1-4C2A-B13F-8ACC26B8E73C}"/>
    <cellStyle name="Currency 5 7 8 4" xfId="15489" xr:uid="{434954F8-AC82-4A66-97BC-546691AABB89}"/>
    <cellStyle name="Currency 5 7 9" xfId="4663" xr:uid="{00000000-0005-0000-0000-0000960D0000}"/>
    <cellStyle name="Currency 5 7 9 2" xfId="17324" xr:uid="{DE6B8FC0-9FB8-4F11-B4C0-A02A92E055E5}"/>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9391" xr:uid="{A8C1019D-22FA-4150-B435-24E67CCA0AE6}"/>
    <cellStyle name="Normal 12 10 3" xfId="10962" xr:uid="{A0BAF078-5E37-4EC3-A6C3-A8F59BC502EF}"/>
    <cellStyle name="Normal 12 10 4" xfId="15173" xr:uid="{E5971744-0E4D-4D9E-BE8A-7D71A5BC9EDB}"/>
    <cellStyle name="Normal 12 11" xfId="4664" xr:uid="{00000000-0005-0000-0000-0000CC0D0000}"/>
    <cellStyle name="Normal 12 11 2" xfId="17325" xr:uid="{FF458C96-F816-4074-9508-CF7AA17C4785}"/>
    <cellStyle name="Normal 12 12" xfId="8896" xr:uid="{E752C637-EA78-4075-ACE0-57DB6AFB2170}"/>
    <cellStyle name="Normal 12 13" xfId="13107" xr:uid="{2C96DF86-58FC-4823-A368-2E712AE54A64}"/>
    <cellStyle name="Normal 12 2" xfId="260" xr:uid="{00000000-0005-0000-0000-0000CD0D0000}"/>
    <cellStyle name="Normal 12 2 10" xfId="8897" xr:uid="{257571AD-E839-4CC9-ACF5-7E6FBCC4B54C}"/>
    <cellStyle name="Normal 12 2 11" xfId="13108" xr:uid="{FCDFA9A8-C657-46B8-9E65-2B886E96D783}"/>
    <cellStyle name="Normal 12 2 2" xfId="261" xr:uid="{00000000-0005-0000-0000-0000CE0D0000}"/>
    <cellStyle name="Normal 12 2 2 10" xfId="13109" xr:uid="{EE769405-975E-4F39-B7BD-1960EAB47CD2}"/>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9887" xr:uid="{24D2D1E2-609B-4CD8-A532-15AC07BF7138}"/>
    <cellStyle name="Normal 12 2 2 2 2 2 3" xfId="11458" xr:uid="{6056AEBF-7E38-42D6-B78D-F01D2B425222}"/>
    <cellStyle name="Normal 12 2 2 2 2 2 4" xfId="15669" xr:uid="{CD1AD645-EAE2-4151-B5D5-A3915DE5E444}"/>
    <cellStyle name="Normal 12 2 2 2 2 3" xfId="5081" xr:uid="{00000000-0005-0000-0000-0000D30D0000}"/>
    <cellStyle name="Normal 12 2 2 2 2 3 2" xfId="17742" xr:uid="{7D4CB060-A193-457E-BCDB-DEED7151AFC3}"/>
    <cellStyle name="Normal 12 2 2 2 2 4" xfId="9313" xr:uid="{6959FE0C-D5DE-4C9F-B6A7-CB5DFF941371}"/>
    <cellStyle name="Normal 12 2 2 2 2 5" xfId="13524" xr:uid="{929ECBEB-F8A5-4A77-B400-07E2F9DA65EA}"/>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20300" xr:uid="{21D992D1-F9A1-4D6C-A318-C26BB6140222}"/>
    <cellStyle name="Normal 12 2 2 2 3 2 3" xfId="11871" xr:uid="{89D138CF-2073-42E4-9943-055A71B7203C}"/>
    <cellStyle name="Normal 12 2 2 2 3 2 4" xfId="16082" xr:uid="{3FE82BF4-C6DD-4A17-837D-A1BD0BDE362E}"/>
    <cellStyle name="Normal 12 2 2 2 3 3" xfId="5494" xr:uid="{00000000-0005-0000-0000-0000D70D0000}"/>
    <cellStyle name="Normal 12 2 2 2 3 3 2" xfId="18155" xr:uid="{17838D9B-6DD7-4BEE-A9C8-F85A3B1647FE}"/>
    <cellStyle name="Normal 12 2 2 2 3 4" xfId="9726" xr:uid="{3AFFB90A-7872-4A4F-800B-B162C58B1B8B}"/>
    <cellStyle name="Normal 12 2 2 2 3 5" xfId="13937" xr:uid="{24166B6F-7769-4C28-AAF6-69CE7AC954E2}"/>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20713" xr:uid="{52D91522-E7EB-47B8-A899-95B084FECDAB}"/>
    <cellStyle name="Normal 12 2 2 2 4 2 3" xfId="12284" xr:uid="{AAA01CCD-731B-4C74-9D87-1B96A04A05D6}"/>
    <cellStyle name="Normal 12 2 2 2 4 2 4" xfId="16495" xr:uid="{40B0D2EA-6F77-4C0C-A7F6-6BFD2F3EF21D}"/>
    <cellStyle name="Normal 12 2 2 2 4 3" xfId="5907" xr:uid="{00000000-0005-0000-0000-0000DB0D0000}"/>
    <cellStyle name="Normal 12 2 2 2 4 3 2" xfId="18568" xr:uid="{ECDF9E4D-94B4-4211-AA32-9F45EE5E1711}"/>
    <cellStyle name="Normal 12 2 2 2 4 4" xfId="10139" xr:uid="{8605053F-B7EB-40BB-B87F-7175235FD9F6}"/>
    <cellStyle name="Normal 12 2 2 2 4 5" xfId="14350" xr:uid="{B4BA5C97-8B14-49C7-9AB2-94967035AED8}"/>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21126" xr:uid="{E31398FE-4051-417D-A291-E91BECEE8013}"/>
    <cellStyle name="Normal 12 2 2 2 5 2 3" xfId="12697" xr:uid="{08D55DD9-F458-4A93-B00D-93F3FD0044B2}"/>
    <cellStyle name="Normal 12 2 2 2 5 2 4" xfId="16908" xr:uid="{32921180-280F-4520-BE55-8F2BEA4E7F1C}"/>
    <cellStyle name="Normal 12 2 2 2 5 3" xfId="6320" xr:uid="{00000000-0005-0000-0000-0000DF0D0000}"/>
    <cellStyle name="Normal 12 2 2 2 5 3 2" xfId="18981" xr:uid="{315A16BC-32A3-48C8-972C-08202B4892C6}"/>
    <cellStyle name="Normal 12 2 2 2 5 4" xfId="10552" xr:uid="{DC74E149-3741-4847-9137-006D70C495FF}"/>
    <cellStyle name="Normal 12 2 2 2 5 5" xfId="14763" xr:uid="{480D25AD-A7D0-44F7-B4B7-03703053FA18}"/>
    <cellStyle name="Normal 12 2 2 2 6" xfId="2450" xr:uid="{00000000-0005-0000-0000-0000E00D0000}"/>
    <cellStyle name="Normal 12 2 2 2 6 2" xfId="6733" xr:uid="{00000000-0005-0000-0000-0000E10D0000}"/>
    <cellStyle name="Normal 12 2 2 2 6 2 2" xfId="19394" xr:uid="{A9329C15-FA2C-4CBE-A4C2-E6A0246AF8A9}"/>
    <cellStyle name="Normal 12 2 2 2 6 3" xfId="10965" xr:uid="{C39A6A54-78A3-4132-BB82-D3AB003D3B2D}"/>
    <cellStyle name="Normal 12 2 2 2 6 4" xfId="15176" xr:uid="{0D6634F6-2BDA-4302-AC38-BAE44A4DBF32}"/>
    <cellStyle name="Normal 12 2 2 2 7" xfId="4667" xr:uid="{00000000-0005-0000-0000-0000E20D0000}"/>
    <cellStyle name="Normal 12 2 2 2 7 2" xfId="17328" xr:uid="{6B305AC7-B011-4CB0-BA24-E8C7EDFEFCAC}"/>
    <cellStyle name="Normal 12 2 2 2 8" xfId="8899" xr:uid="{D7912686-00AA-42EE-987D-C38122BE96C4}"/>
    <cellStyle name="Normal 12 2 2 2 9" xfId="13110" xr:uid="{3AEE0EF5-18B4-4C8F-B77E-676DD5961C08}"/>
    <cellStyle name="Normal 12 2 2 3" xfId="762" xr:uid="{00000000-0005-0000-0000-0000E30D0000}"/>
    <cellStyle name="Normal 12 2 2 3 2" xfId="3003" xr:uid="{00000000-0005-0000-0000-0000E40D0000}"/>
    <cellStyle name="Normal 12 2 2 3 2 2" xfId="7225" xr:uid="{00000000-0005-0000-0000-0000E50D0000}"/>
    <cellStyle name="Normal 12 2 2 3 2 2 2" xfId="19886" xr:uid="{49B00FE3-C14B-4CBC-9944-D4486D59FDE3}"/>
    <cellStyle name="Normal 12 2 2 3 2 3" xfId="11457" xr:uid="{6B3C1939-3D54-417F-AD3B-753C9E433233}"/>
    <cellStyle name="Normal 12 2 2 3 2 4" xfId="15668" xr:uid="{5B2E3240-1618-4925-8FB4-172A22F6B0B5}"/>
    <cellStyle name="Normal 12 2 2 3 3" xfId="5080" xr:uid="{00000000-0005-0000-0000-0000E60D0000}"/>
    <cellStyle name="Normal 12 2 2 3 3 2" xfId="17741" xr:uid="{D8F79708-D0CD-4CD2-B007-E6018FC143A5}"/>
    <cellStyle name="Normal 12 2 2 3 4" xfId="9312" xr:uid="{1E5AC8EB-0464-4F53-B040-C9CFCA40D533}"/>
    <cellStyle name="Normal 12 2 2 3 5" xfId="13523" xr:uid="{28663BCF-F343-48E3-A86D-E956D4C5BD3D}"/>
    <cellStyle name="Normal 12 2 2 4" xfId="1185" xr:uid="{00000000-0005-0000-0000-0000E70D0000}"/>
    <cellStyle name="Normal 12 2 2 4 2" xfId="3416" xr:uid="{00000000-0005-0000-0000-0000E80D0000}"/>
    <cellStyle name="Normal 12 2 2 4 2 2" xfId="7638" xr:uid="{00000000-0005-0000-0000-0000E90D0000}"/>
    <cellStyle name="Normal 12 2 2 4 2 2 2" xfId="20299" xr:uid="{3E90F367-493C-4023-8D9D-4D3B11820770}"/>
    <cellStyle name="Normal 12 2 2 4 2 3" xfId="11870" xr:uid="{0CE7001F-10DC-4B7A-900F-B6E9636272D0}"/>
    <cellStyle name="Normal 12 2 2 4 2 4" xfId="16081" xr:uid="{B64CBD6A-F067-4ED5-8ECA-C463F8C8A5E6}"/>
    <cellStyle name="Normal 12 2 2 4 3" xfId="5493" xr:uid="{00000000-0005-0000-0000-0000EA0D0000}"/>
    <cellStyle name="Normal 12 2 2 4 3 2" xfId="18154" xr:uid="{609FDFD8-2A41-47C0-89FF-888710E2345A}"/>
    <cellStyle name="Normal 12 2 2 4 4" xfId="9725" xr:uid="{16CBA544-BA8D-4152-8F0F-1E2AB8463EE0}"/>
    <cellStyle name="Normal 12 2 2 4 5" xfId="13936" xr:uid="{8BFA06BF-18CA-4095-9462-CA26ED10DB2D}"/>
    <cellStyle name="Normal 12 2 2 5" xfId="1599" xr:uid="{00000000-0005-0000-0000-0000EB0D0000}"/>
    <cellStyle name="Normal 12 2 2 5 2" xfId="3829" xr:uid="{00000000-0005-0000-0000-0000EC0D0000}"/>
    <cellStyle name="Normal 12 2 2 5 2 2" xfId="8051" xr:uid="{00000000-0005-0000-0000-0000ED0D0000}"/>
    <cellStyle name="Normal 12 2 2 5 2 2 2" xfId="20712" xr:uid="{4B3C9F7E-38F0-4AB3-9409-2AD34C595C3A}"/>
    <cellStyle name="Normal 12 2 2 5 2 3" xfId="12283" xr:uid="{B6DBBCEF-3D3C-4CD6-8A0F-01123CB5EADF}"/>
    <cellStyle name="Normal 12 2 2 5 2 4" xfId="16494" xr:uid="{CD326803-879B-4A04-A932-4D3BDB8FC953}"/>
    <cellStyle name="Normal 12 2 2 5 3" xfId="5906" xr:uid="{00000000-0005-0000-0000-0000EE0D0000}"/>
    <cellStyle name="Normal 12 2 2 5 3 2" xfId="18567" xr:uid="{A57E8884-6A00-42AC-A26F-E30905FCA6B8}"/>
    <cellStyle name="Normal 12 2 2 5 4" xfId="10138" xr:uid="{40B6A1A8-8348-4EDA-8695-807FBF48D0AB}"/>
    <cellStyle name="Normal 12 2 2 5 5" xfId="14349" xr:uid="{18538180-7010-4039-B494-317212D76E84}"/>
    <cellStyle name="Normal 12 2 2 6" xfId="2013" xr:uid="{00000000-0005-0000-0000-0000EF0D0000}"/>
    <cellStyle name="Normal 12 2 2 6 2" xfId="4242" xr:uid="{00000000-0005-0000-0000-0000F00D0000}"/>
    <cellStyle name="Normal 12 2 2 6 2 2" xfId="8464" xr:uid="{00000000-0005-0000-0000-0000F10D0000}"/>
    <cellStyle name="Normal 12 2 2 6 2 2 2" xfId="21125" xr:uid="{8ECB73C6-675B-45B4-A5B0-37C07C65996A}"/>
    <cellStyle name="Normal 12 2 2 6 2 3" xfId="12696" xr:uid="{3D3C06DD-69DE-4E76-868B-D3FD883B3A73}"/>
    <cellStyle name="Normal 12 2 2 6 2 4" xfId="16907" xr:uid="{753DBB61-ABCD-49CD-A2F7-3D2D7AB18A51}"/>
    <cellStyle name="Normal 12 2 2 6 3" xfId="6319" xr:uid="{00000000-0005-0000-0000-0000F20D0000}"/>
    <cellStyle name="Normal 12 2 2 6 3 2" xfId="18980" xr:uid="{BC5784A2-EE98-44CE-8017-6C8CB4F70746}"/>
    <cellStyle name="Normal 12 2 2 6 4" xfId="10551" xr:uid="{45663886-0AF6-474C-890B-192340F5177E}"/>
    <cellStyle name="Normal 12 2 2 6 5" xfId="14762" xr:uid="{8429FB85-EE09-415E-B34A-C96B45F48EA1}"/>
    <cellStyle name="Normal 12 2 2 7" xfId="2449" xr:uid="{00000000-0005-0000-0000-0000F30D0000}"/>
    <cellStyle name="Normal 12 2 2 7 2" xfId="6732" xr:uid="{00000000-0005-0000-0000-0000F40D0000}"/>
    <cellStyle name="Normal 12 2 2 7 2 2" xfId="19393" xr:uid="{7063FB66-2741-4CCB-8596-4F24B5DBF3A9}"/>
    <cellStyle name="Normal 12 2 2 7 3" xfId="10964" xr:uid="{073FC070-055F-4048-BECB-524BA1854DA7}"/>
    <cellStyle name="Normal 12 2 2 7 4" xfId="15175" xr:uid="{0E878EF2-2B8E-451B-A60D-60BF244AAB74}"/>
    <cellStyle name="Normal 12 2 2 8" xfId="4666" xr:uid="{00000000-0005-0000-0000-0000F50D0000}"/>
    <cellStyle name="Normal 12 2 2 8 2" xfId="17327" xr:uid="{85024920-929A-4B81-B554-8F42FF673B0A}"/>
    <cellStyle name="Normal 12 2 2 9" xfId="8898" xr:uid="{E233502B-E406-47E4-B6A0-B21F675FA20A}"/>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9888" xr:uid="{0D6347C9-1EAB-4376-B793-ACF109ED10B7}"/>
    <cellStyle name="Normal 12 2 3 2 2 3" xfId="11459" xr:uid="{1DA22346-E01F-434B-B8CD-CE43BD88AEBB}"/>
    <cellStyle name="Normal 12 2 3 2 2 4" xfId="15670" xr:uid="{9FAA8C8B-3338-4BBA-BAA7-F9BE425A792A}"/>
    <cellStyle name="Normal 12 2 3 2 3" xfId="5082" xr:uid="{00000000-0005-0000-0000-0000FA0D0000}"/>
    <cellStyle name="Normal 12 2 3 2 3 2" xfId="17743" xr:uid="{D650C786-1F0A-406F-90EA-A9DA651AC344}"/>
    <cellStyle name="Normal 12 2 3 2 4" xfId="9314" xr:uid="{E7A0064A-2A8D-42C9-A5C1-BAF3D2CFF424}"/>
    <cellStyle name="Normal 12 2 3 2 5" xfId="13525" xr:uid="{7096BAB3-C16B-4E3B-BADA-14FEB230CAE4}"/>
    <cellStyle name="Normal 12 2 3 3" xfId="1187" xr:uid="{00000000-0005-0000-0000-0000FB0D0000}"/>
    <cellStyle name="Normal 12 2 3 3 2" xfId="3418" xr:uid="{00000000-0005-0000-0000-0000FC0D0000}"/>
    <cellStyle name="Normal 12 2 3 3 2 2" xfId="7640" xr:uid="{00000000-0005-0000-0000-0000FD0D0000}"/>
    <cellStyle name="Normal 12 2 3 3 2 2 2" xfId="20301" xr:uid="{89A753DE-4F4F-457C-811A-31F5ED489913}"/>
    <cellStyle name="Normal 12 2 3 3 2 3" xfId="11872" xr:uid="{5F10F3C2-402E-4C9C-A212-A7EF1A72D9DD}"/>
    <cellStyle name="Normal 12 2 3 3 2 4" xfId="16083" xr:uid="{6B701E15-B0E2-43F9-BD82-CC6EC294323F}"/>
    <cellStyle name="Normal 12 2 3 3 3" xfId="5495" xr:uid="{00000000-0005-0000-0000-0000FE0D0000}"/>
    <cellStyle name="Normal 12 2 3 3 3 2" xfId="18156" xr:uid="{6D519C21-ABED-4805-9B0B-3A49715C3B49}"/>
    <cellStyle name="Normal 12 2 3 3 4" xfId="9727" xr:uid="{E6561076-C7CF-433E-ACF3-366E3D8ECB32}"/>
    <cellStyle name="Normal 12 2 3 3 5" xfId="13938" xr:uid="{BBBB9D1F-8362-4A3E-8E5C-C19FA84C8F24}"/>
    <cellStyle name="Normal 12 2 3 4" xfId="1601" xr:uid="{00000000-0005-0000-0000-0000FF0D0000}"/>
    <cellStyle name="Normal 12 2 3 4 2" xfId="3831" xr:uid="{00000000-0005-0000-0000-0000000E0000}"/>
    <cellStyle name="Normal 12 2 3 4 2 2" xfId="8053" xr:uid="{00000000-0005-0000-0000-0000010E0000}"/>
    <cellStyle name="Normal 12 2 3 4 2 2 2" xfId="20714" xr:uid="{6E22A617-7568-43F4-88DF-657F504FD47A}"/>
    <cellStyle name="Normal 12 2 3 4 2 3" xfId="12285" xr:uid="{B999827F-722B-4EA3-B541-D228A068B3C9}"/>
    <cellStyle name="Normal 12 2 3 4 2 4" xfId="16496" xr:uid="{F57B678A-369D-479C-9439-0D596AF1DFC4}"/>
    <cellStyle name="Normal 12 2 3 4 3" xfId="5908" xr:uid="{00000000-0005-0000-0000-0000020E0000}"/>
    <cellStyle name="Normal 12 2 3 4 3 2" xfId="18569" xr:uid="{1C91F844-B1EE-470C-9F58-C246237FFC06}"/>
    <cellStyle name="Normal 12 2 3 4 4" xfId="10140" xr:uid="{04CA3DF8-0CFF-4E9D-AF1D-61F09BED2B89}"/>
    <cellStyle name="Normal 12 2 3 4 5" xfId="14351" xr:uid="{558A7F17-C826-4089-AA2E-D8E25EDF7461}"/>
    <cellStyle name="Normal 12 2 3 5" xfId="2015" xr:uid="{00000000-0005-0000-0000-0000030E0000}"/>
    <cellStyle name="Normal 12 2 3 5 2" xfId="4244" xr:uid="{00000000-0005-0000-0000-0000040E0000}"/>
    <cellStyle name="Normal 12 2 3 5 2 2" xfId="8466" xr:uid="{00000000-0005-0000-0000-0000050E0000}"/>
    <cellStyle name="Normal 12 2 3 5 2 2 2" xfId="21127" xr:uid="{16225F58-7DE7-4EDD-9F4F-8842881C23A2}"/>
    <cellStyle name="Normal 12 2 3 5 2 3" xfId="12698" xr:uid="{F624BB19-D67C-4880-8CF7-22202BF2E0A6}"/>
    <cellStyle name="Normal 12 2 3 5 2 4" xfId="16909" xr:uid="{878E423A-D502-4ADC-8FF3-BC6B0563E3BD}"/>
    <cellStyle name="Normal 12 2 3 5 3" xfId="6321" xr:uid="{00000000-0005-0000-0000-0000060E0000}"/>
    <cellStyle name="Normal 12 2 3 5 3 2" xfId="18982" xr:uid="{F131169E-1D6F-46CA-9291-473BD75C2BC7}"/>
    <cellStyle name="Normal 12 2 3 5 4" xfId="10553" xr:uid="{0EC69975-4104-4C31-A54E-21AF3FB4618F}"/>
    <cellStyle name="Normal 12 2 3 5 5" xfId="14764" xr:uid="{EC494009-232E-41E8-9A99-9371791B076B}"/>
    <cellStyle name="Normal 12 2 3 6" xfId="2451" xr:uid="{00000000-0005-0000-0000-0000070E0000}"/>
    <cellStyle name="Normal 12 2 3 6 2" xfId="6734" xr:uid="{00000000-0005-0000-0000-0000080E0000}"/>
    <cellStyle name="Normal 12 2 3 6 2 2" xfId="19395" xr:uid="{F91A8E78-652B-4754-975E-19D5E929A02F}"/>
    <cellStyle name="Normal 12 2 3 6 3" xfId="10966" xr:uid="{15E892B1-B44C-4382-B1B8-65FA33CA047F}"/>
    <cellStyle name="Normal 12 2 3 6 4" xfId="15177" xr:uid="{8CB2ECC0-601A-406E-8035-0AFD4CF26942}"/>
    <cellStyle name="Normal 12 2 3 7" xfId="4668" xr:uid="{00000000-0005-0000-0000-0000090E0000}"/>
    <cellStyle name="Normal 12 2 3 7 2" xfId="17329" xr:uid="{D84BDE52-8382-4EC7-B699-5CE2CE89A6A4}"/>
    <cellStyle name="Normal 12 2 3 8" xfId="8900" xr:uid="{162B3D20-B7F5-425D-AD30-9358D39E5815}"/>
    <cellStyle name="Normal 12 2 3 9" xfId="13111" xr:uid="{7CCB4086-3EA0-46B6-AAEA-03AB42EA8848}"/>
    <cellStyle name="Normal 12 2 4" xfId="761" xr:uid="{00000000-0005-0000-0000-00000A0E0000}"/>
    <cellStyle name="Normal 12 2 4 2" xfId="3002" xr:uid="{00000000-0005-0000-0000-00000B0E0000}"/>
    <cellStyle name="Normal 12 2 4 2 2" xfId="7224" xr:uid="{00000000-0005-0000-0000-00000C0E0000}"/>
    <cellStyle name="Normal 12 2 4 2 2 2" xfId="19885" xr:uid="{5F286F74-28C0-469E-996D-7BF4AFB9AFE9}"/>
    <cellStyle name="Normal 12 2 4 2 3" xfId="11456" xr:uid="{88DDF45F-D11C-4CF9-8DF6-49CC69BC1E4E}"/>
    <cellStyle name="Normal 12 2 4 2 4" xfId="15667" xr:uid="{85112ADB-5704-4E26-85B1-58A937946226}"/>
    <cellStyle name="Normal 12 2 4 3" xfId="5079" xr:uid="{00000000-0005-0000-0000-00000D0E0000}"/>
    <cellStyle name="Normal 12 2 4 3 2" xfId="17740" xr:uid="{125B8D4C-FB2C-467D-84A9-DCFCEA3E376C}"/>
    <cellStyle name="Normal 12 2 4 4" xfId="9311" xr:uid="{001F6D4E-14E6-4321-87C0-74F9B0651F89}"/>
    <cellStyle name="Normal 12 2 4 5" xfId="13522" xr:uid="{E8A106E7-5053-47B7-9403-5082F8D40353}"/>
    <cellStyle name="Normal 12 2 5" xfId="1184" xr:uid="{00000000-0005-0000-0000-00000E0E0000}"/>
    <cellStyle name="Normal 12 2 5 2" xfId="3415" xr:uid="{00000000-0005-0000-0000-00000F0E0000}"/>
    <cellStyle name="Normal 12 2 5 2 2" xfId="7637" xr:uid="{00000000-0005-0000-0000-0000100E0000}"/>
    <cellStyle name="Normal 12 2 5 2 2 2" xfId="20298" xr:uid="{95DA9AD5-C823-41C3-8A6E-B22E604BAE87}"/>
    <cellStyle name="Normal 12 2 5 2 3" xfId="11869" xr:uid="{D58EC7A8-0DA5-44B8-A26D-60BBE05BF414}"/>
    <cellStyle name="Normal 12 2 5 2 4" xfId="16080" xr:uid="{527FB1DB-F3C5-4863-86E7-3BAB1B6FD334}"/>
    <cellStyle name="Normal 12 2 5 3" xfId="5492" xr:uid="{00000000-0005-0000-0000-0000110E0000}"/>
    <cellStyle name="Normal 12 2 5 3 2" xfId="18153" xr:uid="{7DB26173-4B08-4CB2-85C8-6B4C46840550}"/>
    <cellStyle name="Normal 12 2 5 4" xfId="9724" xr:uid="{EE7D18B5-FE70-4830-91FD-BFF8D60E4196}"/>
    <cellStyle name="Normal 12 2 5 5" xfId="13935" xr:uid="{A1459C8B-0A59-4E9D-94FC-88C80BFAE1F2}"/>
    <cellStyle name="Normal 12 2 6" xfId="1598" xr:uid="{00000000-0005-0000-0000-0000120E0000}"/>
    <cellStyle name="Normal 12 2 6 2" xfId="3828" xr:uid="{00000000-0005-0000-0000-0000130E0000}"/>
    <cellStyle name="Normal 12 2 6 2 2" xfId="8050" xr:uid="{00000000-0005-0000-0000-0000140E0000}"/>
    <cellStyle name="Normal 12 2 6 2 2 2" xfId="20711" xr:uid="{48ADCD1B-4B8B-4B91-897F-1AFFE4F81C0C}"/>
    <cellStyle name="Normal 12 2 6 2 3" xfId="12282" xr:uid="{1C7AC79F-7EE8-4726-B99A-A21B162D017D}"/>
    <cellStyle name="Normal 12 2 6 2 4" xfId="16493" xr:uid="{5CD752CA-E4D7-4C45-8C05-2D3E15BCB1CF}"/>
    <cellStyle name="Normal 12 2 6 3" xfId="5905" xr:uid="{00000000-0005-0000-0000-0000150E0000}"/>
    <cellStyle name="Normal 12 2 6 3 2" xfId="18566" xr:uid="{45C9F673-54A0-4DA7-B69E-70340D792970}"/>
    <cellStyle name="Normal 12 2 6 4" xfId="10137" xr:uid="{698FDD53-45A5-4E16-9C89-233B62377B0F}"/>
    <cellStyle name="Normal 12 2 6 5" xfId="14348" xr:uid="{B226CFF4-B38D-4494-BDD3-6DF51050043A}"/>
    <cellStyle name="Normal 12 2 7" xfId="2012" xr:uid="{00000000-0005-0000-0000-0000160E0000}"/>
    <cellStyle name="Normal 12 2 7 2" xfId="4241" xr:uid="{00000000-0005-0000-0000-0000170E0000}"/>
    <cellStyle name="Normal 12 2 7 2 2" xfId="8463" xr:uid="{00000000-0005-0000-0000-0000180E0000}"/>
    <cellStyle name="Normal 12 2 7 2 2 2" xfId="21124" xr:uid="{FF50D7CE-A11A-44C6-B8BD-B590B43CA8DF}"/>
    <cellStyle name="Normal 12 2 7 2 3" xfId="12695" xr:uid="{6AA359B8-7CB5-49BC-9D8E-63327F3F0556}"/>
    <cellStyle name="Normal 12 2 7 2 4" xfId="16906" xr:uid="{5227714F-B0D9-4201-AAF5-C65EBC12C2EE}"/>
    <cellStyle name="Normal 12 2 7 3" xfId="6318" xr:uid="{00000000-0005-0000-0000-0000190E0000}"/>
    <cellStyle name="Normal 12 2 7 3 2" xfId="18979" xr:uid="{DEC6A407-43A9-47D7-B9AC-91838E62A7EA}"/>
    <cellStyle name="Normal 12 2 7 4" xfId="10550" xr:uid="{E8EE0A93-7E9B-4D6D-A773-121D0A88E624}"/>
    <cellStyle name="Normal 12 2 7 5" xfId="14761" xr:uid="{C14BB81D-262F-44B4-890E-B88F35D697AB}"/>
    <cellStyle name="Normal 12 2 8" xfId="2448" xr:uid="{00000000-0005-0000-0000-00001A0E0000}"/>
    <cellStyle name="Normal 12 2 8 2" xfId="6731" xr:uid="{00000000-0005-0000-0000-00001B0E0000}"/>
    <cellStyle name="Normal 12 2 8 2 2" xfId="19392" xr:uid="{3D8D1402-D54A-4AE8-A8D4-9567B22192A9}"/>
    <cellStyle name="Normal 12 2 8 3" xfId="10963" xr:uid="{5C330D1B-85A9-4208-B418-F65169CDE9B1}"/>
    <cellStyle name="Normal 12 2 8 4" xfId="15174" xr:uid="{AD414E53-670D-407A-BADA-59F1288A2B11}"/>
    <cellStyle name="Normal 12 2 9" xfId="4665" xr:uid="{00000000-0005-0000-0000-00001C0E0000}"/>
    <cellStyle name="Normal 12 2 9 2" xfId="17326" xr:uid="{20327297-4EEF-412A-B923-A8479C716CB2}"/>
    <cellStyle name="Normal 12 3" xfId="264" xr:uid="{00000000-0005-0000-0000-00001D0E0000}"/>
    <cellStyle name="Normal 12 3 10" xfId="13112" xr:uid="{92C573F3-AD94-48D7-9AC1-EDC585934895}"/>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9890" xr:uid="{9429A0E3-0FB9-41CD-94CD-337592106972}"/>
    <cellStyle name="Normal 12 3 2 2 2 3" xfId="11461" xr:uid="{7B22C6FE-728C-4D88-9E18-DEE4ED4CBB5F}"/>
    <cellStyle name="Normal 12 3 2 2 2 4" xfId="15672" xr:uid="{8E6AFAC6-4011-4C4B-BEE8-6A266AF03631}"/>
    <cellStyle name="Normal 12 3 2 2 3" xfId="5084" xr:uid="{00000000-0005-0000-0000-0000220E0000}"/>
    <cellStyle name="Normal 12 3 2 2 3 2" xfId="17745" xr:uid="{DBDDA82E-6D01-401F-8C96-08BE4774DF3A}"/>
    <cellStyle name="Normal 12 3 2 2 4" xfId="9316" xr:uid="{220EF396-3DEB-4174-B844-A7F7AA50EFAB}"/>
    <cellStyle name="Normal 12 3 2 2 5" xfId="13527" xr:uid="{FE939BC4-F9F1-4A7F-B9FC-E75A24A85A9B}"/>
    <cellStyle name="Normal 12 3 2 3" xfId="1189" xr:uid="{00000000-0005-0000-0000-0000230E0000}"/>
    <cellStyle name="Normal 12 3 2 3 2" xfId="3420" xr:uid="{00000000-0005-0000-0000-0000240E0000}"/>
    <cellStyle name="Normal 12 3 2 3 2 2" xfId="7642" xr:uid="{00000000-0005-0000-0000-0000250E0000}"/>
    <cellStyle name="Normal 12 3 2 3 2 2 2" xfId="20303" xr:uid="{EBC8833E-4B3D-42ED-80F7-FFB28D339ED0}"/>
    <cellStyle name="Normal 12 3 2 3 2 3" xfId="11874" xr:uid="{98C0930F-EF53-49CC-8293-AB0EAE0EC8F2}"/>
    <cellStyle name="Normal 12 3 2 3 2 4" xfId="16085" xr:uid="{8DF3FBF9-CA44-4280-A98D-6495E5F897AA}"/>
    <cellStyle name="Normal 12 3 2 3 3" xfId="5497" xr:uid="{00000000-0005-0000-0000-0000260E0000}"/>
    <cellStyle name="Normal 12 3 2 3 3 2" xfId="18158" xr:uid="{0F1F5941-C1A0-4B60-B077-D12AF54DA13B}"/>
    <cellStyle name="Normal 12 3 2 3 4" xfId="9729" xr:uid="{9F7215A2-DA69-413B-8F93-CE4284F4D2FE}"/>
    <cellStyle name="Normal 12 3 2 3 5" xfId="13940" xr:uid="{F0AC8586-1A44-49B8-9119-3D376960DFBC}"/>
    <cellStyle name="Normal 12 3 2 4" xfId="1603" xr:uid="{00000000-0005-0000-0000-0000270E0000}"/>
    <cellStyle name="Normal 12 3 2 4 2" xfId="3833" xr:uid="{00000000-0005-0000-0000-0000280E0000}"/>
    <cellStyle name="Normal 12 3 2 4 2 2" xfId="8055" xr:uid="{00000000-0005-0000-0000-0000290E0000}"/>
    <cellStyle name="Normal 12 3 2 4 2 2 2" xfId="20716" xr:uid="{44E8CE7A-B8EE-428B-88F5-042D314BAC8E}"/>
    <cellStyle name="Normal 12 3 2 4 2 3" xfId="12287" xr:uid="{859F833E-DA4F-47EC-BBCE-A816D43D7E13}"/>
    <cellStyle name="Normal 12 3 2 4 2 4" xfId="16498" xr:uid="{DC67E73B-85CD-4439-A8D9-8FAE369816E0}"/>
    <cellStyle name="Normal 12 3 2 4 3" xfId="5910" xr:uid="{00000000-0005-0000-0000-00002A0E0000}"/>
    <cellStyle name="Normal 12 3 2 4 3 2" xfId="18571" xr:uid="{C7592337-9CA5-48E5-9A03-7427A26B4D3B}"/>
    <cellStyle name="Normal 12 3 2 4 4" xfId="10142" xr:uid="{E91EB7FA-2E17-4F57-85F4-72CF67C277F4}"/>
    <cellStyle name="Normal 12 3 2 4 5" xfId="14353" xr:uid="{EC57F14F-62A3-40E4-987D-089873B268AD}"/>
    <cellStyle name="Normal 12 3 2 5" xfId="2017" xr:uid="{00000000-0005-0000-0000-00002B0E0000}"/>
    <cellStyle name="Normal 12 3 2 5 2" xfId="4246" xr:uid="{00000000-0005-0000-0000-00002C0E0000}"/>
    <cellStyle name="Normal 12 3 2 5 2 2" xfId="8468" xr:uid="{00000000-0005-0000-0000-00002D0E0000}"/>
    <cellStyle name="Normal 12 3 2 5 2 2 2" xfId="21129" xr:uid="{D7AC2272-CD19-422A-AB4B-91AB9A88335A}"/>
    <cellStyle name="Normal 12 3 2 5 2 3" xfId="12700" xr:uid="{D8CE552F-90EB-49C3-AB85-7770974CA76F}"/>
    <cellStyle name="Normal 12 3 2 5 2 4" xfId="16911" xr:uid="{873C872A-1CD8-47FC-8F3C-FE74E02E0905}"/>
    <cellStyle name="Normal 12 3 2 5 3" xfId="6323" xr:uid="{00000000-0005-0000-0000-00002E0E0000}"/>
    <cellStyle name="Normal 12 3 2 5 3 2" xfId="18984" xr:uid="{C6BBF5F3-FC55-4C13-B181-84E103B8B07F}"/>
    <cellStyle name="Normal 12 3 2 5 4" xfId="10555" xr:uid="{ACF8C7BE-3E05-400E-B41A-B8222736CFE9}"/>
    <cellStyle name="Normal 12 3 2 5 5" xfId="14766" xr:uid="{FBE9E925-8297-497A-B870-F52989D95C13}"/>
    <cellStyle name="Normal 12 3 2 6" xfId="2453" xr:uid="{00000000-0005-0000-0000-00002F0E0000}"/>
    <cellStyle name="Normal 12 3 2 6 2" xfId="6736" xr:uid="{00000000-0005-0000-0000-0000300E0000}"/>
    <cellStyle name="Normal 12 3 2 6 2 2" xfId="19397" xr:uid="{F98AF7F6-DEE2-48EE-B960-CC36FD9CFD06}"/>
    <cellStyle name="Normal 12 3 2 6 3" xfId="10968" xr:uid="{FA158040-1E6F-4D79-91EF-00C1DDFA22AB}"/>
    <cellStyle name="Normal 12 3 2 6 4" xfId="15179" xr:uid="{9FF4A4B7-B64F-47BD-B4B1-FDAD6D9F7B03}"/>
    <cellStyle name="Normal 12 3 2 7" xfId="4670" xr:uid="{00000000-0005-0000-0000-0000310E0000}"/>
    <cellStyle name="Normal 12 3 2 7 2" xfId="17331" xr:uid="{215D0783-82A1-42A4-A8EE-6636BCD3DE43}"/>
    <cellStyle name="Normal 12 3 2 8" xfId="8902" xr:uid="{44FB3E30-7311-4107-9253-561A581DF6C5}"/>
    <cellStyle name="Normal 12 3 2 9" xfId="13113" xr:uid="{B13E5326-17D1-4C53-B575-439E9158FA00}"/>
    <cellStyle name="Normal 12 3 3" xfId="765" xr:uid="{00000000-0005-0000-0000-0000320E0000}"/>
    <cellStyle name="Normal 12 3 3 2" xfId="3006" xr:uid="{00000000-0005-0000-0000-0000330E0000}"/>
    <cellStyle name="Normal 12 3 3 2 2" xfId="7228" xr:uid="{00000000-0005-0000-0000-0000340E0000}"/>
    <cellStyle name="Normal 12 3 3 2 2 2" xfId="19889" xr:uid="{48351ECC-A59E-4787-9D3E-B44489F62303}"/>
    <cellStyle name="Normal 12 3 3 2 3" xfId="11460" xr:uid="{895A7336-6A9F-4F65-B66F-F3D7BA46A480}"/>
    <cellStyle name="Normal 12 3 3 2 4" xfId="15671" xr:uid="{8430DE87-E4CC-4521-8708-D933C7F8786A}"/>
    <cellStyle name="Normal 12 3 3 3" xfId="5083" xr:uid="{00000000-0005-0000-0000-0000350E0000}"/>
    <cellStyle name="Normal 12 3 3 3 2" xfId="17744" xr:uid="{BF5BD176-FF1F-484A-911A-A3D8A189EB59}"/>
    <cellStyle name="Normal 12 3 3 4" xfId="9315" xr:uid="{67CDE9C4-E233-4CB0-8F02-BCA331116A18}"/>
    <cellStyle name="Normal 12 3 3 5" xfId="13526" xr:uid="{87F8FF39-8168-4576-9A6E-FCDD77F88F4A}"/>
    <cellStyle name="Normal 12 3 4" xfId="1188" xr:uid="{00000000-0005-0000-0000-0000360E0000}"/>
    <cellStyle name="Normal 12 3 4 2" xfId="3419" xr:uid="{00000000-0005-0000-0000-0000370E0000}"/>
    <cellStyle name="Normal 12 3 4 2 2" xfId="7641" xr:uid="{00000000-0005-0000-0000-0000380E0000}"/>
    <cellStyle name="Normal 12 3 4 2 2 2" xfId="20302" xr:uid="{392DADED-1C7F-4D97-9DD0-EF6FF315D203}"/>
    <cellStyle name="Normal 12 3 4 2 3" xfId="11873" xr:uid="{CFE53DB3-B4DC-422D-B502-5EFA4587C517}"/>
    <cellStyle name="Normal 12 3 4 2 4" xfId="16084" xr:uid="{E19E0E42-0910-4920-8222-A22903ECD552}"/>
    <cellStyle name="Normal 12 3 4 3" xfId="5496" xr:uid="{00000000-0005-0000-0000-0000390E0000}"/>
    <cellStyle name="Normal 12 3 4 3 2" xfId="18157" xr:uid="{1FA6489C-F558-4E12-8F99-9020298667C3}"/>
    <cellStyle name="Normal 12 3 4 4" xfId="9728" xr:uid="{ADE3E845-3028-4B69-AA6D-0653D983E406}"/>
    <cellStyle name="Normal 12 3 4 5" xfId="13939" xr:uid="{413A5A5D-B5CF-4F5D-A765-E4C79B31D4D8}"/>
    <cellStyle name="Normal 12 3 5" xfId="1602" xr:uid="{00000000-0005-0000-0000-00003A0E0000}"/>
    <cellStyle name="Normal 12 3 5 2" xfId="3832" xr:uid="{00000000-0005-0000-0000-00003B0E0000}"/>
    <cellStyle name="Normal 12 3 5 2 2" xfId="8054" xr:uid="{00000000-0005-0000-0000-00003C0E0000}"/>
    <cellStyle name="Normal 12 3 5 2 2 2" xfId="20715" xr:uid="{AF946E98-CEB4-4033-ADAE-DE9A56E833E7}"/>
    <cellStyle name="Normal 12 3 5 2 3" xfId="12286" xr:uid="{80BF3F93-C330-4561-A3AC-0A115EC50F7E}"/>
    <cellStyle name="Normal 12 3 5 2 4" xfId="16497" xr:uid="{F604093B-9737-4061-BE56-07A8BC3CCC3D}"/>
    <cellStyle name="Normal 12 3 5 3" xfId="5909" xr:uid="{00000000-0005-0000-0000-00003D0E0000}"/>
    <cellStyle name="Normal 12 3 5 3 2" xfId="18570" xr:uid="{69DAC065-CD2C-4A95-9764-3AE872E1B67A}"/>
    <cellStyle name="Normal 12 3 5 4" xfId="10141" xr:uid="{C1EDEB37-D598-4849-A932-C1434EC3237B}"/>
    <cellStyle name="Normal 12 3 5 5" xfId="14352" xr:uid="{9A3B9FB0-5F85-4F3F-A49B-4C409748D52D}"/>
    <cellStyle name="Normal 12 3 6" xfId="2016" xr:uid="{00000000-0005-0000-0000-00003E0E0000}"/>
    <cellStyle name="Normal 12 3 6 2" xfId="4245" xr:uid="{00000000-0005-0000-0000-00003F0E0000}"/>
    <cellStyle name="Normal 12 3 6 2 2" xfId="8467" xr:uid="{00000000-0005-0000-0000-0000400E0000}"/>
    <cellStyle name="Normal 12 3 6 2 2 2" xfId="21128" xr:uid="{532A9251-2FCE-453A-A02E-C9E7DE0881D9}"/>
    <cellStyle name="Normal 12 3 6 2 3" xfId="12699" xr:uid="{9872AC3C-2362-4974-B058-1C6659BE501D}"/>
    <cellStyle name="Normal 12 3 6 2 4" xfId="16910" xr:uid="{E64FE95C-4FB2-44EA-B1C6-6D6655C7BCCD}"/>
    <cellStyle name="Normal 12 3 6 3" xfId="6322" xr:uid="{00000000-0005-0000-0000-0000410E0000}"/>
    <cellStyle name="Normal 12 3 6 3 2" xfId="18983" xr:uid="{29A63646-6668-401F-B5E5-8BDB6368B65B}"/>
    <cellStyle name="Normal 12 3 6 4" xfId="10554" xr:uid="{A326BD80-EAC3-4FF0-91AC-31C04A4B260B}"/>
    <cellStyle name="Normal 12 3 6 5" xfId="14765" xr:uid="{34F565FF-0FE2-4A5E-819A-47F184A3120D}"/>
    <cellStyle name="Normal 12 3 7" xfId="2452" xr:uid="{00000000-0005-0000-0000-0000420E0000}"/>
    <cellStyle name="Normal 12 3 7 2" xfId="6735" xr:uid="{00000000-0005-0000-0000-0000430E0000}"/>
    <cellStyle name="Normal 12 3 7 2 2" xfId="19396" xr:uid="{93F7A636-48D3-4B70-8403-2C40A2A6FB94}"/>
    <cellStyle name="Normal 12 3 7 3" xfId="10967" xr:uid="{9ABF68C4-402D-4B17-AC23-95A580079621}"/>
    <cellStyle name="Normal 12 3 7 4" xfId="15178" xr:uid="{EE85DD6E-0CCA-442A-A276-6C27BF0CAAA6}"/>
    <cellStyle name="Normal 12 3 8" xfId="4669" xr:uid="{00000000-0005-0000-0000-0000440E0000}"/>
    <cellStyle name="Normal 12 3 8 2" xfId="17330" xr:uid="{71D9D4BB-9612-4FE8-8180-FFA4E7A4E5B1}"/>
    <cellStyle name="Normal 12 3 9" xfId="8901" xr:uid="{80D3888E-156F-4FE5-A1DE-05C928FE8698}"/>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9891" xr:uid="{05865DAE-AF47-46CB-99BD-CE6535229002}"/>
    <cellStyle name="Normal 12 4 2 2 3" xfId="11462" xr:uid="{2733D93B-4D09-44FF-A676-A5B271B3D11A}"/>
    <cellStyle name="Normal 12 4 2 2 4" xfId="15673" xr:uid="{CB6AA3A8-E817-4485-95FE-94618D48FA91}"/>
    <cellStyle name="Normal 12 4 2 3" xfId="5085" xr:uid="{00000000-0005-0000-0000-0000490E0000}"/>
    <cellStyle name="Normal 12 4 2 3 2" xfId="17746" xr:uid="{180FB5D9-6093-4269-8CCB-565A87BEE44F}"/>
    <cellStyle name="Normal 12 4 2 4" xfId="9317" xr:uid="{0680C386-30C4-41F2-BFF6-E1E3FB5508D8}"/>
    <cellStyle name="Normal 12 4 2 5" xfId="13528" xr:uid="{240C4ADC-7167-4F38-9F8B-4BDC8DF008BC}"/>
    <cellStyle name="Normal 12 4 3" xfId="1190" xr:uid="{00000000-0005-0000-0000-00004A0E0000}"/>
    <cellStyle name="Normal 12 4 3 2" xfId="3421" xr:uid="{00000000-0005-0000-0000-00004B0E0000}"/>
    <cellStyle name="Normal 12 4 3 2 2" xfId="7643" xr:uid="{00000000-0005-0000-0000-00004C0E0000}"/>
    <cellStyle name="Normal 12 4 3 2 2 2" xfId="20304" xr:uid="{0A709D1C-C33C-43EF-B507-8B61556E453A}"/>
    <cellStyle name="Normal 12 4 3 2 3" xfId="11875" xr:uid="{F0DD16C5-6B66-459A-AFD3-591CA6F40135}"/>
    <cellStyle name="Normal 12 4 3 2 4" xfId="16086" xr:uid="{322D774E-0FF7-42C4-BE46-177FC39DED45}"/>
    <cellStyle name="Normal 12 4 3 3" xfId="5498" xr:uid="{00000000-0005-0000-0000-00004D0E0000}"/>
    <cellStyle name="Normal 12 4 3 3 2" xfId="18159" xr:uid="{9690105F-0A35-4243-BFC8-F2AB7A8E5C85}"/>
    <cellStyle name="Normal 12 4 3 4" xfId="9730" xr:uid="{0ABF4AEF-8731-407F-B994-32A1BCE229C1}"/>
    <cellStyle name="Normal 12 4 3 5" xfId="13941" xr:uid="{80F7CCCE-E007-4B21-8FE9-44D50FCF952D}"/>
    <cellStyle name="Normal 12 4 4" xfId="1604" xr:uid="{00000000-0005-0000-0000-00004E0E0000}"/>
    <cellStyle name="Normal 12 4 4 2" xfId="3834" xr:uid="{00000000-0005-0000-0000-00004F0E0000}"/>
    <cellStyle name="Normal 12 4 4 2 2" xfId="8056" xr:uid="{00000000-0005-0000-0000-0000500E0000}"/>
    <cellStyle name="Normal 12 4 4 2 2 2" xfId="20717" xr:uid="{C081F1E8-1911-4647-B239-C2AB171B20F0}"/>
    <cellStyle name="Normal 12 4 4 2 3" xfId="12288" xr:uid="{61275901-D019-4013-9774-8BC7ECAB78BC}"/>
    <cellStyle name="Normal 12 4 4 2 4" xfId="16499" xr:uid="{725A0AE7-352C-49F8-B5A7-CF0AC7445FB4}"/>
    <cellStyle name="Normal 12 4 4 3" xfId="5911" xr:uid="{00000000-0005-0000-0000-0000510E0000}"/>
    <cellStyle name="Normal 12 4 4 3 2" xfId="18572" xr:uid="{D8B7C72F-4141-4B76-BD6A-B03AC9718810}"/>
    <cellStyle name="Normal 12 4 4 4" xfId="10143" xr:uid="{8DC547C2-9D53-4A69-B7E6-DA031DF95BB3}"/>
    <cellStyle name="Normal 12 4 4 5" xfId="14354" xr:uid="{50336F95-76E0-44E3-803E-F3091C244C84}"/>
    <cellStyle name="Normal 12 4 5" xfId="2018" xr:uid="{00000000-0005-0000-0000-0000520E0000}"/>
    <cellStyle name="Normal 12 4 5 2" xfId="4247" xr:uid="{00000000-0005-0000-0000-0000530E0000}"/>
    <cellStyle name="Normal 12 4 5 2 2" xfId="8469" xr:uid="{00000000-0005-0000-0000-0000540E0000}"/>
    <cellStyle name="Normal 12 4 5 2 2 2" xfId="21130" xr:uid="{99B3EB2A-CD57-49A9-9D27-EB460389D8E0}"/>
    <cellStyle name="Normal 12 4 5 2 3" xfId="12701" xr:uid="{BD870F95-E99E-4FE8-A38D-7F18AEA285D0}"/>
    <cellStyle name="Normal 12 4 5 2 4" xfId="16912" xr:uid="{79F07034-3B0A-44F9-B621-A2A924759773}"/>
    <cellStyle name="Normal 12 4 5 3" xfId="6324" xr:uid="{00000000-0005-0000-0000-0000550E0000}"/>
    <cellStyle name="Normal 12 4 5 3 2" xfId="18985" xr:uid="{61A16FC3-A859-4AC0-A517-C2588832F72C}"/>
    <cellStyle name="Normal 12 4 5 4" xfId="10556" xr:uid="{AB6FB00A-1D30-470D-B301-6CB4D93C8655}"/>
    <cellStyle name="Normal 12 4 5 5" xfId="14767" xr:uid="{346171B9-D13B-4D76-9DA4-5D6A222F4BDD}"/>
    <cellStyle name="Normal 12 4 6" xfId="2454" xr:uid="{00000000-0005-0000-0000-0000560E0000}"/>
    <cellStyle name="Normal 12 4 6 2" xfId="6737" xr:uid="{00000000-0005-0000-0000-0000570E0000}"/>
    <cellStyle name="Normal 12 4 6 2 2" xfId="19398" xr:uid="{CECE2C62-3FA1-4F19-850A-DEE2581CCE87}"/>
    <cellStyle name="Normal 12 4 6 3" xfId="10969" xr:uid="{5C9A0FAA-FCF5-4DB5-9B2E-60937280CB76}"/>
    <cellStyle name="Normal 12 4 6 4" xfId="15180" xr:uid="{26D94252-D919-45E2-A15A-3D4D9B68B800}"/>
    <cellStyle name="Normal 12 4 7" xfId="4671" xr:uid="{00000000-0005-0000-0000-0000580E0000}"/>
    <cellStyle name="Normal 12 4 7 2" xfId="17332" xr:uid="{25B52CDC-F12D-430D-B3F7-7970C6A78FE0}"/>
    <cellStyle name="Normal 12 4 8" xfId="8903" xr:uid="{7790A789-19EC-4886-A443-0B4EFEC4CC97}"/>
    <cellStyle name="Normal 12 4 9" xfId="13114" xr:uid="{112806E0-1F64-413B-AA50-767E4E1459AF}"/>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9884" xr:uid="{1F407B50-84B4-4754-BE3B-0A4DC58C32EE}"/>
    <cellStyle name="Normal 12 6 2 3" xfId="11455" xr:uid="{30DFEFAE-3E16-4E49-B7C0-C4B1B9D8AE6F}"/>
    <cellStyle name="Normal 12 6 2 4" xfId="15666" xr:uid="{FED2D11D-C063-402C-AF6F-2D2B6F1A973C}"/>
    <cellStyle name="Normal 12 6 3" xfId="5078" xr:uid="{00000000-0005-0000-0000-00005D0E0000}"/>
    <cellStyle name="Normal 12 6 3 2" xfId="17739" xr:uid="{17130011-B2F9-4B13-89B6-F677BBBCF9F7}"/>
    <cellStyle name="Normal 12 6 4" xfId="9310" xr:uid="{8A8E6DBC-0B9C-4F09-8FDA-5BAD2990FAB9}"/>
    <cellStyle name="Normal 12 6 5" xfId="13521" xr:uid="{3C2B2405-DCC4-417D-BD58-CA159974FF01}"/>
    <cellStyle name="Normal 12 7" xfId="1183" xr:uid="{00000000-0005-0000-0000-00005E0E0000}"/>
    <cellStyle name="Normal 12 7 2" xfId="3414" xr:uid="{00000000-0005-0000-0000-00005F0E0000}"/>
    <cellStyle name="Normal 12 7 2 2" xfId="7636" xr:uid="{00000000-0005-0000-0000-0000600E0000}"/>
    <cellStyle name="Normal 12 7 2 2 2" xfId="20297" xr:uid="{00CFF632-7EEE-4C61-83C6-6BC47E4053DB}"/>
    <cellStyle name="Normal 12 7 2 3" xfId="11868" xr:uid="{809233D4-34A9-4010-8246-0BEC9EAF2696}"/>
    <cellStyle name="Normal 12 7 2 4" xfId="16079" xr:uid="{B17BF54B-4557-4ABF-B109-246E400CFFF1}"/>
    <cellStyle name="Normal 12 7 3" xfId="5491" xr:uid="{00000000-0005-0000-0000-0000610E0000}"/>
    <cellStyle name="Normal 12 7 3 2" xfId="18152" xr:uid="{8AFD7F9D-CEF6-480C-99C1-5271C6D954D0}"/>
    <cellStyle name="Normal 12 7 4" xfId="9723" xr:uid="{7F0517E4-15A2-4943-9A92-B76F1D1E5C56}"/>
    <cellStyle name="Normal 12 7 5" xfId="13934" xr:uid="{FA29516E-3030-4F90-A647-88BD21D72991}"/>
    <cellStyle name="Normal 12 8" xfId="1597" xr:uid="{00000000-0005-0000-0000-0000620E0000}"/>
    <cellStyle name="Normal 12 8 2" xfId="3827" xr:uid="{00000000-0005-0000-0000-0000630E0000}"/>
    <cellStyle name="Normal 12 8 2 2" xfId="8049" xr:uid="{00000000-0005-0000-0000-0000640E0000}"/>
    <cellStyle name="Normal 12 8 2 2 2" xfId="20710" xr:uid="{7D0E0967-0599-41F0-AE9D-3DFE97495BD4}"/>
    <cellStyle name="Normal 12 8 2 3" xfId="12281" xr:uid="{DA8FF07A-A52D-4A47-921E-BC4E1482AAAD}"/>
    <cellStyle name="Normal 12 8 2 4" xfId="16492" xr:uid="{62BE2930-B849-4549-B780-F23833C4D76E}"/>
    <cellStyle name="Normal 12 8 3" xfId="5904" xr:uid="{00000000-0005-0000-0000-0000650E0000}"/>
    <cellStyle name="Normal 12 8 3 2" xfId="18565" xr:uid="{77BAB367-7B2B-4240-96DA-83BA1C6E465D}"/>
    <cellStyle name="Normal 12 8 4" xfId="10136" xr:uid="{ADC25FC0-83DA-48B3-88C6-C935A29D744D}"/>
    <cellStyle name="Normal 12 8 5" xfId="14347" xr:uid="{EC8B1DD0-ADFC-45C1-8ACC-0B2B27DF3653}"/>
    <cellStyle name="Normal 12 9" xfId="2011" xr:uid="{00000000-0005-0000-0000-0000660E0000}"/>
    <cellStyle name="Normal 12 9 2" xfId="4240" xr:uid="{00000000-0005-0000-0000-0000670E0000}"/>
    <cellStyle name="Normal 12 9 2 2" xfId="8462" xr:uid="{00000000-0005-0000-0000-0000680E0000}"/>
    <cellStyle name="Normal 12 9 2 2 2" xfId="21123" xr:uid="{F619FAE9-CB70-4EE9-9614-F3AE52808896}"/>
    <cellStyle name="Normal 12 9 2 3" xfId="12694" xr:uid="{620B1725-755D-41ED-BC32-C154406AA0E3}"/>
    <cellStyle name="Normal 12 9 2 4" xfId="16905" xr:uid="{2217109B-AC19-43C9-865B-5814FDE034DB}"/>
    <cellStyle name="Normal 12 9 3" xfId="6317" xr:uid="{00000000-0005-0000-0000-0000690E0000}"/>
    <cellStyle name="Normal 12 9 3 2" xfId="18978" xr:uid="{0DBD8F3D-8748-4DCB-BCDB-911BE46AF6B4}"/>
    <cellStyle name="Normal 12 9 4" xfId="10549" xr:uid="{4A5B3970-1F09-4B08-A98C-4C26B496B377}"/>
    <cellStyle name="Normal 12 9 5" xfId="14760" xr:uid="{4C3C4552-3B5B-4F1A-91B5-78CDE1A818C4}"/>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9892" xr:uid="{50670F41-96FE-47D7-981E-248E33DFECD7}"/>
    <cellStyle name="Normal 14 2 2 3" xfId="11463" xr:uid="{760B480B-E24C-429F-8C2D-84A900526167}"/>
    <cellStyle name="Normal 14 2 2 4" xfId="15674" xr:uid="{7FCABF03-2DAF-49F0-8617-4258EF2B7E13}"/>
    <cellStyle name="Normal 14 2 3" xfId="5086" xr:uid="{00000000-0005-0000-0000-0000700E0000}"/>
    <cellStyle name="Normal 14 2 3 2" xfId="17747" xr:uid="{45C37E4A-2448-4BE8-B9AF-8259E7C13F64}"/>
    <cellStyle name="Normal 14 2 4" xfId="9318" xr:uid="{C742AC19-4403-4082-B99C-89F71032D03F}"/>
    <cellStyle name="Normal 14 2 5" xfId="13529" xr:uid="{44ED8CB2-8A53-420D-A89F-0171FB9D11F2}"/>
    <cellStyle name="Normal 14 3" xfId="1191" xr:uid="{00000000-0005-0000-0000-0000710E0000}"/>
    <cellStyle name="Normal 14 3 2" xfId="3422" xr:uid="{00000000-0005-0000-0000-0000720E0000}"/>
    <cellStyle name="Normal 14 3 2 2" xfId="7644" xr:uid="{00000000-0005-0000-0000-0000730E0000}"/>
    <cellStyle name="Normal 14 3 2 2 2" xfId="20305" xr:uid="{229AB32B-C33E-4852-8DE9-9D203874D195}"/>
    <cellStyle name="Normal 14 3 2 3" xfId="11876" xr:uid="{7E437AFA-F9E1-47A8-97B9-A5E93CBD8F1C}"/>
    <cellStyle name="Normal 14 3 2 4" xfId="16087" xr:uid="{52996F3D-60C8-4797-AF88-D0353F1E05C2}"/>
    <cellStyle name="Normal 14 3 3" xfId="5499" xr:uid="{00000000-0005-0000-0000-0000740E0000}"/>
    <cellStyle name="Normal 14 3 3 2" xfId="18160" xr:uid="{C2D44188-FC0B-4415-A74E-BBB5522D922D}"/>
    <cellStyle name="Normal 14 3 4" xfId="9731" xr:uid="{A6A14353-D1AA-4655-BA86-84117C12D4B8}"/>
    <cellStyle name="Normal 14 3 5" xfId="13942" xr:uid="{0DCA5CAE-53A0-45BD-ABDF-F46369A36AA7}"/>
    <cellStyle name="Normal 14 4" xfId="1605" xr:uid="{00000000-0005-0000-0000-0000750E0000}"/>
    <cellStyle name="Normal 14 4 2" xfId="3835" xr:uid="{00000000-0005-0000-0000-0000760E0000}"/>
    <cellStyle name="Normal 14 4 2 2" xfId="8057" xr:uid="{00000000-0005-0000-0000-0000770E0000}"/>
    <cellStyle name="Normal 14 4 2 2 2" xfId="20718" xr:uid="{166BEF7F-66D9-4C53-8323-8763FB4826C2}"/>
    <cellStyle name="Normal 14 4 2 3" xfId="12289" xr:uid="{52148203-59E8-4525-A147-DF4F2BFFFCD3}"/>
    <cellStyle name="Normal 14 4 2 4" xfId="16500" xr:uid="{DA5584EB-376E-41FF-8671-602D33FEEE2F}"/>
    <cellStyle name="Normal 14 4 3" xfId="5912" xr:uid="{00000000-0005-0000-0000-0000780E0000}"/>
    <cellStyle name="Normal 14 4 3 2" xfId="18573" xr:uid="{E41DD366-F158-46E8-9804-6FC7F1038E8C}"/>
    <cellStyle name="Normal 14 4 4" xfId="10144" xr:uid="{01C12F8A-9394-4EB1-AB85-A76A8A6AD698}"/>
    <cellStyle name="Normal 14 4 5" xfId="14355" xr:uid="{29156ED8-AF5F-4BCA-AA99-19903244CAB2}"/>
    <cellStyle name="Normal 14 5" xfId="2019" xr:uid="{00000000-0005-0000-0000-0000790E0000}"/>
    <cellStyle name="Normal 14 5 2" xfId="4248" xr:uid="{00000000-0005-0000-0000-00007A0E0000}"/>
    <cellStyle name="Normal 14 5 2 2" xfId="8470" xr:uid="{00000000-0005-0000-0000-00007B0E0000}"/>
    <cellStyle name="Normal 14 5 2 2 2" xfId="21131" xr:uid="{FADFD7E5-7A64-4580-A85C-2E2DF281C693}"/>
    <cellStyle name="Normal 14 5 2 3" xfId="12702" xr:uid="{4069E249-58B2-4CEA-B3D0-9A9C875252D5}"/>
    <cellStyle name="Normal 14 5 2 4" xfId="16913" xr:uid="{1E6F2A61-13D5-4096-803F-B1D4B41167F6}"/>
    <cellStyle name="Normal 14 5 3" xfId="6325" xr:uid="{00000000-0005-0000-0000-00007C0E0000}"/>
    <cellStyle name="Normal 14 5 3 2" xfId="18986" xr:uid="{709885E9-2C7D-41A6-B318-46DE3072136B}"/>
    <cellStyle name="Normal 14 5 4" xfId="10557" xr:uid="{0B981D63-91A5-453B-8D82-1BC56B876177}"/>
    <cellStyle name="Normal 14 5 5" xfId="14768" xr:uid="{39CA1ABE-50C4-4ACD-9DF7-38A10CFB1B9E}"/>
    <cellStyle name="Normal 14 6" xfId="2455" xr:uid="{00000000-0005-0000-0000-00007D0E0000}"/>
    <cellStyle name="Normal 14 6 2" xfId="6738" xr:uid="{00000000-0005-0000-0000-00007E0E0000}"/>
    <cellStyle name="Normal 14 6 2 2" xfId="19399" xr:uid="{1E1D3AF7-A241-4115-BC21-B7A922B5F4D6}"/>
    <cellStyle name="Normal 14 6 3" xfId="10970" xr:uid="{AD656061-B5A1-4B02-B4EA-48DE12384859}"/>
    <cellStyle name="Normal 14 6 4" xfId="15181" xr:uid="{8DC8A93E-8A74-4195-B132-3E1B56322E1F}"/>
    <cellStyle name="Normal 14 7" xfId="4672" xr:uid="{00000000-0005-0000-0000-00007F0E0000}"/>
    <cellStyle name="Normal 14 7 2" xfId="17333" xr:uid="{FDFE8345-098D-4C12-B91E-0DC68E58E5F2}"/>
    <cellStyle name="Normal 14 8" xfId="8904" xr:uid="{08D54CB8-8795-4E70-9BB8-1FF7B192A93A}"/>
    <cellStyle name="Normal 14 9" xfId="13115" xr:uid="{4FA97B94-998D-40AB-AAB0-4BA24A789797}"/>
    <cellStyle name="Normal 15" xfId="4496" xr:uid="{00000000-0005-0000-0000-0000800E0000}"/>
    <cellStyle name="Normal 15 2" xfId="17159" xr:uid="{832154E0-3992-44FF-811B-2A1669A5280C}"/>
    <cellStyle name="Normal 16" xfId="4500" xr:uid="{00000000-0005-0000-0000-0000810E0000}"/>
    <cellStyle name="Normal 16 2" xfId="8715" xr:uid="{00000000-0005-0000-0000-0000820E0000}"/>
    <cellStyle name="Normal 16 2 2" xfId="21376" xr:uid="{625A0BFA-72F9-4A20-8AB7-B919FDE46BD7}"/>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3" xfId="21385" xr:uid="{A2384880-5ED0-4D5A-8AF8-E3B1A04DF1E7}"/>
    <cellStyle name="Normal 16 3 2 3" xfId="21382" xr:uid="{71C290BB-4B4D-47D8-9B1C-CF293416FDC6}"/>
    <cellStyle name="Normal 16 3 3" xfId="21379" xr:uid="{2EEAEDB3-8220-4834-912E-7E86781DB8FE}"/>
    <cellStyle name="Normal 16 4" xfId="17162" xr:uid="{ABB29D4F-E978-4744-8B91-B9874CDB6FF8}"/>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21132" xr:uid="{8B988506-342E-4E18-8B29-DFC1750F357A}"/>
    <cellStyle name="Normal 2 4 2 10 2 3" xfId="12703" xr:uid="{2BAD9CD4-9736-4638-9EA0-C0B3210BB03F}"/>
    <cellStyle name="Normal 2 4 2 10 2 4" xfId="16914" xr:uid="{5DEF0F18-A8AE-4689-8822-D315C53E4077}"/>
    <cellStyle name="Normal 2 4 2 10 3" xfId="6326" xr:uid="{00000000-0005-0000-0000-0000910E0000}"/>
    <cellStyle name="Normal 2 4 2 10 3 2" xfId="18987" xr:uid="{D689F3A5-4FB9-4AD7-ACBD-D4BB30CE7913}"/>
    <cellStyle name="Normal 2 4 2 10 4" xfId="10558" xr:uid="{53AC5FF8-7C84-4691-9540-EDA9FFAC5AF2}"/>
    <cellStyle name="Normal 2 4 2 10 5" xfId="14769" xr:uid="{6EB56FFE-EE8B-488C-B591-1D16299F008A}"/>
    <cellStyle name="Normal 2 4 2 11" xfId="2456" xr:uid="{00000000-0005-0000-0000-0000920E0000}"/>
    <cellStyle name="Normal 2 4 2 11 2" xfId="6739" xr:uid="{00000000-0005-0000-0000-0000930E0000}"/>
    <cellStyle name="Normal 2 4 2 11 2 2" xfId="19400" xr:uid="{0A9BF675-0EBE-4959-9979-748070FA2891}"/>
    <cellStyle name="Normal 2 4 2 11 3" xfId="10971" xr:uid="{38EE5DC1-2756-44AA-A94B-32A084D7740D}"/>
    <cellStyle name="Normal 2 4 2 11 4" xfId="15182" xr:uid="{024BC451-3D86-4E61-ACBA-F39CA5FC131F}"/>
    <cellStyle name="Normal 2 4 2 12" xfId="4673" xr:uid="{00000000-0005-0000-0000-0000940E0000}"/>
    <cellStyle name="Normal 2 4 2 12 2" xfId="17334" xr:uid="{1230EB37-DC20-461C-B5DD-477095D8CA3E}"/>
    <cellStyle name="Normal 2 4 2 13" xfId="8905" xr:uid="{A6ED2427-3771-4093-B737-438A5E8775EE}"/>
    <cellStyle name="Normal 2 4 2 14" xfId="13116" xr:uid="{2D38AC56-23C3-42D0-810B-271DD4CD6D30}"/>
    <cellStyle name="Normal 2 4 2 2" xfId="280" xr:uid="{00000000-0005-0000-0000-0000950E0000}"/>
    <cellStyle name="Normal 2 4 2 3" xfId="281" xr:uid="{00000000-0005-0000-0000-0000960E0000}"/>
    <cellStyle name="Normal 2 4 2 3 10" xfId="4674" xr:uid="{00000000-0005-0000-0000-0000970E0000}"/>
    <cellStyle name="Normal 2 4 2 3 10 2" xfId="17335" xr:uid="{D0F61151-AD17-490B-AFF7-40D74512CE63}"/>
    <cellStyle name="Normal 2 4 2 3 11" xfId="8906" xr:uid="{D6DFFC4B-154A-44D9-B14B-A1FDF6403862}"/>
    <cellStyle name="Normal 2 4 2 3 12" xfId="13117" xr:uid="{452BDF2B-D737-41A2-9F0E-2AADA8738D64}"/>
    <cellStyle name="Normal 2 4 2 3 2" xfId="282" xr:uid="{00000000-0005-0000-0000-0000980E0000}"/>
    <cellStyle name="Normal 2 4 2 3 2 10" xfId="8907" xr:uid="{1BD4715B-92CB-434C-9792-DB3C9CFF26B3}"/>
    <cellStyle name="Normal 2 4 2 3 2 11" xfId="13118" xr:uid="{065C131A-E83C-44C4-A804-551B54695712}"/>
    <cellStyle name="Normal 2 4 2 3 2 2" xfId="283" xr:uid="{00000000-0005-0000-0000-0000990E0000}"/>
    <cellStyle name="Normal 2 4 2 3 2 2 10" xfId="13119" xr:uid="{625016D0-82F8-493D-891A-6F5E3F01014B}"/>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9897" xr:uid="{DBA96F37-C161-4B8E-B3AB-018B70508590}"/>
    <cellStyle name="Normal 2 4 2 3 2 2 2 2 2 3" xfId="11468" xr:uid="{6D46A294-3DC1-49A6-8F7E-E7113E117056}"/>
    <cellStyle name="Normal 2 4 2 3 2 2 2 2 2 4" xfId="15679" xr:uid="{AEF69790-7440-4EAE-860B-C9B4F73B355B}"/>
    <cellStyle name="Normal 2 4 2 3 2 2 2 2 3" xfId="5091" xr:uid="{00000000-0005-0000-0000-00009E0E0000}"/>
    <cellStyle name="Normal 2 4 2 3 2 2 2 2 3 2" xfId="17752" xr:uid="{58F2B488-C37B-4C48-AF7E-5580616F071B}"/>
    <cellStyle name="Normal 2 4 2 3 2 2 2 2 4" xfId="9323" xr:uid="{FCADADA4-01FE-4626-8744-0941F8051CFC}"/>
    <cellStyle name="Normal 2 4 2 3 2 2 2 2 5" xfId="13534" xr:uid="{80116D30-71DD-43EC-B086-9FE9ADF4BAA4}"/>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20310" xr:uid="{BA6371A6-5DCD-4905-9274-3DE80B9E3E73}"/>
    <cellStyle name="Normal 2 4 2 3 2 2 2 3 2 3" xfId="11881" xr:uid="{5031A31C-B149-48DE-9891-75A016EC83BC}"/>
    <cellStyle name="Normal 2 4 2 3 2 2 2 3 2 4" xfId="16092" xr:uid="{2384B81D-5C4E-4775-BBD3-332113A9ACFF}"/>
    <cellStyle name="Normal 2 4 2 3 2 2 2 3 3" xfId="5504" xr:uid="{00000000-0005-0000-0000-0000A20E0000}"/>
    <cellStyle name="Normal 2 4 2 3 2 2 2 3 3 2" xfId="18165" xr:uid="{EAFAFC87-FE9D-4C63-BA33-4C653727BC0E}"/>
    <cellStyle name="Normal 2 4 2 3 2 2 2 3 4" xfId="9736" xr:uid="{94A953CD-8448-4B58-862B-1760023ED0A6}"/>
    <cellStyle name="Normal 2 4 2 3 2 2 2 3 5" xfId="13947" xr:uid="{69F329E2-E852-433B-8C28-ADB8D597CCE9}"/>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20723" xr:uid="{ECA03645-9EA0-42FB-8554-8481FFAEAAA0}"/>
    <cellStyle name="Normal 2 4 2 3 2 2 2 4 2 3" xfId="12294" xr:uid="{CB7047A4-02D2-4D28-A81D-2E774D67F6FE}"/>
    <cellStyle name="Normal 2 4 2 3 2 2 2 4 2 4" xfId="16505" xr:uid="{6BF25ADE-D190-4EC2-8FF6-D213AD7FDEF0}"/>
    <cellStyle name="Normal 2 4 2 3 2 2 2 4 3" xfId="5917" xr:uid="{00000000-0005-0000-0000-0000A60E0000}"/>
    <cellStyle name="Normal 2 4 2 3 2 2 2 4 3 2" xfId="18578" xr:uid="{959054C8-7759-415F-8F34-7EC1870C8382}"/>
    <cellStyle name="Normal 2 4 2 3 2 2 2 4 4" xfId="10149" xr:uid="{AE48E2D4-B6E0-4693-84E4-AC26F466CD53}"/>
    <cellStyle name="Normal 2 4 2 3 2 2 2 4 5" xfId="14360" xr:uid="{DFFB73CF-11B0-49DB-B8F5-A26252B6236A}"/>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21136" xr:uid="{4E43EB23-DD82-4C10-9CC7-0188B10D03A1}"/>
    <cellStyle name="Normal 2 4 2 3 2 2 2 5 2 3" xfId="12707" xr:uid="{E308FA55-7D6D-48B3-8B0D-F0B8429E824C}"/>
    <cellStyle name="Normal 2 4 2 3 2 2 2 5 2 4" xfId="16918" xr:uid="{138761E7-B541-42E4-964A-180A1E2E012C}"/>
    <cellStyle name="Normal 2 4 2 3 2 2 2 5 3" xfId="6330" xr:uid="{00000000-0005-0000-0000-0000AA0E0000}"/>
    <cellStyle name="Normal 2 4 2 3 2 2 2 5 3 2" xfId="18991" xr:uid="{2CF94881-AFB3-48FB-8489-75F64886386D}"/>
    <cellStyle name="Normal 2 4 2 3 2 2 2 5 4" xfId="10562" xr:uid="{17B9F305-AE7C-4B19-B764-F6F42592F0E1}"/>
    <cellStyle name="Normal 2 4 2 3 2 2 2 5 5" xfId="14773" xr:uid="{1975F708-F50B-45B0-9B51-7AE2888298FA}"/>
    <cellStyle name="Normal 2 4 2 3 2 2 2 6" xfId="2460" xr:uid="{00000000-0005-0000-0000-0000AB0E0000}"/>
    <cellStyle name="Normal 2 4 2 3 2 2 2 6 2" xfId="6743" xr:uid="{00000000-0005-0000-0000-0000AC0E0000}"/>
    <cellStyle name="Normal 2 4 2 3 2 2 2 6 2 2" xfId="19404" xr:uid="{0A969D85-8DF8-46F8-829C-BA3CCEF623B5}"/>
    <cellStyle name="Normal 2 4 2 3 2 2 2 6 3" xfId="10975" xr:uid="{5B55371B-FAB1-429C-97DB-5B5004DE94EE}"/>
    <cellStyle name="Normal 2 4 2 3 2 2 2 6 4" xfId="15186" xr:uid="{6CD62ABF-A8E8-439C-B08A-FFBBCFD799BD}"/>
    <cellStyle name="Normal 2 4 2 3 2 2 2 7" xfId="4677" xr:uid="{00000000-0005-0000-0000-0000AD0E0000}"/>
    <cellStyle name="Normal 2 4 2 3 2 2 2 7 2" xfId="17338" xr:uid="{6E590727-DF8D-431B-A13E-CCB37063ADFA}"/>
    <cellStyle name="Normal 2 4 2 3 2 2 2 8" xfId="8909" xr:uid="{8B91D8F0-A249-4A13-8F1C-044A7CCC6EBB}"/>
    <cellStyle name="Normal 2 4 2 3 2 2 2 9" xfId="13120" xr:uid="{610146F6-BADB-4186-9594-8D05837DC5FE}"/>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9896" xr:uid="{5AD788DF-C405-4231-A252-68E490367F80}"/>
    <cellStyle name="Normal 2 4 2 3 2 2 3 2 3" xfId="11467" xr:uid="{60313A29-F76A-4CD4-BF68-11477ABFBDC5}"/>
    <cellStyle name="Normal 2 4 2 3 2 2 3 2 4" xfId="15678" xr:uid="{C455A481-7189-4EC4-B22E-1FA4FD1EE2A7}"/>
    <cellStyle name="Normal 2 4 2 3 2 2 3 3" xfId="5090" xr:uid="{00000000-0005-0000-0000-0000B10E0000}"/>
    <cellStyle name="Normal 2 4 2 3 2 2 3 3 2" xfId="17751" xr:uid="{702FB49E-3A96-42D7-8FC7-978D8DD38B11}"/>
    <cellStyle name="Normal 2 4 2 3 2 2 3 4" xfId="9322" xr:uid="{FA59BE6C-7E12-4064-8266-A3095C4511E4}"/>
    <cellStyle name="Normal 2 4 2 3 2 2 3 5" xfId="13533" xr:uid="{FC46608E-CA97-41BF-A47D-F35A0AEA6CD9}"/>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20309" xr:uid="{46866CBB-4CF1-46BE-82C9-AE2C3A051FA1}"/>
    <cellStyle name="Normal 2 4 2 3 2 2 4 2 3" xfId="11880" xr:uid="{AD8C4BAD-2D40-490B-8DF9-531601674296}"/>
    <cellStyle name="Normal 2 4 2 3 2 2 4 2 4" xfId="16091" xr:uid="{F7563DE0-B7F3-46C4-A7CD-74079746F359}"/>
    <cellStyle name="Normal 2 4 2 3 2 2 4 3" xfId="5503" xr:uid="{00000000-0005-0000-0000-0000B50E0000}"/>
    <cellStyle name="Normal 2 4 2 3 2 2 4 3 2" xfId="18164" xr:uid="{E05877DA-EC9A-425E-81CB-D3DF5826697C}"/>
    <cellStyle name="Normal 2 4 2 3 2 2 4 4" xfId="9735" xr:uid="{86BCAD40-38AD-4C96-A975-8B3CF9C1B38C}"/>
    <cellStyle name="Normal 2 4 2 3 2 2 4 5" xfId="13946" xr:uid="{9AB9010E-CA00-465A-84C9-4945D4BB766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20722" xr:uid="{A4F5145D-1BE9-48E5-A1EB-50494EBD359D}"/>
    <cellStyle name="Normal 2 4 2 3 2 2 5 2 3" xfId="12293" xr:uid="{EAE8DDA3-8256-4288-8AC0-44384C11C776}"/>
    <cellStyle name="Normal 2 4 2 3 2 2 5 2 4" xfId="16504" xr:uid="{9FEE6CFD-9C65-4A71-81C3-9CE350C7BD7C}"/>
    <cellStyle name="Normal 2 4 2 3 2 2 5 3" xfId="5916" xr:uid="{00000000-0005-0000-0000-0000B90E0000}"/>
    <cellStyle name="Normal 2 4 2 3 2 2 5 3 2" xfId="18577" xr:uid="{DB7F85BD-A629-43ED-BAC5-D7F0E13B63EB}"/>
    <cellStyle name="Normal 2 4 2 3 2 2 5 4" xfId="10148" xr:uid="{DA3BF423-BCF6-44A8-913B-F17F7AC8D1EA}"/>
    <cellStyle name="Normal 2 4 2 3 2 2 5 5" xfId="14359" xr:uid="{A94996FE-3014-47D5-B5DF-81AD41E6C1E3}"/>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21135" xr:uid="{1E39BEEA-4835-4CA1-8245-93E552A1D42B}"/>
    <cellStyle name="Normal 2 4 2 3 2 2 6 2 3" xfId="12706" xr:uid="{5474983D-6A1A-437A-9806-F10FDCB34DCF}"/>
    <cellStyle name="Normal 2 4 2 3 2 2 6 2 4" xfId="16917" xr:uid="{9A27CC31-E9EA-4D67-A217-3649B7C544A0}"/>
    <cellStyle name="Normal 2 4 2 3 2 2 6 3" xfId="6329" xr:uid="{00000000-0005-0000-0000-0000BD0E0000}"/>
    <cellStyle name="Normal 2 4 2 3 2 2 6 3 2" xfId="18990" xr:uid="{D7C81102-BB3B-4DF2-BA20-07FD67163EB5}"/>
    <cellStyle name="Normal 2 4 2 3 2 2 6 4" xfId="10561" xr:uid="{D01C6A9A-5D06-4C69-AE6C-878C5D371A13}"/>
    <cellStyle name="Normal 2 4 2 3 2 2 6 5" xfId="14772" xr:uid="{0D4BCE4B-80B0-444F-93BE-2CA8459CEA3B}"/>
    <cellStyle name="Normal 2 4 2 3 2 2 7" xfId="2459" xr:uid="{00000000-0005-0000-0000-0000BE0E0000}"/>
    <cellStyle name="Normal 2 4 2 3 2 2 7 2" xfId="6742" xr:uid="{00000000-0005-0000-0000-0000BF0E0000}"/>
    <cellStyle name="Normal 2 4 2 3 2 2 7 2 2" xfId="19403" xr:uid="{DDABF6B7-7302-4974-A4F7-03A715BFA735}"/>
    <cellStyle name="Normal 2 4 2 3 2 2 7 3" xfId="10974" xr:uid="{871FEC99-E48D-4E1C-8E13-5125C94D99C3}"/>
    <cellStyle name="Normal 2 4 2 3 2 2 7 4" xfId="15185" xr:uid="{3A3F8600-8F3F-481F-B38F-DC4CF611EC21}"/>
    <cellStyle name="Normal 2 4 2 3 2 2 8" xfId="4676" xr:uid="{00000000-0005-0000-0000-0000C00E0000}"/>
    <cellStyle name="Normal 2 4 2 3 2 2 8 2" xfId="17337" xr:uid="{B47D4A80-347B-43E5-AABC-27CC3917266B}"/>
    <cellStyle name="Normal 2 4 2 3 2 2 9" xfId="8908" xr:uid="{527F4F75-13FB-48C3-BF4A-2E3E66DF067F}"/>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9898" xr:uid="{E13C12D6-2569-4DA2-AA78-FA0B80C7C176}"/>
    <cellStyle name="Normal 2 4 2 3 2 3 2 2 3" xfId="11469" xr:uid="{1FA1E14D-E5DD-400F-AA04-E4C051EE6C17}"/>
    <cellStyle name="Normal 2 4 2 3 2 3 2 2 4" xfId="15680" xr:uid="{34347C34-9EFC-4B19-AC73-D7E1E7C3475F}"/>
    <cellStyle name="Normal 2 4 2 3 2 3 2 3" xfId="5092" xr:uid="{00000000-0005-0000-0000-0000C50E0000}"/>
    <cellStyle name="Normal 2 4 2 3 2 3 2 3 2" xfId="17753" xr:uid="{EAF27306-52F2-453C-9ACF-540CDC21B788}"/>
    <cellStyle name="Normal 2 4 2 3 2 3 2 4" xfId="9324" xr:uid="{D33DA1BD-0A1E-4DFA-8E51-63AFB22A475A}"/>
    <cellStyle name="Normal 2 4 2 3 2 3 2 5" xfId="13535" xr:uid="{0E02E21A-43BF-4028-AB74-A019F85E36BA}"/>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20311" xr:uid="{B536D347-68B4-46B0-92D0-78ACAC062E2C}"/>
    <cellStyle name="Normal 2 4 2 3 2 3 3 2 3" xfId="11882" xr:uid="{E87D5938-A6BF-43D1-B4CE-094972E4EC2E}"/>
    <cellStyle name="Normal 2 4 2 3 2 3 3 2 4" xfId="16093" xr:uid="{1079790C-6461-4FD7-A558-E0647A66E722}"/>
    <cellStyle name="Normal 2 4 2 3 2 3 3 3" xfId="5505" xr:uid="{00000000-0005-0000-0000-0000C90E0000}"/>
    <cellStyle name="Normal 2 4 2 3 2 3 3 3 2" xfId="18166" xr:uid="{44CCBD93-BAA9-4678-9CB4-97C7F92E3D23}"/>
    <cellStyle name="Normal 2 4 2 3 2 3 3 4" xfId="9737" xr:uid="{EEC99A5D-4FB7-46CE-AFAE-4505357510E3}"/>
    <cellStyle name="Normal 2 4 2 3 2 3 3 5" xfId="13948" xr:uid="{010AEE5D-0395-460C-B896-D00F2ED1B223}"/>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20724" xr:uid="{90C75E78-DCB4-4EC9-8018-7E98BF91B1F3}"/>
    <cellStyle name="Normal 2 4 2 3 2 3 4 2 3" xfId="12295" xr:uid="{EF890F92-FF9E-4AC4-9658-89CE46E3707E}"/>
    <cellStyle name="Normal 2 4 2 3 2 3 4 2 4" xfId="16506" xr:uid="{E9C9AD60-4C40-41FD-A75A-709F0EC8FBF0}"/>
    <cellStyle name="Normal 2 4 2 3 2 3 4 3" xfId="5918" xr:uid="{00000000-0005-0000-0000-0000CD0E0000}"/>
    <cellStyle name="Normal 2 4 2 3 2 3 4 3 2" xfId="18579" xr:uid="{60164C59-8C11-4988-B3E5-E3A62FFEE03B}"/>
    <cellStyle name="Normal 2 4 2 3 2 3 4 4" xfId="10150" xr:uid="{1645B4B2-4F54-4819-A49E-A0084DE7C85B}"/>
    <cellStyle name="Normal 2 4 2 3 2 3 4 5" xfId="14361" xr:uid="{4AE72713-AED1-4076-A311-FA47E614189A}"/>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21137" xr:uid="{63A454AC-5AED-4BB5-BACA-E3A6AAEFF66E}"/>
    <cellStyle name="Normal 2 4 2 3 2 3 5 2 3" xfId="12708" xr:uid="{AC4BD99F-EAFC-40C4-9F53-DE6C97783451}"/>
    <cellStyle name="Normal 2 4 2 3 2 3 5 2 4" xfId="16919" xr:uid="{08BC5680-CE8F-40DA-A986-757883E8942D}"/>
    <cellStyle name="Normal 2 4 2 3 2 3 5 3" xfId="6331" xr:uid="{00000000-0005-0000-0000-0000D10E0000}"/>
    <cellStyle name="Normal 2 4 2 3 2 3 5 3 2" xfId="18992" xr:uid="{1C23E8DB-E374-4D3E-B9BA-90919B99EF79}"/>
    <cellStyle name="Normal 2 4 2 3 2 3 5 4" xfId="10563" xr:uid="{013EFDF4-6F7C-4B33-9995-D14A0F688FB7}"/>
    <cellStyle name="Normal 2 4 2 3 2 3 5 5" xfId="14774" xr:uid="{E154A678-6724-42BE-A37D-CBEC85FCDA08}"/>
    <cellStyle name="Normal 2 4 2 3 2 3 6" xfId="2461" xr:uid="{00000000-0005-0000-0000-0000D20E0000}"/>
    <cellStyle name="Normal 2 4 2 3 2 3 6 2" xfId="6744" xr:uid="{00000000-0005-0000-0000-0000D30E0000}"/>
    <cellStyle name="Normal 2 4 2 3 2 3 6 2 2" xfId="19405" xr:uid="{CA84548D-9202-496B-B0CF-AB18D1AEADA4}"/>
    <cellStyle name="Normal 2 4 2 3 2 3 6 3" xfId="10976" xr:uid="{5838FD99-7F71-4242-8D79-0CBEC5B0D27A}"/>
    <cellStyle name="Normal 2 4 2 3 2 3 6 4" xfId="15187" xr:uid="{D97EBF3F-4112-46D1-B677-E06C9420FF04}"/>
    <cellStyle name="Normal 2 4 2 3 2 3 7" xfId="4678" xr:uid="{00000000-0005-0000-0000-0000D40E0000}"/>
    <cellStyle name="Normal 2 4 2 3 2 3 7 2" xfId="17339" xr:uid="{23F51C61-40EF-4FCE-B40A-DA39DCECD861}"/>
    <cellStyle name="Normal 2 4 2 3 2 3 8" xfId="8910" xr:uid="{28719AB4-B7F5-4786-928D-0F9AF1AD389F}"/>
    <cellStyle name="Normal 2 4 2 3 2 3 9" xfId="13121" xr:uid="{FAB91AA2-046A-4608-877A-75382559623D}"/>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9895" xr:uid="{5FA457A7-A45B-4435-8CBD-1A497954FAD0}"/>
    <cellStyle name="Normal 2 4 2 3 2 4 2 3" xfId="11466" xr:uid="{6326C07B-73A2-4E1E-8635-A1A69A4D0F02}"/>
    <cellStyle name="Normal 2 4 2 3 2 4 2 4" xfId="15677" xr:uid="{0B1F6C5E-9B82-4D57-A634-049427B62DD1}"/>
    <cellStyle name="Normal 2 4 2 3 2 4 3" xfId="5089" xr:uid="{00000000-0005-0000-0000-0000D80E0000}"/>
    <cellStyle name="Normal 2 4 2 3 2 4 3 2" xfId="17750" xr:uid="{CEC64D4C-DA54-4165-81E2-ECE00ADADC54}"/>
    <cellStyle name="Normal 2 4 2 3 2 4 4" xfId="9321" xr:uid="{3275F1F3-112A-47F8-AD4B-72CBDEC76BE4}"/>
    <cellStyle name="Normal 2 4 2 3 2 4 5" xfId="13532" xr:uid="{A5743C58-AD37-46D6-AF62-1735F40CBC9A}"/>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20308" xr:uid="{A51B618C-73D5-4829-9EC2-AA62933A7DA2}"/>
    <cellStyle name="Normal 2 4 2 3 2 5 2 3" xfId="11879" xr:uid="{A6BED3A1-8330-474B-B351-D71C50BDD75D}"/>
    <cellStyle name="Normal 2 4 2 3 2 5 2 4" xfId="16090" xr:uid="{535A4D24-8D09-4A33-B47B-A3E6F3BCCA35}"/>
    <cellStyle name="Normal 2 4 2 3 2 5 3" xfId="5502" xr:uid="{00000000-0005-0000-0000-0000DC0E0000}"/>
    <cellStyle name="Normal 2 4 2 3 2 5 3 2" xfId="18163" xr:uid="{0096C994-E21D-4091-A117-19D3FEAB6D41}"/>
    <cellStyle name="Normal 2 4 2 3 2 5 4" xfId="9734" xr:uid="{1E0FA8A5-C8F2-4A1B-B68C-FCDD0A4484B6}"/>
    <cellStyle name="Normal 2 4 2 3 2 5 5" xfId="13945" xr:uid="{E2BF1F9F-C238-4124-B08D-5395D7D7CA37}"/>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20721" xr:uid="{0BB8A8C4-50C7-4660-9819-6A744A85D504}"/>
    <cellStyle name="Normal 2 4 2 3 2 6 2 3" xfId="12292" xr:uid="{B1AC2F15-8318-4C98-9E97-4A61CCFA40AB}"/>
    <cellStyle name="Normal 2 4 2 3 2 6 2 4" xfId="16503" xr:uid="{D0D667A9-EBC8-41E7-AFCF-421B2A5E2554}"/>
    <cellStyle name="Normal 2 4 2 3 2 6 3" xfId="5915" xr:uid="{00000000-0005-0000-0000-0000E00E0000}"/>
    <cellStyle name="Normal 2 4 2 3 2 6 3 2" xfId="18576" xr:uid="{BA76DC1B-3965-4899-A38C-E2DAEA6AC4C3}"/>
    <cellStyle name="Normal 2 4 2 3 2 6 4" xfId="10147" xr:uid="{6C70EBDA-3334-4B5F-B02A-34A0AA259E17}"/>
    <cellStyle name="Normal 2 4 2 3 2 6 5" xfId="14358" xr:uid="{CFCE683B-5E7B-4D6B-ABDB-A37E8322B61F}"/>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21134" xr:uid="{9B181C8B-090C-403A-8177-85C257D54F54}"/>
    <cellStyle name="Normal 2 4 2 3 2 7 2 3" xfId="12705" xr:uid="{48A41089-FB3B-46D7-9754-3AA00A788554}"/>
    <cellStyle name="Normal 2 4 2 3 2 7 2 4" xfId="16916" xr:uid="{8CE2E7E4-88ED-4DE0-ACE8-DCFB5FD217A8}"/>
    <cellStyle name="Normal 2 4 2 3 2 7 3" xfId="6328" xr:uid="{00000000-0005-0000-0000-0000E40E0000}"/>
    <cellStyle name="Normal 2 4 2 3 2 7 3 2" xfId="18989" xr:uid="{AD178377-FB0B-4ABA-BAB0-B30DDC89F974}"/>
    <cellStyle name="Normal 2 4 2 3 2 7 4" xfId="10560" xr:uid="{63DE1843-C844-4E07-9412-8E0DB5AE3905}"/>
    <cellStyle name="Normal 2 4 2 3 2 7 5" xfId="14771" xr:uid="{3AA06250-7FD7-4CA2-99B4-EEBB68C99C96}"/>
    <cellStyle name="Normal 2 4 2 3 2 8" xfId="2458" xr:uid="{00000000-0005-0000-0000-0000E50E0000}"/>
    <cellStyle name="Normal 2 4 2 3 2 8 2" xfId="6741" xr:uid="{00000000-0005-0000-0000-0000E60E0000}"/>
    <cellStyle name="Normal 2 4 2 3 2 8 2 2" xfId="19402" xr:uid="{B9407DB6-5769-4B35-8BB5-AA93A14A923B}"/>
    <cellStyle name="Normal 2 4 2 3 2 8 3" xfId="10973" xr:uid="{45A8DCC8-8F1D-44EB-A504-FA13AEB98687}"/>
    <cellStyle name="Normal 2 4 2 3 2 8 4" xfId="15184" xr:uid="{3FCEFC7E-2858-4455-BD40-B5618A1F8835}"/>
    <cellStyle name="Normal 2 4 2 3 2 9" xfId="4675" xr:uid="{00000000-0005-0000-0000-0000E70E0000}"/>
    <cellStyle name="Normal 2 4 2 3 2 9 2" xfId="17336" xr:uid="{CBE0C866-E24B-4AEC-912B-1613D4E5259C}"/>
    <cellStyle name="Normal 2 4 2 3 3" xfId="286" xr:uid="{00000000-0005-0000-0000-0000E80E0000}"/>
    <cellStyle name="Normal 2 4 2 3 3 10" xfId="13122" xr:uid="{EC311538-8644-4BF3-9147-85CBBCAAAE02}"/>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9900" xr:uid="{0213957F-4EBB-4BDB-97B4-812944BC57B4}"/>
    <cellStyle name="Normal 2 4 2 3 3 2 2 2 3" xfId="11471" xr:uid="{1D9B9C76-796F-4C7D-8D12-91483C9FAEA9}"/>
    <cellStyle name="Normal 2 4 2 3 3 2 2 2 4" xfId="15682" xr:uid="{144CA3B7-ACD2-4454-A08B-61EE8768C6A2}"/>
    <cellStyle name="Normal 2 4 2 3 3 2 2 3" xfId="5094" xr:uid="{00000000-0005-0000-0000-0000ED0E0000}"/>
    <cellStyle name="Normal 2 4 2 3 3 2 2 3 2" xfId="17755" xr:uid="{2A2F03F7-92EE-4D0F-BCB8-2EFFE33F7FDF}"/>
    <cellStyle name="Normal 2 4 2 3 3 2 2 4" xfId="9326" xr:uid="{1262A83B-D3A5-4E1C-94EE-9737328E44A7}"/>
    <cellStyle name="Normal 2 4 2 3 3 2 2 5" xfId="13537" xr:uid="{E9C56FFE-9979-4B82-B0F4-AA75EEA6D19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20313" xr:uid="{22A7EDB6-EA93-4C3B-B6FB-8F6EFB4F84A9}"/>
    <cellStyle name="Normal 2 4 2 3 3 2 3 2 3" xfId="11884" xr:uid="{DCB152BE-6E35-4807-A9FB-F6CE8D06F566}"/>
    <cellStyle name="Normal 2 4 2 3 3 2 3 2 4" xfId="16095" xr:uid="{BBBC830C-4C60-4A4C-B5A0-B84156CE9289}"/>
    <cellStyle name="Normal 2 4 2 3 3 2 3 3" xfId="5507" xr:uid="{00000000-0005-0000-0000-0000F10E0000}"/>
    <cellStyle name="Normal 2 4 2 3 3 2 3 3 2" xfId="18168" xr:uid="{07F7E183-3D44-475A-A5AF-4055EF221077}"/>
    <cellStyle name="Normal 2 4 2 3 3 2 3 4" xfId="9739" xr:uid="{3BE9A255-5AFB-4F6B-A300-3A0C86FF8F9B}"/>
    <cellStyle name="Normal 2 4 2 3 3 2 3 5" xfId="13950" xr:uid="{693EF28C-334F-48FF-84E5-DFD21B9C48A3}"/>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20726" xr:uid="{92280B57-6278-448D-8095-2CAABECB3564}"/>
    <cellStyle name="Normal 2 4 2 3 3 2 4 2 3" xfId="12297" xr:uid="{C67207AA-05FF-40BD-962C-800E8F6FF313}"/>
    <cellStyle name="Normal 2 4 2 3 3 2 4 2 4" xfId="16508" xr:uid="{49E794EB-7B81-45EB-9C57-C06F6233975F}"/>
    <cellStyle name="Normal 2 4 2 3 3 2 4 3" xfId="5920" xr:uid="{00000000-0005-0000-0000-0000F50E0000}"/>
    <cellStyle name="Normal 2 4 2 3 3 2 4 3 2" xfId="18581" xr:uid="{6F212A77-09C7-4B11-B6C0-F738D5D27C41}"/>
    <cellStyle name="Normal 2 4 2 3 3 2 4 4" xfId="10152" xr:uid="{E6558274-7420-4931-8F6C-852EEF931033}"/>
    <cellStyle name="Normal 2 4 2 3 3 2 4 5" xfId="14363" xr:uid="{07341141-ECFB-424F-A94A-E5E4E4918079}"/>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21139" xr:uid="{8BC69DB2-6343-46D9-B6B8-486ED901BD97}"/>
    <cellStyle name="Normal 2 4 2 3 3 2 5 2 3" xfId="12710" xr:uid="{2303AD33-D3A0-4BF9-8DD7-1BEC7C6C773B}"/>
    <cellStyle name="Normal 2 4 2 3 3 2 5 2 4" xfId="16921" xr:uid="{2A141DA5-3DC1-4DCA-96F9-119797D8DF57}"/>
    <cellStyle name="Normal 2 4 2 3 3 2 5 3" xfId="6333" xr:uid="{00000000-0005-0000-0000-0000F90E0000}"/>
    <cellStyle name="Normal 2 4 2 3 3 2 5 3 2" xfId="18994" xr:uid="{6417DB1C-2ABB-44CB-A967-820D306EAEB6}"/>
    <cellStyle name="Normal 2 4 2 3 3 2 5 4" xfId="10565" xr:uid="{46244C2D-E353-4FBA-A7EC-88C8F87D1FF4}"/>
    <cellStyle name="Normal 2 4 2 3 3 2 5 5" xfId="14776" xr:uid="{26B58EAC-2438-4140-99E9-F53CA6A34F95}"/>
    <cellStyle name="Normal 2 4 2 3 3 2 6" xfId="2463" xr:uid="{00000000-0005-0000-0000-0000FA0E0000}"/>
    <cellStyle name="Normal 2 4 2 3 3 2 6 2" xfId="6746" xr:uid="{00000000-0005-0000-0000-0000FB0E0000}"/>
    <cellStyle name="Normal 2 4 2 3 3 2 6 2 2" xfId="19407" xr:uid="{A82E78E8-6F1B-49AB-99DA-E60D9A764B14}"/>
    <cellStyle name="Normal 2 4 2 3 3 2 6 3" xfId="10978" xr:uid="{631A0891-71BF-4BFE-AA21-061C0E9DDED7}"/>
    <cellStyle name="Normal 2 4 2 3 3 2 6 4" xfId="15189" xr:uid="{386C5317-B857-4C2B-B4F4-0CA3A5D502EB}"/>
    <cellStyle name="Normal 2 4 2 3 3 2 7" xfId="4680" xr:uid="{00000000-0005-0000-0000-0000FC0E0000}"/>
    <cellStyle name="Normal 2 4 2 3 3 2 7 2" xfId="17341" xr:uid="{00EAB40A-1284-4D45-9CCD-BBAD2719921C}"/>
    <cellStyle name="Normal 2 4 2 3 3 2 8" xfId="8912" xr:uid="{980B2D98-0F9E-4B25-94C6-7AB77B4CF239}"/>
    <cellStyle name="Normal 2 4 2 3 3 2 9" xfId="13123" xr:uid="{134CE649-72DF-4208-BF48-609204F58BC1}"/>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9899" xr:uid="{3281A0C3-5328-489B-A3FB-8B1B23861F5F}"/>
    <cellStyle name="Normal 2 4 2 3 3 3 2 3" xfId="11470" xr:uid="{4ED0E55C-86C7-4E4F-B688-47A087FCB8F9}"/>
    <cellStyle name="Normal 2 4 2 3 3 3 2 4" xfId="15681" xr:uid="{3E62580D-751B-46B1-87C7-03418DA1B24E}"/>
    <cellStyle name="Normal 2 4 2 3 3 3 3" xfId="5093" xr:uid="{00000000-0005-0000-0000-0000000F0000}"/>
    <cellStyle name="Normal 2 4 2 3 3 3 3 2" xfId="17754" xr:uid="{01C83D7A-6FA1-4E4B-ACCD-22FC7E4A6930}"/>
    <cellStyle name="Normal 2 4 2 3 3 3 4" xfId="9325" xr:uid="{CA504EC5-6DF8-42B4-B5A1-AB8932222537}"/>
    <cellStyle name="Normal 2 4 2 3 3 3 5" xfId="13536" xr:uid="{2FE72FC5-B607-43E8-8B9D-89E63B56ACDC}"/>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20312" xr:uid="{42E2EA45-CE5A-4C44-B09B-F793DC1411D0}"/>
    <cellStyle name="Normal 2 4 2 3 3 4 2 3" xfId="11883" xr:uid="{049ACF48-3566-4179-83C0-04F2A4DC74D0}"/>
    <cellStyle name="Normal 2 4 2 3 3 4 2 4" xfId="16094" xr:uid="{8BF92A58-BB16-4AA9-BEA5-121F437AB6BF}"/>
    <cellStyle name="Normal 2 4 2 3 3 4 3" xfId="5506" xr:uid="{00000000-0005-0000-0000-0000040F0000}"/>
    <cellStyle name="Normal 2 4 2 3 3 4 3 2" xfId="18167" xr:uid="{404FD902-B1F5-4804-96AE-00675E82BC14}"/>
    <cellStyle name="Normal 2 4 2 3 3 4 4" xfId="9738" xr:uid="{CAEFBDA5-3E09-4392-AA0A-74F04619F9C3}"/>
    <cellStyle name="Normal 2 4 2 3 3 4 5" xfId="13949" xr:uid="{7DD81C6A-7AC9-4770-BEB5-C0C5C1A298BE}"/>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20725" xr:uid="{C82F4B1A-6C49-4A4E-A06F-A45238D7DCC6}"/>
    <cellStyle name="Normal 2 4 2 3 3 5 2 3" xfId="12296" xr:uid="{7C6209A7-21ED-4999-8C0D-BE0A03D96F23}"/>
    <cellStyle name="Normal 2 4 2 3 3 5 2 4" xfId="16507" xr:uid="{BDF67851-1E1C-4B53-A81D-81023044CF26}"/>
    <cellStyle name="Normal 2 4 2 3 3 5 3" xfId="5919" xr:uid="{00000000-0005-0000-0000-0000080F0000}"/>
    <cellStyle name="Normal 2 4 2 3 3 5 3 2" xfId="18580" xr:uid="{3CC2759C-1C44-4F14-A005-E58C05CBD652}"/>
    <cellStyle name="Normal 2 4 2 3 3 5 4" xfId="10151" xr:uid="{EA1750D9-2217-469A-9EDE-A88285B3176D}"/>
    <cellStyle name="Normal 2 4 2 3 3 5 5" xfId="14362" xr:uid="{23C78B04-C468-482C-98A0-96B8F9253663}"/>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21138" xr:uid="{3FD32FE0-DCEC-4E0C-9AAF-73F5DE7D6910}"/>
    <cellStyle name="Normal 2 4 2 3 3 6 2 3" xfId="12709" xr:uid="{322C1060-E8D9-4E64-AB5A-FF1261AB6F7C}"/>
    <cellStyle name="Normal 2 4 2 3 3 6 2 4" xfId="16920" xr:uid="{942C7EF7-6148-49BA-95FF-14C2F63E99B5}"/>
    <cellStyle name="Normal 2 4 2 3 3 6 3" xfId="6332" xr:uid="{00000000-0005-0000-0000-00000C0F0000}"/>
    <cellStyle name="Normal 2 4 2 3 3 6 3 2" xfId="18993" xr:uid="{5925AF64-E5C4-4870-AAAF-C376768C032B}"/>
    <cellStyle name="Normal 2 4 2 3 3 6 4" xfId="10564" xr:uid="{D694B753-0BFD-4BC0-A881-B27ED0160BDA}"/>
    <cellStyle name="Normal 2 4 2 3 3 6 5" xfId="14775" xr:uid="{D3444F29-429F-4BFC-A8A1-A6B4CA9A21B2}"/>
    <cellStyle name="Normal 2 4 2 3 3 7" xfId="2462" xr:uid="{00000000-0005-0000-0000-00000D0F0000}"/>
    <cellStyle name="Normal 2 4 2 3 3 7 2" xfId="6745" xr:uid="{00000000-0005-0000-0000-00000E0F0000}"/>
    <cellStyle name="Normal 2 4 2 3 3 7 2 2" xfId="19406" xr:uid="{63DD82DF-5DE6-45FD-97A4-58DEDE3AC012}"/>
    <cellStyle name="Normal 2 4 2 3 3 7 3" xfId="10977" xr:uid="{1D3E81A0-62A1-4FC8-95E7-11FA8AB816D9}"/>
    <cellStyle name="Normal 2 4 2 3 3 7 4" xfId="15188" xr:uid="{681E9973-F5E8-4380-AE49-7F7FD89198BE}"/>
    <cellStyle name="Normal 2 4 2 3 3 8" xfId="4679" xr:uid="{00000000-0005-0000-0000-00000F0F0000}"/>
    <cellStyle name="Normal 2 4 2 3 3 8 2" xfId="17340" xr:uid="{F162E3B6-640C-4753-822B-04C30B8CDA45}"/>
    <cellStyle name="Normal 2 4 2 3 3 9" xfId="8911" xr:uid="{00686325-BE44-40BF-B016-41894F0EF5EB}"/>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9901" xr:uid="{C169BD09-968B-478D-9F6B-6414E1558E46}"/>
    <cellStyle name="Normal 2 4 2 3 4 2 2 3" xfId="11472" xr:uid="{B99747B7-B284-45F5-A73D-B70E6D36F6A8}"/>
    <cellStyle name="Normal 2 4 2 3 4 2 2 4" xfId="15683" xr:uid="{3C02BE0C-A78B-4C37-866F-A2E2CF860DE9}"/>
    <cellStyle name="Normal 2 4 2 3 4 2 3" xfId="5095" xr:uid="{00000000-0005-0000-0000-0000140F0000}"/>
    <cellStyle name="Normal 2 4 2 3 4 2 3 2" xfId="17756" xr:uid="{D267C8D8-3B32-45CB-9F5A-00F758F573E1}"/>
    <cellStyle name="Normal 2 4 2 3 4 2 4" xfId="9327" xr:uid="{BE101AC3-088B-4D7F-B780-6D18B701708E}"/>
    <cellStyle name="Normal 2 4 2 3 4 2 5" xfId="13538" xr:uid="{80015AEA-5C0C-4727-B4F6-CDE7FECA0DCE}"/>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20314" xr:uid="{36C10FD2-39E9-4DF0-98FC-550327E4AB21}"/>
    <cellStyle name="Normal 2 4 2 3 4 3 2 3" xfId="11885" xr:uid="{D25D672F-9228-4A6B-A097-EE3CBAC0C34D}"/>
    <cellStyle name="Normal 2 4 2 3 4 3 2 4" xfId="16096" xr:uid="{37D6795D-87CD-4030-88F2-1905033A2014}"/>
    <cellStyle name="Normal 2 4 2 3 4 3 3" xfId="5508" xr:uid="{00000000-0005-0000-0000-0000180F0000}"/>
    <cellStyle name="Normal 2 4 2 3 4 3 3 2" xfId="18169" xr:uid="{1F8FAC84-768C-474E-B5BE-A9DC44126813}"/>
    <cellStyle name="Normal 2 4 2 3 4 3 4" xfId="9740" xr:uid="{B543B491-91ED-4EA8-9AFC-70AC39AAB016}"/>
    <cellStyle name="Normal 2 4 2 3 4 3 5" xfId="13951" xr:uid="{85AB2A7E-E288-4C62-BB4A-1BFE06765837}"/>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20727" xr:uid="{02070036-2CEA-44A7-A66B-2E84180E92FC}"/>
    <cellStyle name="Normal 2 4 2 3 4 4 2 3" xfId="12298" xr:uid="{8D8F27D2-E1A0-4BB7-89F6-D1094474F168}"/>
    <cellStyle name="Normal 2 4 2 3 4 4 2 4" xfId="16509" xr:uid="{FF5778F0-64BA-446A-B41F-FC3C611E6F47}"/>
    <cellStyle name="Normal 2 4 2 3 4 4 3" xfId="5921" xr:uid="{00000000-0005-0000-0000-00001C0F0000}"/>
    <cellStyle name="Normal 2 4 2 3 4 4 3 2" xfId="18582" xr:uid="{3B9005F4-D074-4604-8EC4-2EF9087434AD}"/>
    <cellStyle name="Normal 2 4 2 3 4 4 4" xfId="10153" xr:uid="{0BD8F8FA-D1F3-4A54-87B7-73000D40788B}"/>
    <cellStyle name="Normal 2 4 2 3 4 4 5" xfId="14364" xr:uid="{EFA986E2-2550-4841-972B-A15038D29A69}"/>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21140" xr:uid="{FAF07FB3-7D08-4FDC-A437-80E8A2036287}"/>
    <cellStyle name="Normal 2 4 2 3 4 5 2 3" xfId="12711" xr:uid="{8A7B02BD-6E1D-490B-8B91-5D8ADF6C6F02}"/>
    <cellStyle name="Normal 2 4 2 3 4 5 2 4" xfId="16922" xr:uid="{E753585C-AEB9-4E5F-959B-EA9F37546B1B}"/>
    <cellStyle name="Normal 2 4 2 3 4 5 3" xfId="6334" xr:uid="{00000000-0005-0000-0000-0000200F0000}"/>
    <cellStyle name="Normal 2 4 2 3 4 5 3 2" xfId="18995" xr:uid="{E27D4D18-3A9E-4D21-893E-92FD9A285F1A}"/>
    <cellStyle name="Normal 2 4 2 3 4 5 4" xfId="10566" xr:uid="{146668B1-5F90-4882-903D-977E695CC5BD}"/>
    <cellStyle name="Normal 2 4 2 3 4 5 5" xfId="14777" xr:uid="{A074DE7A-CAC0-42B7-BDD4-56B01433DD5A}"/>
    <cellStyle name="Normal 2 4 2 3 4 6" xfId="2464" xr:uid="{00000000-0005-0000-0000-0000210F0000}"/>
    <cellStyle name="Normal 2 4 2 3 4 6 2" xfId="6747" xr:uid="{00000000-0005-0000-0000-0000220F0000}"/>
    <cellStyle name="Normal 2 4 2 3 4 6 2 2" xfId="19408" xr:uid="{ACEBD19F-39D5-4EFB-ACE1-9247E70B78F6}"/>
    <cellStyle name="Normal 2 4 2 3 4 6 3" xfId="10979" xr:uid="{2F93196B-D1CA-4517-88A8-206C36FE9CA7}"/>
    <cellStyle name="Normal 2 4 2 3 4 6 4" xfId="15190" xr:uid="{119D082B-D12B-463D-A59F-6599D62B593C}"/>
    <cellStyle name="Normal 2 4 2 3 4 7" xfId="4681" xr:uid="{00000000-0005-0000-0000-0000230F0000}"/>
    <cellStyle name="Normal 2 4 2 3 4 7 2" xfId="17342" xr:uid="{D76DAE63-3E59-4F7A-ABBA-7CF1D4E65264}"/>
    <cellStyle name="Normal 2 4 2 3 4 8" xfId="8913" xr:uid="{E3A25683-3ECF-483C-857D-35C5FEFEA6A3}"/>
    <cellStyle name="Normal 2 4 2 3 4 9" xfId="13124" xr:uid="{09C69F9F-F994-45BE-AEFF-CFF9E4843B0D}"/>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9894" xr:uid="{53DACE51-971D-4D9A-9A88-7F2B5797EEAB}"/>
    <cellStyle name="Normal 2 4 2 3 5 2 3" xfId="11465" xr:uid="{7C94F7C2-F422-42DF-8A52-5666AE41CF66}"/>
    <cellStyle name="Normal 2 4 2 3 5 2 4" xfId="15676" xr:uid="{B0C1EA8B-125D-48FC-92F8-74048DECC9D6}"/>
    <cellStyle name="Normal 2 4 2 3 5 3" xfId="5088" xr:uid="{00000000-0005-0000-0000-0000270F0000}"/>
    <cellStyle name="Normal 2 4 2 3 5 3 2" xfId="17749" xr:uid="{145BC254-2F41-4C5F-B9D2-71845907C288}"/>
    <cellStyle name="Normal 2 4 2 3 5 4" xfId="9320" xr:uid="{5ABAB830-67C1-44DB-B555-92DEFBC759F4}"/>
    <cellStyle name="Normal 2 4 2 3 5 5" xfId="13531" xr:uid="{71C86AE0-3852-453E-B3F9-433737779C6B}"/>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20307" xr:uid="{17569539-4A79-452C-857C-BFFB4E782150}"/>
    <cellStyle name="Normal 2 4 2 3 6 2 3" xfId="11878" xr:uid="{3F5DD28E-BCD8-4033-BBFC-6F22BCBE982E}"/>
    <cellStyle name="Normal 2 4 2 3 6 2 4" xfId="16089" xr:uid="{AAB22C99-B6E9-452E-A6F3-9ADED1168C05}"/>
    <cellStyle name="Normal 2 4 2 3 6 3" xfId="5501" xr:uid="{00000000-0005-0000-0000-00002B0F0000}"/>
    <cellStyle name="Normal 2 4 2 3 6 3 2" xfId="18162" xr:uid="{9F3EDAB5-E7A1-4C18-A1B8-B3E6BA703AD6}"/>
    <cellStyle name="Normal 2 4 2 3 6 4" xfId="9733" xr:uid="{76765C4F-0759-4E1D-BC61-9AA523914513}"/>
    <cellStyle name="Normal 2 4 2 3 6 5" xfId="13944" xr:uid="{A5CD0329-EF55-4946-A5C6-3886C906D1F0}"/>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20720" xr:uid="{4406D6AA-CF39-4BBD-9CF6-D364D9FE0B57}"/>
    <cellStyle name="Normal 2 4 2 3 7 2 3" xfId="12291" xr:uid="{FE18E926-D364-4398-A3DD-A963C131E7C0}"/>
    <cellStyle name="Normal 2 4 2 3 7 2 4" xfId="16502" xr:uid="{B1BE7AD5-48D4-4EFE-8B57-C581E406CB5E}"/>
    <cellStyle name="Normal 2 4 2 3 7 3" xfId="5914" xr:uid="{00000000-0005-0000-0000-00002F0F0000}"/>
    <cellStyle name="Normal 2 4 2 3 7 3 2" xfId="18575" xr:uid="{0A890C70-0CCE-48BA-BF44-D1BF13FC5AF6}"/>
    <cellStyle name="Normal 2 4 2 3 7 4" xfId="10146" xr:uid="{15932EED-8C11-4548-AC02-CF6335821F7A}"/>
    <cellStyle name="Normal 2 4 2 3 7 5" xfId="14357" xr:uid="{6D225F5B-A490-4B78-B1DF-924A1EB3EFD9}"/>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21133" xr:uid="{DA9B8583-1640-49EC-AE62-9F56ACB4D3DF}"/>
    <cellStyle name="Normal 2 4 2 3 8 2 3" xfId="12704" xr:uid="{53D273BF-2741-4AE3-88E1-C98C9336DD8E}"/>
    <cellStyle name="Normal 2 4 2 3 8 2 4" xfId="16915" xr:uid="{453EC6D0-4FB1-420E-B5C2-280CECB5F49D}"/>
    <cellStyle name="Normal 2 4 2 3 8 3" xfId="6327" xr:uid="{00000000-0005-0000-0000-0000330F0000}"/>
    <cellStyle name="Normal 2 4 2 3 8 3 2" xfId="18988" xr:uid="{A3903D43-F03E-46B3-A41C-3D1D8267D9FE}"/>
    <cellStyle name="Normal 2 4 2 3 8 4" xfId="10559" xr:uid="{1403078E-E2BC-4E16-8E34-8D58FFBEEDC9}"/>
    <cellStyle name="Normal 2 4 2 3 8 5" xfId="14770" xr:uid="{C6F84873-530C-4D38-A8A4-E4582E9D8703}"/>
    <cellStyle name="Normal 2 4 2 3 9" xfId="2457" xr:uid="{00000000-0005-0000-0000-0000340F0000}"/>
    <cellStyle name="Normal 2 4 2 3 9 2" xfId="6740" xr:uid="{00000000-0005-0000-0000-0000350F0000}"/>
    <cellStyle name="Normal 2 4 2 3 9 2 2" xfId="19401" xr:uid="{D40288FA-9ACA-4B59-B9D6-5597C75E384E}"/>
    <cellStyle name="Normal 2 4 2 3 9 3" xfId="10972" xr:uid="{0C7CB737-3AB2-436D-9D05-684EA507E13D}"/>
    <cellStyle name="Normal 2 4 2 3 9 4" xfId="15183" xr:uid="{94E11AFF-0661-43F6-8352-39B21476EF34}"/>
    <cellStyle name="Normal 2 4 2 4" xfId="289" xr:uid="{00000000-0005-0000-0000-0000360F0000}"/>
    <cellStyle name="Normal 2 4 2 4 10" xfId="8914" xr:uid="{7CD1DC94-8714-4C2F-A3BC-393CA6AFE09A}"/>
    <cellStyle name="Normal 2 4 2 4 11" xfId="13125" xr:uid="{D6081507-1B8C-4A81-805F-4B07272BCE4D}"/>
    <cellStyle name="Normal 2 4 2 4 2" xfId="290" xr:uid="{00000000-0005-0000-0000-0000370F0000}"/>
    <cellStyle name="Normal 2 4 2 4 2 10" xfId="13126" xr:uid="{C2BF51B4-B50D-49AE-8699-BD9B0B397F83}"/>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9904" xr:uid="{D2B94BE7-38C9-463C-996F-498503B78126}"/>
    <cellStyle name="Normal 2 4 2 4 2 2 2 2 3" xfId="11475" xr:uid="{EE31526C-FC1F-4606-9934-BCD854BDA4F3}"/>
    <cellStyle name="Normal 2 4 2 4 2 2 2 2 4" xfId="15686" xr:uid="{37CD23BC-5AF8-4B38-9A80-5FEEA95CFF4E}"/>
    <cellStyle name="Normal 2 4 2 4 2 2 2 3" xfId="5098" xr:uid="{00000000-0005-0000-0000-00003C0F0000}"/>
    <cellStyle name="Normal 2 4 2 4 2 2 2 3 2" xfId="17759" xr:uid="{7F1796BA-2FC9-44B3-AFC7-18DC2F124C66}"/>
    <cellStyle name="Normal 2 4 2 4 2 2 2 4" xfId="9330" xr:uid="{3B1DD7BE-6A4B-4F1D-8A8A-BB643F3AEE47}"/>
    <cellStyle name="Normal 2 4 2 4 2 2 2 5" xfId="13541" xr:uid="{DD735941-9F04-4A24-A20E-7F6AABC2309A}"/>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20317" xr:uid="{5EB5B4BB-FC75-4BE4-8159-2B7DF7FB1723}"/>
    <cellStyle name="Normal 2 4 2 4 2 2 3 2 3" xfId="11888" xr:uid="{0020E991-D584-40E8-9DB5-8B5E14FC4095}"/>
    <cellStyle name="Normal 2 4 2 4 2 2 3 2 4" xfId="16099" xr:uid="{4935D006-24E0-4C58-B97C-0E41E8A07447}"/>
    <cellStyle name="Normal 2 4 2 4 2 2 3 3" xfId="5511" xr:uid="{00000000-0005-0000-0000-0000400F0000}"/>
    <cellStyle name="Normal 2 4 2 4 2 2 3 3 2" xfId="18172" xr:uid="{2835D95F-28DF-421D-8C3D-6854224BEC5B}"/>
    <cellStyle name="Normal 2 4 2 4 2 2 3 4" xfId="9743" xr:uid="{D7A2F26A-B201-46A7-BC8E-53728AA04AC9}"/>
    <cellStyle name="Normal 2 4 2 4 2 2 3 5" xfId="13954" xr:uid="{9A617D9D-B569-4742-99C6-48CBB60BA0E1}"/>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20730" xr:uid="{E3F9BEDB-9D1B-401C-8C14-A676FDEE997F}"/>
    <cellStyle name="Normal 2 4 2 4 2 2 4 2 3" xfId="12301" xr:uid="{844FE8F7-EB65-4005-B87A-BC6FFF324A91}"/>
    <cellStyle name="Normal 2 4 2 4 2 2 4 2 4" xfId="16512" xr:uid="{95E2796A-5A30-4786-B55C-B23A80D800E2}"/>
    <cellStyle name="Normal 2 4 2 4 2 2 4 3" xfId="5924" xr:uid="{00000000-0005-0000-0000-0000440F0000}"/>
    <cellStyle name="Normal 2 4 2 4 2 2 4 3 2" xfId="18585" xr:uid="{04C07559-C289-4506-BCD1-A1A81950BA7A}"/>
    <cellStyle name="Normal 2 4 2 4 2 2 4 4" xfId="10156" xr:uid="{33932A84-4F19-4FBB-9760-C9B9BBA65FF5}"/>
    <cellStyle name="Normal 2 4 2 4 2 2 4 5" xfId="14367" xr:uid="{24023925-C7FD-4D45-8382-CA14F09AD84E}"/>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21143" xr:uid="{AA5F8461-567E-45AC-AC58-A5B69EAA783A}"/>
    <cellStyle name="Normal 2 4 2 4 2 2 5 2 3" xfId="12714" xr:uid="{AF36BCB3-F309-415E-BC20-A60A132728EC}"/>
    <cellStyle name="Normal 2 4 2 4 2 2 5 2 4" xfId="16925" xr:uid="{AA239ACA-F53C-49A6-B226-3BC9B6B34B15}"/>
    <cellStyle name="Normal 2 4 2 4 2 2 5 3" xfId="6337" xr:uid="{00000000-0005-0000-0000-0000480F0000}"/>
    <cellStyle name="Normal 2 4 2 4 2 2 5 3 2" xfId="18998" xr:uid="{F15ADA81-1799-4FB7-BD22-DA95C5A5D47A}"/>
    <cellStyle name="Normal 2 4 2 4 2 2 5 4" xfId="10569" xr:uid="{6786E80E-DABF-4871-8C5B-C3D7300F9DF0}"/>
    <cellStyle name="Normal 2 4 2 4 2 2 5 5" xfId="14780" xr:uid="{A0244207-AA4C-44DE-AC3C-53B1BF86A421}"/>
    <cellStyle name="Normal 2 4 2 4 2 2 6" xfId="2467" xr:uid="{00000000-0005-0000-0000-0000490F0000}"/>
    <cellStyle name="Normal 2 4 2 4 2 2 6 2" xfId="6750" xr:uid="{00000000-0005-0000-0000-00004A0F0000}"/>
    <cellStyle name="Normal 2 4 2 4 2 2 6 2 2" xfId="19411" xr:uid="{FFD0178C-E876-4B04-9A39-35E5A2B7F410}"/>
    <cellStyle name="Normal 2 4 2 4 2 2 6 3" xfId="10982" xr:uid="{3B78EF87-B074-470F-8443-8B27286E5D18}"/>
    <cellStyle name="Normal 2 4 2 4 2 2 6 4" xfId="15193" xr:uid="{6406D2C2-BEBE-4B0C-ABC4-FBD0F0834C82}"/>
    <cellStyle name="Normal 2 4 2 4 2 2 7" xfId="4684" xr:uid="{00000000-0005-0000-0000-00004B0F0000}"/>
    <cellStyle name="Normal 2 4 2 4 2 2 7 2" xfId="17345" xr:uid="{34FF8B87-570F-4A54-AF68-9E50609A022F}"/>
    <cellStyle name="Normal 2 4 2 4 2 2 8" xfId="8916" xr:uid="{D7F80057-9905-4EEF-8F85-BEE9F29955B2}"/>
    <cellStyle name="Normal 2 4 2 4 2 2 9" xfId="13127" xr:uid="{F66F1389-8BEB-4065-B89D-1339EB30516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9903" xr:uid="{1025C645-7749-416E-A6C2-93F050F4AAB7}"/>
    <cellStyle name="Normal 2 4 2 4 2 3 2 3" xfId="11474" xr:uid="{A63F8231-30B5-45AC-9ADA-2E7322677CF9}"/>
    <cellStyle name="Normal 2 4 2 4 2 3 2 4" xfId="15685" xr:uid="{2E84029C-2B54-4811-B295-33436115EA02}"/>
    <cellStyle name="Normal 2 4 2 4 2 3 3" xfId="5097" xr:uid="{00000000-0005-0000-0000-00004F0F0000}"/>
    <cellStyle name="Normal 2 4 2 4 2 3 3 2" xfId="17758" xr:uid="{3856EA2C-80D2-4DBF-977A-2E3F418D3010}"/>
    <cellStyle name="Normal 2 4 2 4 2 3 4" xfId="9329" xr:uid="{5F8F6505-5E94-4455-8908-D3E7AF59D1E3}"/>
    <cellStyle name="Normal 2 4 2 4 2 3 5" xfId="13540" xr:uid="{67FE519F-5549-4628-8ED5-3B1C5C5F45D6}"/>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20316" xr:uid="{133B2645-1572-46FE-8A57-62E3EC16E8FA}"/>
    <cellStyle name="Normal 2 4 2 4 2 4 2 3" xfId="11887" xr:uid="{50333420-6397-46C6-8386-917E7CE5D90F}"/>
    <cellStyle name="Normal 2 4 2 4 2 4 2 4" xfId="16098" xr:uid="{5F90E5F7-8A46-406F-AEA5-F3D103921225}"/>
    <cellStyle name="Normal 2 4 2 4 2 4 3" xfId="5510" xr:uid="{00000000-0005-0000-0000-0000530F0000}"/>
    <cellStyle name="Normal 2 4 2 4 2 4 3 2" xfId="18171" xr:uid="{59FD07E9-1BBA-4E67-AC41-2D5AE330F661}"/>
    <cellStyle name="Normal 2 4 2 4 2 4 4" xfId="9742" xr:uid="{EA5F7E74-1B82-40CF-A9D2-2D5D44AC18BA}"/>
    <cellStyle name="Normal 2 4 2 4 2 4 5" xfId="13953" xr:uid="{3CA33966-BCC9-4302-87AC-EEE0CF17910C}"/>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20729" xr:uid="{1369129C-2E82-45F7-A613-97FE03674E90}"/>
    <cellStyle name="Normal 2 4 2 4 2 5 2 3" xfId="12300" xr:uid="{17A621B0-3142-4F08-8DC8-6F036674BC38}"/>
    <cellStyle name="Normal 2 4 2 4 2 5 2 4" xfId="16511" xr:uid="{795982AD-D320-41D8-B8D6-4E6D90A47B7B}"/>
    <cellStyle name="Normal 2 4 2 4 2 5 3" xfId="5923" xr:uid="{00000000-0005-0000-0000-0000570F0000}"/>
    <cellStyle name="Normal 2 4 2 4 2 5 3 2" xfId="18584" xr:uid="{CA2F8BE3-76FA-4E0C-A771-D88B3F51F586}"/>
    <cellStyle name="Normal 2 4 2 4 2 5 4" xfId="10155" xr:uid="{0152DD43-1CF8-4653-84BA-8E8E0D4CBF03}"/>
    <cellStyle name="Normal 2 4 2 4 2 5 5" xfId="14366" xr:uid="{B80BACF4-6308-42F2-A2F5-C58BC446C9B8}"/>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21142" xr:uid="{A59A5914-B6FD-4507-9B08-DF08CC6113F3}"/>
    <cellStyle name="Normal 2 4 2 4 2 6 2 3" xfId="12713" xr:uid="{9E7CE58C-2DB2-4815-A45A-155C47EAA0B2}"/>
    <cellStyle name="Normal 2 4 2 4 2 6 2 4" xfId="16924" xr:uid="{D6387153-2FA3-4DDD-989E-B1B8C4FF80FE}"/>
    <cellStyle name="Normal 2 4 2 4 2 6 3" xfId="6336" xr:uid="{00000000-0005-0000-0000-00005B0F0000}"/>
    <cellStyle name="Normal 2 4 2 4 2 6 3 2" xfId="18997" xr:uid="{72705DAE-742B-482D-9229-3429C53607C0}"/>
    <cellStyle name="Normal 2 4 2 4 2 6 4" xfId="10568" xr:uid="{2684DC12-F66F-4BD0-85AB-EA978C724434}"/>
    <cellStyle name="Normal 2 4 2 4 2 6 5" xfId="14779" xr:uid="{0F03E93A-49B1-4AD0-892D-5EA70427B2EC}"/>
    <cellStyle name="Normal 2 4 2 4 2 7" xfId="2466" xr:uid="{00000000-0005-0000-0000-00005C0F0000}"/>
    <cellStyle name="Normal 2 4 2 4 2 7 2" xfId="6749" xr:uid="{00000000-0005-0000-0000-00005D0F0000}"/>
    <cellStyle name="Normal 2 4 2 4 2 7 2 2" xfId="19410" xr:uid="{879E1AC7-F6E5-44FD-A717-D1D1D366E5B7}"/>
    <cellStyle name="Normal 2 4 2 4 2 7 3" xfId="10981" xr:uid="{A0B61F9D-67C5-464B-9EC4-578758D2A4A4}"/>
    <cellStyle name="Normal 2 4 2 4 2 7 4" xfId="15192" xr:uid="{7BE58CD2-E122-4CCE-8F64-F349F3719AA6}"/>
    <cellStyle name="Normal 2 4 2 4 2 8" xfId="4683" xr:uid="{00000000-0005-0000-0000-00005E0F0000}"/>
    <cellStyle name="Normal 2 4 2 4 2 8 2" xfId="17344" xr:uid="{ADDB4F59-57D8-4A1C-98F1-95B39BAE18AD}"/>
    <cellStyle name="Normal 2 4 2 4 2 9" xfId="8915" xr:uid="{E62A4EFA-CA18-4A5C-9125-98C9D95CEBA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9905" xr:uid="{D5625EBE-FC59-4B5C-9F7B-C8562EAE35E8}"/>
    <cellStyle name="Normal 2 4 2 4 3 2 2 3" xfId="11476" xr:uid="{BEA8D1AF-E862-423D-A9A8-2C84CA93964F}"/>
    <cellStyle name="Normal 2 4 2 4 3 2 2 4" xfId="15687" xr:uid="{28BE6302-871D-4E60-807A-996E3C62013C}"/>
    <cellStyle name="Normal 2 4 2 4 3 2 3" xfId="5099" xr:uid="{00000000-0005-0000-0000-0000630F0000}"/>
    <cellStyle name="Normal 2 4 2 4 3 2 3 2" xfId="17760" xr:uid="{72BAB251-E5A5-4AFF-B80A-1346020AED00}"/>
    <cellStyle name="Normal 2 4 2 4 3 2 4" xfId="9331" xr:uid="{E1F94317-B498-4A54-983C-7F857D26202C}"/>
    <cellStyle name="Normal 2 4 2 4 3 2 5" xfId="13542" xr:uid="{CF1C72D9-AFC5-4BF2-85C6-CEF6A187EFBE}"/>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20318" xr:uid="{D11B0FEF-29FF-4581-A360-E7B1BF6C438A}"/>
    <cellStyle name="Normal 2 4 2 4 3 3 2 3" xfId="11889" xr:uid="{AB2B4913-150A-4CBF-BD77-F4CAEEA703CE}"/>
    <cellStyle name="Normal 2 4 2 4 3 3 2 4" xfId="16100" xr:uid="{AE42EAE1-55BE-475B-B6D5-D4456619916C}"/>
    <cellStyle name="Normal 2 4 2 4 3 3 3" xfId="5512" xr:uid="{00000000-0005-0000-0000-0000670F0000}"/>
    <cellStyle name="Normal 2 4 2 4 3 3 3 2" xfId="18173" xr:uid="{F41BD536-7A77-48AF-9A98-BB455354A981}"/>
    <cellStyle name="Normal 2 4 2 4 3 3 4" xfId="9744" xr:uid="{C00BCFB3-9EF5-499B-A824-A638AAB9B381}"/>
    <cellStyle name="Normal 2 4 2 4 3 3 5" xfId="13955" xr:uid="{EDCF5EFD-366A-4608-ACF6-8C474AEC7AC8}"/>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20731" xr:uid="{D50A96AC-A56F-437D-A5DC-A41ED1170AFC}"/>
    <cellStyle name="Normal 2 4 2 4 3 4 2 3" xfId="12302" xr:uid="{56B76BFD-7DD4-4EB0-A8F5-F73799AA706F}"/>
    <cellStyle name="Normal 2 4 2 4 3 4 2 4" xfId="16513" xr:uid="{92C11D64-0E4F-403D-AA51-707BA51CE983}"/>
    <cellStyle name="Normal 2 4 2 4 3 4 3" xfId="5925" xr:uid="{00000000-0005-0000-0000-00006B0F0000}"/>
    <cellStyle name="Normal 2 4 2 4 3 4 3 2" xfId="18586" xr:uid="{C7ED22CA-FE5B-4CE8-AA9E-3EA46DF94DD1}"/>
    <cellStyle name="Normal 2 4 2 4 3 4 4" xfId="10157" xr:uid="{E2B2EFF8-3DB5-4C34-A472-ECEE98DD1D95}"/>
    <cellStyle name="Normal 2 4 2 4 3 4 5" xfId="14368" xr:uid="{EB6ADDD5-10B5-460C-9094-A62B85722E7F}"/>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21144" xr:uid="{668F0A3E-841F-4AD1-A6F6-C3C46564803E}"/>
    <cellStyle name="Normal 2 4 2 4 3 5 2 3" xfId="12715" xr:uid="{12203AA0-841C-4AA4-BCC2-CF663D86FFFD}"/>
    <cellStyle name="Normal 2 4 2 4 3 5 2 4" xfId="16926" xr:uid="{9B51376F-9504-4186-A8D4-5585C1F0D5AB}"/>
    <cellStyle name="Normal 2 4 2 4 3 5 3" xfId="6338" xr:uid="{00000000-0005-0000-0000-00006F0F0000}"/>
    <cellStyle name="Normal 2 4 2 4 3 5 3 2" xfId="18999" xr:uid="{8A9908F5-42C2-496D-8218-67B12816AA4C}"/>
    <cellStyle name="Normal 2 4 2 4 3 5 4" xfId="10570" xr:uid="{820C1C90-771A-4CA0-B7F2-A8601EF8C342}"/>
    <cellStyle name="Normal 2 4 2 4 3 5 5" xfId="14781" xr:uid="{B1CB89A1-EC46-46A0-8AC6-22F34181DF95}"/>
    <cellStyle name="Normal 2 4 2 4 3 6" xfId="2468" xr:uid="{00000000-0005-0000-0000-0000700F0000}"/>
    <cellStyle name="Normal 2 4 2 4 3 6 2" xfId="6751" xr:uid="{00000000-0005-0000-0000-0000710F0000}"/>
    <cellStyle name="Normal 2 4 2 4 3 6 2 2" xfId="19412" xr:uid="{D1325190-3551-4475-AC35-B88A4B8EF099}"/>
    <cellStyle name="Normal 2 4 2 4 3 6 3" xfId="10983" xr:uid="{D842DE55-C25C-40BF-92A2-8409AE4B9692}"/>
    <cellStyle name="Normal 2 4 2 4 3 6 4" xfId="15194" xr:uid="{7D9826D8-0339-44D4-9B43-62B9FF968FD4}"/>
    <cellStyle name="Normal 2 4 2 4 3 7" xfId="4685" xr:uid="{00000000-0005-0000-0000-0000720F0000}"/>
    <cellStyle name="Normal 2 4 2 4 3 7 2" xfId="17346" xr:uid="{5F0FC5F9-3238-4186-9490-0E95A61FCBA9}"/>
    <cellStyle name="Normal 2 4 2 4 3 8" xfId="8917" xr:uid="{A9782334-1A86-48A6-9CA3-95F01D1D4492}"/>
    <cellStyle name="Normal 2 4 2 4 3 9" xfId="13128" xr:uid="{C80C74C3-0FA9-4EA0-89C7-89B79B17B6B4}"/>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9902" xr:uid="{EF507E42-C8CE-4F13-980F-4B1EF7E124CC}"/>
    <cellStyle name="Normal 2 4 2 4 4 2 3" xfId="11473" xr:uid="{56738DA7-EDD7-4E1E-A340-FED265396440}"/>
    <cellStyle name="Normal 2 4 2 4 4 2 4" xfId="15684" xr:uid="{4534343D-F88E-4991-A3A4-B18461582651}"/>
    <cellStyle name="Normal 2 4 2 4 4 3" xfId="5096" xr:uid="{00000000-0005-0000-0000-0000760F0000}"/>
    <cellStyle name="Normal 2 4 2 4 4 3 2" xfId="17757" xr:uid="{39D44EEA-B0EC-4183-A093-D164101A9338}"/>
    <cellStyle name="Normal 2 4 2 4 4 4" xfId="9328" xr:uid="{3C25B8C6-AC4F-43F1-82D4-C5B15F2319BA}"/>
    <cellStyle name="Normal 2 4 2 4 4 5" xfId="13539" xr:uid="{7D2CE5D9-B109-4C27-ADBB-07132D8FFE95}"/>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20315" xr:uid="{548ED186-498D-402D-BD2D-DA9AC31E7292}"/>
    <cellStyle name="Normal 2 4 2 4 5 2 3" xfId="11886" xr:uid="{6C4EEE3A-2AFC-43A3-BFFE-E5763EB99446}"/>
    <cellStyle name="Normal 2 4 2 4 5 2 4" xfId="16097" xr:uid="{B59818B9-0F21-4964-A3A7-623CFCC4E9B5}"/>
    <cellStyle name="Normal 2 4 2 4 5 3" xfId="5509" xr:uid="{00000000-0005-0000-0000-00007A0F0000}"/>
    <cellStyle name="Normal 2 4 2 4 5 3 2" xfId="18170" xr:uid="{B025F3FC-97C7-44B1-8748-E96000153E9E}"/>
    <cellStyle name="Normal 2 4 2 4 5 4" xfId="9741" xr:uid="{9069147B-5E47-4850-9015-62E0D3F4136F}"/>
    <cellStyle name="Normal 2 4 2 4 5 5" xfId="13952" xr:uid="{595AEFD5-7BC2-441A-A8C6-8E5B4228874D}"/>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20728" xr:uid="{DA6305FD-4144-4578-9E0A-05F06AE18E4B}"/>
    <cellStyle name="Normal 2 4 2 4 6 2 3" xfId="12299" xr:uid="{40A5130A-3960-4FAA-9508-32F81700F4F0}"/>
    <cellStyle name="Normal 2 4 2 4 6 2 4" xfId="16510" xr:uid="{A2A1DE43-A02A-4B0B-B98B-16DCF3EE6CA2}"/>
    <cellStyle name="Normal 2 4 2 4 6 3" xfId="5922" xr:uid="{00000000-0005-0000-0000-00007E0F0000}"/>
    <cellStyle name="Normal 2 4 2 4 6 3 2" xfId="18583" xr:uid="{66939AEF-F2F6-44BE-B470-B985D15CB556}"/>
    <cellStyle name="Normal 2 4 2 4 6 4" xfId="10154" xr:uid="{17AD7D47-87B7-4A39-9CC2-D9BA6E38D341}"/>
    <cellStyle name="Normal 2 4 2 4 6 5" xfId="14365" xr:uid="{51422256-EB3F-44FF-94A8-9023E6CB997A}"/>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21141" xr:uid="{FE839242-80B1-4F4B-B3C5-0BF038DFEED5}"/>
    <cellStyle name="Normal 2 4 2 4 7 2 3" xfId="12712" xr:uid="{843BFF72-6D00-44C0-945C-A53E722AEB79}"/>
    <cellStyle name="Normal 2 4 2 4 7 2 4" xfId="16923" xr:uid="{5A043AAA-2E7D-4F2E-8D68-288BD2672D0A}"/>
    <cellStyle name="Normal 2 4 2 4 7 3" xfId="6335" xr:uid="{00000000-0005-0000-0000-0000820F0000}"/>
    <cellStyle name="Normal 2 4 2 4 7 3 2" xfId="18996" xr:uid="{ABC369D2-A4BA-4AD2-AB8D-2F9BF49112B3}"/>
    <cellStyle name="Normal 2 4 2 4 7 4" xfId="10567" xr:uid="{F202BFAB-1D69-49D9-948F-8D80546C7128}"/>
    <cellStyle name="Normal 2 4 2 4 7 5" xfId="14778" xr:uid="{0AC9D9AB-8849-4558-B776-F440D99FE969}"/>
    <cellStyle name="Normal 2 4 2 4 8" xfId="2465" xr:uid="{00000000-0005-0000-0000-0000830F0000}"/>
    <cellStyle name="Normal 2 4 2 4 8 2" xfId="6748" xr:uid="{00000000-0005-0000-0000-0000840F0000}"/>
    <cellStyle name="Normal 2 4 2 4 8 2 2" xfId="19409" xr:uid="{89F78465-3EAA-4E57-A191-E45A636E03F7}"/>
    <cellStyle name="Normal 2 4 2 4 8 3" xfId="10980" xr:uid="{0EF0D08D-C594-4F54-AE0B-55DEAB356DB7}"/>
    <cellStyle name="Normal 2 4 2 4 8 4" xfId="15191" xr:uid="{D4EA8119-FFCE-4A79-A4E7-FC4A41B18134}"/>
    <cellStyle name="Normal 2 4 2 4 9" xfId="4682" xr:uid="{00000000-0005-0000-0000-0000850F0000}"/>
    <cellStyle name="Normal 2 4 2 4 9 2" xfId="17343" xr:uid="{E8719D0D-9000-4A1B-A9F2-79FA796C3C73}"/>
    <cellStyle name="Normal 2 4 2 5" xfId="293" xr:uid="{00000000-0005-0000-0000-0000860F0000}"/>
    <cellStyle name="Normal 2 4 2 5 10" xfId="13129" xr:uid="{8AE9A945-EEB9-4DA0-AF38-0CDD99C97EBA}"/>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9907" xr:uid="{D96F566E-2FC4-4ACF-BF5C-0CA6A134C5D1}"/>
    <cellStyle name="Normal 2 4 2 5 2 2 2 3" xfId="11478" xr:uid="{C8FE947B-6EE9-4965-A06C-609232BA561B}"/>
    <cellStyle name="Normal 2 4 2 5 2 2 2 4" xfId="15689" xr:uid="{F7CA9F97-BADC-4983-9436-35E2E0A1548E}"/>
    <cellStyle name="Normal 2 4 2 5 2 2 3" xfId="5101" xr:uid="{00000000-0005-0000-0000-00008B0F0000}"/>
    <cellStyle name="Normal 2 4 2 5 2 2 3 2" xfId="17762" xr:uid="{B7171AF1-FC0E-4B55-85C1-B2C691DB8C97}"/>
    <cellStyle name="Normal 2 4 2 5 2 2 4" xfId="9333" xr:uid="{C35D0CA5-8078-4D78-8644-34419769D5FB}"/>
    <cellStyle name="Normal 2 4 2 5 2 2 5" xfId="13544" xr:uid="{3ECFE0F5-CF03-4AA3-A414-68E17B6DA341}"/>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20320" xr:uid="{7E687269-08F3-43D1-8ABC-3B83800DF06D}"/>
    <cellStyle name="Normal 2 4 2 5 2 3 2 3" xfId="11891" xr:uid="{E67CF5F0-7E51-4C98-A48F-009B00BE8B02}"/>
    <cellStyle name="Normal 2 4 2 5 2 3 2 4" xfId="16102" xr:uid="{5E47801B-22AA-410D-A9EB-0BCCC5485571}"/>
    <cellStyle name="Normal 2 4 2 5 2 3 3" xfId="5514" xr:uid="{00000000-0005-0000-0000-00008F0F0000}"/>
    <cellStyle name="Normal 2 4 2 5 2 3 3 2" xfId="18175" xr:uid="{3CF05844-E7C4-4E71-B21C-94811E4AEFC6}"/>
    <cellStyle name="Normal 2 4 2 5 2 3 4" xfId="9746" xr:uid="{B3F41759-53EB-4CB6-AD3B-ED7C05F81197}"/>
    <cellStyle name="Normal 2 4 2 5 2 3 5" xfId="13957" xr:uid="{BC096F24-E53B-429C-B1B1-624EA2189AAA}"/>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20733" xr:uid="{19031512-5DDA-4834-941C-1FBC83212B84}"/>
    <cellStyle name="Normal 2 4 2 5 2 4 2 3" xfId="12304" xr:uid="{00CCB9AE-3F8E-45F6-8E27-465A7165514C}"/>
    <cellStyle name="Normal 2 4 2 5 2 4 2 4" xfId="16515" xr:uid="{39BB0ACB-7530-4EEC-9FFD-69C2C16F7F22}"/>
    <cellStyle name="Normal 2 4 2 5 2 4 3" xfId="5927" xr:uid="{00000000-0005-0000-0000-0000930F0000}"/>
    <cellStyle name="Normal 2 4 2 5 2 4 3 2" xfId="18588" xr:uid="{18D6377E-5893-4B11-B005-A7FA781F69B3}"/>
    <cellStyle name="Normal 2 4 2 5 2 4 4" xfId="10159" xr:uid="{46423625-F06D-4A99-B4EF-2B5C86E4BA86}"/>
    <cellStyle name="Normal 2 4 2 5 2 4 5" xfId="14370" xr:uid="{27A4514E-8B0F-4F50-A1B7-B7F190425F3E}"/>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21146" xr:uid="{381A3126-DDC2-4B78-91BA-45F0CB5A97DA}"/>
    <cellStyle name="Normal 2 4 2 5 2 5 2 3" xfId="12717" xr:uid="{A22B9978-9B96-472D-B79E-60DCCC6D42F2}"/>
    <cellStyle name="Normal 2 4 2 5 2 5 2 4" xfId="16928" xr:uid="{3D4089CE-E8C0-44CC-BFAA-B25F89B9EED5}"/>
    <cellStyle name="Normal 2 4 2 5 2 5 3" xfId="6340" xr:uid="{00000000-0005-0000-0000-0000970F0000}"/>
    <cellStyle name="Normal 2 4 2 5 2 5 3 2" xfId="19001" xr:uid="{8FBA42F6-0444-41BB-8F2B-02CCF5D4E97A}"/>
    <cellStyle name="Normal 2 4 2 5 2 5 4" xfId="10572" xr:uid="{0A26B809-B5ED-4623-B459-EA0D64929391}"/>
    <cellStyle name="Normal 2 4 2 5 2 5 5" xfId="14783" xr:uid="{417A1E1F-A67F-4FBE-A5D9-A0C835A0CCF1}"/>
    <cellStyle name="Normal 2 4 2 5 2 6" xfId="2470" xr:uid="{00000000-0005-0000-0000-0000980F0000}"/>
    <cellStyle name="Normal 2 4 2 5 2 6 2" xfId="6753" xr:uid="{00000000-0005-0000-0000-0000990F0000}"/>
    <cellStyle name="Normal 2 4 2 5 2 6 2 2" xfId="19414" xr:uid="{225E9F0B-CF4D-487E-8ED6-A32F8BC0728D}"/>
    <cellStyle name="Normal 2 4 2 5 2 6 3" xfId="10985" xr:uid="{0883D778-0ABB-49DF-AEDD-D622AEA9D62C}"/>
    <cellStyle name="Normal 2 4 2 5 2 6 4" xfId="15196" xr:uid="{FDB3D2D0-07DF-4B95-B1CE-27EA6BCB3204}"/>
    <cellStyle name="Normal 2 4 2 5 2 7" xfId="4687" xr:uid="{00000000-0005-0000-0000-00009A0F0000}"/>
    <cellStyle name="Normal 2 4 2 5 2 7 2" xfId="17348" xr:uid="{A7BDC072-2E5F-44CC-8398-B1555F8221EB}"/>
    <cellStyle name="Normal 2 4 2 5 2 8" xfId="8919" xr:uid="{E78ADE63-BC03-4478-ABA6-980176B4148C}"/>
    <cellStyle name="Normal 2 4 2 5 2 9" xfId="13130" xr:uid="{D5F40DC1-52DF-4B32-B178-C483FBBB94C3}"/>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9906" xr:uid="{CA7A533B-5E26-40EE-8592-D5016E5CFE28}"/>
    <cellStyle name="Normal 2 4 2 5 3 2 3" xfId="11477" xr:uid="{FEE52A6A-3CE5-4FDB-BC37-EF0756084C6C}"/>
    <cellStyle name="Normal 2 4 2 5 3 2 4" xfId="15688" xr:uid="{76DB9499-DC8B-4C6F-AADF-03D0EBCEF6F2}"/>
    <cellStyle name="Normal 2 4 2 5 3 3" xfId="5100" xr:uid="{00000000-0005-0000-0000-00009E0F0000}"/>
    <cellStyle name="Normal 2 4 2 5 3 3 2" xfId="17761" xr:uid="{4745E279-6E11-4D06-8911-A1A52E4903E7}"/>
    <cellStyle name="Normal 2 4 2 5 3 4" xfId="9332" xr:uid="{C5D71594-3DF5-4687-95F4-C164567090B9}"/>
    <cellStyle name="Normal 2 4 2 5 3 5" xfId="13543" xr:uid="{9E45245D-6CD5-4FF7-AD54-4C13E39561E2}"/>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20319" xr:uid="{6F09BA28-B5CF-4685-AC1F-F00E26755EB3}"/>
    <cellStyle name="Normal 2 4 2 5 4 2 3" xfId="11890" xr:uid="{0FF630F9-B581-40B8-9BC8-161AE537F058}"/>
    <cellStyle name="Normal 2 4 2 5 4 2 4" xfId="16101" xr:uid="{97816B3C-4A87-4B2C-9BF9-BAB8A6CF8D30}"/>
    <cellStyle name="Normal 2 4 2 5 4 3" xfId="5513" xr:uid="{00000000-0005-0000-0000-0000A20F0000}"/>
    <cellStyle name="Normal 2 4 2 5 4 3 2" xfId="18174" xr:uid="{74D24312-D5EB-4EB0-91D1-0066DADA8FAD}"/>
    <cellStyle name="Normal 2 4 2 5 4 4" xfId="9745" xr:uid="{757A2C7C-492E-4F06-8E5A-65A61400B5FC}"/>
    <cellStyle name="Normal 2 4 2 5 4 5" xfId="13956" xr:uid="{0DF74832-B0C7-49CB-80FD-A58D5B5496F8}"/>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20732" xr:uid="{BFA1E09F-0D2C-4CDE-9BBC-BEB837792954}"/>
    <cellStyle name="Normal 2 4 2 5 5 2 3" xfId="12303" xr:uid="{FD957FAE-F724-4E3C-A2D9-F0A7FBCDB656}"/>
    <cellStyle name="Normal 2 4 2 5 5 2 4" xfId="16514" xr:uid="{D19682DE-A517-4A16-A1B0-79D47B1DAD9A}"/>
    <cellStyle name="Normal 2 4 2 5 5 3" xfId="5926" xr:uid="{00000000-0005-0000-0000-0000A60F0000}"/>
    <cellStyle name="Normal 2 4 2 5 5 3 2" xfId="18587" xr:uid="{BEAF4CF5-C119-4B7B-B048-C2A362C32CBD}"/>
    <cellStyle name="Normal 2 4 2 5 5 4" xfId="10158" xr:uid="{42ECBA1B-7434-4424-9537-16A731C0D87C}"/>
    <cellStyle name="Normal 2 4 2 5 5 5" xfId="14369" xr:uid="{946936A2-5D1F-4933-8FCC-ED981E5DE7E0}"/>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21145" xr:uid="{B9BEAEB8-83B9-4665-B5C0-91F2ACAC0ECE}"/>
    <cellStyle name="Normal 2 4 2 5 6 2 3" xfId="12716" xr:uid="{A5BCEEE6-16DB-4074-A5B4-3C983062864E}"/>
    <cellStyle name="Normal 2 4 2 5 6 2 4" xfId="16927" xr:uid="{C1343F1D-7C7F-4DCC-8B84-F5A70A0483E0}"/>
    <cellStyle name="Normal 2 4 2 5 6 3" xfId="6339" xr:uid="{00000000-0005-0000-0000-0000AA0F0000}"/>
    <cellStyle name="Normal 2 4 2 5 6 3 2" xfId="19000" xr:uid="{99D91DF4-0400-4B19-84D4-83DEC2ABE399}"/>
    <cellStyle name="Normal 2 4 2 5 6 4" xfId="10571" xr:uid="{A1091DAE-F28C-43E4-9EEA-512C8BC9B709}"/>
    <cellStyle name="Normal 2 4 2 5 6 5" xfId="14782" xr:uid="{C12F406F-B992-4A0F-9E85-5ECCA4F0569B}"/>
    <cellStyle name="Normal 2 4 2 5 7" xfId="2469" xr:uid="{00000000-0005-0000-0000-0000AB0F0000}"/>
    <cellStyle name="Normal 2 4 2 5 7 2" xfId="6752" xr:uid="{00000000-0005-0000-0000-0000AC0F0000}"/>
    <cellStyle name="Normal 2 4 2 5 7 2 2" xfId="19413" xr:uid="{FC824540-F889-47EE-B382-2431D8F6135C}"/>
    <cellStyle name="Normal 2 4 2 5 7 3" xfId="10984" xr:uid="{5C4E9CC9-D05C-4CC6-91FD-7EE4A99A2382}"/>
    <cellStyle name="Normal 2 4 2 5 7 4" xfId="15195" xr:uid="{D1C4020A-03A4-4BE0-BCD5-A6B02D37BC66}"/>
    <cellStyle name="Normal 2 4 2 5 8" xfId="4686" xr:uid="{00000000-0005-0000-0000-0000AD0F0000}"/>
    <cellStyle name="Normal 2 4 2 5 8 2" xfId="17347" xr:uid="{770B5E2B-8695-4BC1-A76A-7F6266B12ECA}"/>
    <cellStyle name="Normal 2 4 2 5 9" xfId="8918" xr:uid="{B970F62E-B126-4F7F-8CF6-2F71D4139032}"/>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9908" xr:uid="{F2EB50AE-812D-4D73-B4A2-120014C69FE8}"/>
    <cellStyle name="Normal 2 4 2 6 2 2 3" xfId="11479" xr:uid="{5C64AB2F-2ADA-481E-B58F-C2F239BE43EC}"/>
    <cellStyle name="Normal 2 4 2 6 2 2 4" xfId="15690" xr:uid="{44951E2C-F823-4D46-94E9-D55004782A83}"/>
    <cellStyle name="Normal 2 4 2 6 2 3" xfId="5102" xr:uid="{00000000-0005-0000-0000-0000B20F0000}"/>
    <cellStyle name="Normal 2 4 2 6 2 3 2" xfId="17763" xr:uid="{70B9400E-A451-4522-AFD7-6512B01C9AF7}"/>
    <cellStyle name="Normal 2 4 2 6 2 4" xfId="9334" xr:uid="{4906EA63-80FF-4207-9A0C-9DF92E2FF6B7}"/>
    <cellStyle name="Normal 2 4 2 6 2 5" xfId="13545" xr:uid="{591B17BC-E207-4CB5-A0EB-9FD48087D6C7}"/>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20321" xr:uid="{FC5869FC-8FFA-4E69-BC4A-CD3C2BC091E0}"/>
    <cellStyle name="Normal 2 4 2 6 3 2 3" xfId="11892" xr:uid="{B4A84B23-2748-46D0-BF03-1F514AD8B2E6}"/>
    <cellStyle name="Normal 2 4 2 6 3 2 4" xfId="16103" xr:uid="{393B055A-7EA9-452D-A9DA-48CCE0C193CA}"/>
    <cellStyle name="Normal 2 4 2 6 3 3" xfId="5515" xr:uid="{00000000-0005-0000-0000-0000B60F0000}"/>
    <cellStyle name="Normal 2 4 2 6 3 3 2" xfId="18176" xr:uid="{B3114275-5F02-4B93-B5BE-0CF8267F64E3}"/>
    <cellStyle name="Normal 2 4 2 6 3 4" xfId="9747" xr:uid="{BF0F32AF-A332-4C53-B4A2-5C2B0C6C22FC}"/>
    <cellStyle name="Normal 2 4 2 6 3 5" xfId="13958" xr:uid="{E0E541EF-498E-409E-AB42-A282B7C46A26}"/>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20734" xr:uid="{A8ABAC61-749E-4623-9C85-5A07D6A48A3C}"/>
    <cellStyle name="Normal 2 4 2 6 4 2 3" xfId="12305" xr:uid="{71C1B578-6630-49F1-9728-66F5B7F43D6A}"/>
    <cellStyle name="Normal 2 4 2 6 4 2 4" xfId="16516" xr:uid="{26C4177C-7DB5-42A9-A8E0-B825A25C2562}"/>
    <cellStyle name="Normal 2 4 2 6 4 3" xfId="5928" xr:uid="{00000000-0005-0000-0000-0000BA0F0000}"/>
    <cellStyle name="Normal 2 4 2 6 4 3 2" xfId="18589" xr:uid="{7B3991F9-992C-480F-8987-6130661B2882}"/>
    <cellStyle name="Normal 2 4 2 6 4 4" xfId="10160" xr:uid="{CCC7129F-E69D-4C95-AC4B-7C090AD1A16F}"/>
    <cellStyle name="Normal 2 4 2 6 4 5" xfId="14371" xr:uid="{811FD010-9E05-4462-8E21-CBD3E45A1EE0}"/>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21147" xr:uid="{54316B4B-D1D7-4A20-83C5-55F14F4DE21A}"/>
    <cellStyle name="Normal 2 4 2 6 5 2 3" xfId="12718" xr:uid="{0984A0AF-17B0-44FD-A00A-A98E5FE41074}"/>
    <cellStyle name="Normal 2 4 2 6 5 2 4" xfId="16929" xr:uid="{84ED46A1-B0E9-4CEE-B83D-396750088367}"/>
    <cellStyle name="Normal 2 4 2 6 5 3" xfId="6341" xr:uid="{00000000-0005-0000-0000-0000BE0F0000}"/>
    <cellStyle name="Normal 2 4 2 6 5 3 2" xfId="19002" xr:uid="{617262FB-D7A3-4C7A-8E80-E8C0D0517C0D}"/>
    <cellStyle name="Normal 2 4 2 6 5 4" xfId="10573" xr:uid="{D22A5C88-B578-41E3-A58A-EDFA3ED92B37}"/>
    <cellStyle name="Normal 2 4 2 6 5 5" xfId="14784" xr:uid="{42FBE2A3-1A8D-4455-86BA-4DC901B23E81}"/>
    <cellStyle name="Normal 2 4 2 6 6" xfId="2471" xr:uid="{00000000-0005-0000-0000-0000BF0F0000}"/>
    <cellStyle name="Normal 2 4 2 6 6 2" xfId="6754" xr:uid="{00000000-0005-0000-0000-0000C00F0000}"/>
    <cellStyle name="Normal 2 4 2 6 6 2 2" xfId="19415" xr:uid="{2B98EC86-90BF-4C07-9D77-A9619B661F71}"/>
    <cellStyle name="Normal 2 4 2 6 6 3" xfId="10986" xr:uid="{E89D15E3-BF19-42DE-A2E5-F972ABCCD49A}"/>
    <cellStyle name="Normal 2 4 2 6 6 4" xfId="15197" xr:uid="{DA8DA908-E588-4FE6-8863-A773DD1571E9}"/>
    <cellStyle name="Normal 2 4 2 6 7" xfId="4688" xr:uid="{00000000-0005-0000-0000-0000C10F0000}"/>
    <cellStyle name="Normal 2 4 2 6 7 2" xfId="17349" xr:uid="{2C1BDD61-6450-4780-A5DD-AE49B39C68FD}"/>
    <cellStyle name="Normal 2 4 2 6 8" xfId="8920" xr:uid="{9D76822B-3AA7-4A2F-BBE9-7E0223CF7F75}"/>
    <cellStyle name="Normal 2 4 2 6 9" xfId="13131" xr:uid="{F5B61FA7-7559-4A1F-A88D-019520B8BF2C}"/>
    <cellStyle name="Normal 2 4 2 7" xfId="771" xr:uid="{00000000-0005-0000-0000-0000C20F0000}"/>
    <cellStyle name="Normal 2 4 2 7 2" xfId="3010" xr:uid="{00000000-0005-0000-0000-0000C30F0000}"/>
    <cellStyle name="Normal 2 4 2 7 2 2" xfId="7232" xr:uid="{00000000-0005-0000-0000-0000C40F0000}"/>
    <cellStyle name="Normal 2 4 2 7 2 2 2" xfId="19893" xr:uid="{A3CA30DD-43C6-44A4-9003-E643E2E8E83A}"/>
    <cellStyle name="Normal 2 4 2 7 2 3" xfId="11464" xr:uid="{D7130DF8-9B10-4151-A884-1ECC8D3CFF4F}"/>
    <cellStyle name="Normal 2 4 2 7 2 4" xfId="15675" xr:uid="{DF85A268-4F84-4F2A-B8FB-6A42C43D4808}"/>
    <cellStyle name="Normal 2 4 2 7 3" xfId="5087" xr:uid="{00000000-0005-0000-0000-0000C50F0000}"/>
    <cellStyle name="Normal 2 4 2 7 3 2" xfId="17748" xr:uid="{7CF93F98-BC0B-4DB1-A290-1ECFAC8D0F10}"/>
    <cellStyle name="Normal 2 4 2 7 4" xfId="9319" xr:uid="{872018D6-C988-43C8-A5EA-07A69A6C0778}"/>
    <cellStyle name="Normal 2 4 2 7 5" xfId="13530" xr:uid="{A6FB26A1-561D-4020-8662-57948CD79E55}"/>
    <cellStyle name="Normal 2 4 2 8" xfId="1193" xr:uid="{00000000-0005-0000-0000-0000C60F0000}"/>
    <cellStyle name="Normal 2 4 2 8 2" xfId="3423" xr:uid="{00000000-0005-0000-0000-0000C70F0000}"/>
    <cellStyle name="Normal 2 4 2 8 2 2" xfId="7645" xr:uid="{00000000-0005-0000-0000-0000C80F0000}"/>
    <cellStyle name="Normal 2 4 2 8 2 2 2" xfId="20306" xr:uid="{F8BA07C0-B893-4C87-851B-5893B7C8C1EA}"/>
    <cellStyle name="Normal 2 4 2 8 2 3" xfId="11877" xr:uid="{DAA9C8F1-6C09-48CA-BFBB-22FE18289F46}"/>
    <cellStyle name="Normal 2 4 2 8 2 4" xfId="16088" xr:uid="{B0BC811F-AED9-4BC3-A80A-390F9DD62122}"/>
    <cellStyle name="Normal 2 4 2 8 3" xfId="5500" xr:uid="{00000000-0005-0000-0000-0000C90F0000}"/>
    <cellStyle name="Normal 2 4 2 8 3 2" xfId="18161" xr:uid="{F7828A69-24F2-4B8C-9606-FF094456B35B}"/>
    <cellStyle name="Normal 2 4 2 8 4" xfId="9732" xr:uid="{518AC654-D1F1-46C6-9B7F-4D23D7FD6928}"/>
    <cellStyle name="Normal 2 4 2 8 5" xfId="13943" xr:uid="{D5EAE4D9-22DC-4531-A578-E970EB5C024C}"/>
    <cellStyle name="Normal 2 4 2 9" xfId="1606" xr:uid="{00000000-0005-0000-0000-0000CA0F0000}"/>
    <cellStyle name="Normal 2 4 2 9 2" xfId="3836" xr:uid="{00000000-0005-0000-0000-0000CB0F0000}"/>
    <cellStyle name="Normal 2 4 2 9 2 2" xfId="8058" xr:uid="{00000000-0005-0000-0000-0000CC0F0000}"/>
    <cellStyle name="Normal 2 4 2 9 2 2 2" xfId="20719" xr:uid="{125E7A93-0AD7-49DA-A5E8-E211E7F2D8F9}"/>
    <cellStyle name="Normal 2 4 2 9 2 3" xfId="12290" xr:uid="{C65F2E54-1DC6-4532-9F8A-D5693A8F4036}"/>
    <cellStyle name="Normal 2 4 2 9 2 4" xfId="16501" xr:uid="{D7E980AF-C0C5-4BC9-BB72-2B35B3105832}"/>
    <cellStyle name="Normal 2 4 2 9 3" xfId="5913" xr:uid="{00000000-0005-0000-0000-0000CD0F0000}"/>
    <cellStyle name="Normal 2 4 2 9 3 2" xfId="18574" xr:uid="{C7DA2411-B0D2-4F40-9903-3CE3C58AB303}"/>
    <cellStyle name="Normal 2 4 2 9 4" xfId="10145" xr:uid="{597E4BC8-1564-42DE-8DDA-7E7B61F896C9}"/>
    <cellStyle name="Normal 2 4 2 9 5" xfId="14356" xr:uid="{80A5B2BA-1BBA-4F72-A379-1825345D1E72}"/>
    <cellStyle name="Normal 2 4 3" xfId="296" xr:uid="{00000000-0005-0000-0000-0000CE0F0000}"/>
    <cellStyle name="Normal 2 4 3 10" xfId="8921" xr:uid="{8ACF79BC-6B49-4080-B15C-AE665838A2BD}"/>
    <cellStyle name="Normal 2 4 3 11" xfId="13132" xr:uid="{EA2F57C8-966F-4100-B082-DF139DE4FEAA}"/>
    <cellStyle name="Normal 2 4 3 2" xfId="297" xr:uid="{00000000-0005-0000-0000-0000CF0F0000}"/>
    <cellStyle name="Normal 2 4 3 3" xfId="298" xr:uid="{00000000-0005-0000-0000-0000D00F0000}"/>
    <cellStyle name="Normal 2 4 3 3 10" xfId="8922" xr:uid="{A7EF6999-0880-4894-98AD-53E484915427}"/>
    <cellStyle name="Normal 2 4 3 3 11" xfId="13133" xr:uid="{85890A88-C2BB-4EA7-84D4-3E639EEB29FF}"/>
    <cellStyle name="Normal 2 4 3 3 2" xfId="299" xr:uid="{00000000-0005-0000-0000-0000D10F0000}"/>
    <cellStyle name="Normal 2 4 3 3 2 10" xfId="13134" xr:uid="{7E27C1FF-D5C2-41DA-BCB3-7849B33FD0A3}"/>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9912" xr:uid="{E34E3888-111E-4114-84BB-DA625316A4D6}"/>
    <cellStyle name="Normal 2 4 3 3 2 2 2 2 3" xfId="11483" xr:uid="{26A05B76-C810-40B4-BDA1-7B9DD5F90427}"/>
    <cellStyle name="Normal 2 4 3 3 2 2 2 2 4" xfId="15694" xr:uid="{5A80A69C-B5DF-47A6-A33D-92AE0ECB589D}"/>
    <cellStyle name="Normal 2 4 3 3 2 2 2 3" xfId="5106" xr:uid="{00000000-0005-0000-0000-0000D60F0000}"/>
    <cellStyle name="Normal 2 4 3 3 2 2 2 3 2" xfId="17767" xr:uid="{9ACEABCA-FF22-4A70-8B5E-2FE3746EF3BE}"/>
    <cellStyle name="Normal 2 4 3 3 2 2 2 4" xfId="9338" xr:uid="{0DD2B69C-F578-4B74-9EAF-5BB89F5D6A37}"/>
    <cellStyle name="Normal 2 4 3 3 2 2 2 5" xfId="13549" xr:uid="{B44268D2-A63E-4AA6-BCB1-441D31C8336F}"/>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20325" xr:uid="{DC86E9AE-AFD1-4920-8865-7458F9B9C197}"/>
    <cellStyle name="Normal 2 4 3 3 2 2 3 2 3" xfId="11896" xr:uid="{47C8F7EA-73A5-4289-A734-90EA3481A929}"/>
    <cellStyle name="Normal 2 4 3 3 2 2 3 2 4" xfId="16107" xr:uid="{61CF509E-C797-4B3F-BDB8-15E19CBBBEE0}"/>
    <cellStyle name="Normal 2 4 3 3 2 2 3 3" xfId="5519" xr:uid="{00000000-0005-0000-0000-0000DA0F0000}"/>
    <cellStyle name="Normal 2 4 3 3 2 2 3 3 2" xfId="18180" xr:uid="{65A38400-823B-499E-9643-18B1AEBE499D}"/>
    <cellStyle name="Normal 2 4 3 3 2 2 3 4" xfId="9751" xr:uid="{158B8236-17F3-4985-8AB4-328A8B579CC5}"/>
    <cellStyle name="Normal 2 4 3 3 2 2 3 5" xfId="13962" xr:uid="{46C9BE0F-F97D-401D-AFA6-F8894D368A64}"/>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20738" xr:uid="{DC7811E1-048B-4D40-ACDA-59EBAC5ACFBE}"/>
    <cellStyle name="Normal 2 4 3 3 2 2 4 2 3" xfId="12309" xr:uid="{C458F73D-2E52-4A4D-A70E-F103F25EB401}"/>
    <cellStyle name="Normal 2 4 3 3 2 2 4 2 4" xfId="16520" xr:uid="{641B9F95-97A0-4ED3-B72A-D94990B1A6EE}"/>
    <cellStyle name="Normal 2 4 3 3 2 2 4 3" xfId="5932" xr:uid="{00000000-0005-0000-0000-0000DE0F0000}"/>
    <cellStyle name="Normal 2 4 3 3 2 2 4 3 2" xfId="18593" xr:uid="{22F28479-2C60-413E-B2DE-839AA5AA6DB2}"/>
    <cellStyle name="Normal 2 4 3 3 2 2 4 4" xfId="10164" xr:uid="{BF19C102-4092-4FFB-9245-35861A46803E}"/>
    <cellStyle name="Normal 2 4 3 3 2 2 4 5" xfId="14375" xr:uid="{03E3DEF2-AE77-40A1-9EFA-95D347A39614}"/>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21151" xr:uid="{E1B468F9-2147-4E99-9D7E-9B77D71B95B0}"/>
    <cellStyle name="Normal 2 4 3 3 2 2 5 2 3" xfId="12722" xr:uid="{100D2775-C6CA-41F6-BCE2-2A66FA131DC0}"/>
    <cellStyle name="Normal 2 4 3 3 2 2 5 2 4" xfId="16933" xr:uid="{F5127EE7-5191-4633-AACE-838964690A97}"/>
    <cellStyle name="Normal 2 4 3 3 2 2 5 3" xfId="6345" xr:uid="{00000000-0005-0000-0000-0000E20F0000}"/>
    <cellStyle name="Normal 2 4 3 3 2 2 5 3 2" xfId="19006" xr:uid="{69A6C831-8D06-47B8-B3C7-0F409A2E38B3}"/>
    <cellStyle name="Normal 2 4 3 3 2 2 5 4" xfId="10577" xr:uid="{C54E0399-B0A9-40AB-ADF0-3DD8F1F50A94}"/>
    <cellStyle name="Normal 2 4 3 3 2 2 5 5" xfId="14788" xr:uid="{BBE8C653-399A-493E-8336-BEDDA4BF4412}"/>
    <cellStyle name="Normal 2 4 3 3 2 2 6" xfId="2475" xr:uid="{00000000-0005-0000-0000-0000E30F0000}"/>
    <cellStyle name="Normal 2 4 3 3 2 2 6 2" xfId="6758" xr:uid="{00000000-0005-0000-0000-0000E40F0000}"/>
    <cellStyle name="Normal 2 4 3 3 2 2 6 2 2" xfId="19419" xr:uid="{22B12843-8CE2-468A-94BA-1DB2EC22B836}"/>
    <cellStyle name="Normal 2 4 3 3 2 2 6 3" xfId="10990" xr:uid="{79E49757-F29A-46D0-B65D-33A607E5692F}"/>
    <cellStyle name="Normal 2 4 3 3 2 2 6 4" xfId="15201" xr:uid="{BCC913DA-78C9-40FE-B58D-D0BB7A0A4789}"/>
    <cellStyle name="Normal 2 4 3 3 2 2 7" xfId="4692" xr:uid="{00000000-0005-0000-0000-0000E50F0000}"/>
    <cellStyle name="Normal 2 4 3 3 2 2 7 2" xfId="17353" xr:uid="{F14192B4-5302-4990-B29B-D1D60194ABE7}"/>
    <cellStyle name="Normal 2 4 3 3 2 2 8" xfId="8924" xr:uid="{B58D9A71-8E39-4658-A91D-6208E13E848E}"/>
    <cellStyle name="Normal 2 4 3 3 2 2 9" xfId="13135" xr:uid="{0C85E01B-E7C1-4A3B-A594-4D51C0770868}"/>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9911" xr:uid="{B6E87887-EB10-4BFC-9D5D-3EC7520C4DC3}"/>
    <cellStyle name="Normal 2 4 3 3 2 3 2 3" xfId="11482" xr:uid="{28531E59-0490-4AB1-A61C-A45E4AE2DEA5}"/>
    <cellStyle name="Normal 2 4 3 3 2 3 2 4" xfId="15693" xr:uid="{36B4A02E-76F3-4D93-9786-754297C7E929}"/>
    <cellStyle name="Normal 2 4 3 3 2 3 3" xfId="5105" xr:uid="{00000000-0005-0000-0000-0000E90F0000}"/>
    <cellStyle name="Normal 2 4 3 3 2 3 3 2" xfId="17766" xr:uid="{B63CB0DB-FD6E-487B-BC25-99CEDF46C576}"/>
    <cellStyle name="Normal 2 4 3 3 2 3 4" xfId="9337" xr:uid="{ECA6F331-C37B-43CD-A537-71565F298762}"/>
    <cellStyle name="Normal 2 4 3 3 2 3 5" xfId="13548" xr:uid="{49E10917-05FE-46FC-A207-D2787181599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20324" xr:uid="{E733936C-D1D6-46EF-85D2-A5326EDB9695}"/>
    <cellStyle name="Normal 2 4 3 3 2 4 2 3" xfId="11895" xr:uid="{B03FBA4B-C008-4C0C-8493-3344D5A028BA}"/>
    <cellStyle name="Normal 2 4 3 3 2 4 2 4" xfId="16106" xr:uid="{D657A759-81B1-4A80-9D69-8FE05F124756}"/>
    <cellStyle name="Normal 2 4 3 3 2 4 3" xfId="5518" xr:uid="{00000000-0005-0000-0000-0000ED0F0000}"/>
    <cellStyle name="Normal 2 4 3 3 2 4 3 2" xfId="18179" xr:uid="{93A9C223-CCC2-48F5-BADD-F9BE2304553B}"/>
    <cellStyle name="Normal 2 4 3 3 2 4 4" xfId="9750" xr:uid="{5B1C3BDF-62D6-4FA1-944C-A86F8552D6C8}"/>
    <cellStyle name="Normal 2 4 3 3 2 4 5" xfId="13961" xr:uid="{4BCCA824-38C5-4633-821F-7052EE22DED9}"/>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20737" xr:uid="{4154FE79-2D2E-4D7A-A799-A3E78B403925}"/>
    <cellStyle name="Normal 2 4 3 3 2 5 2 3" xfId="12308" xr:uid="{7F7CEE54-A98C-4E03-A43D-1C9A7A40AA29}"/>
    <cellStyle name="Normal 2 4 3 3 2 5 2 4" xfId="16519" xr:uid="{6BE8B5C7-EA7B-4048-9637-400369F83647}"/>
    <cellStyle name="Normal 2 4 3 3 2 5 3" xfId="5931" xr:uid="{00000000-0005-0000-0000-0000F10F0000}"/>
    <cellStyle name="Normal 2 4 3 3 2 5 3 2" xfId="18592" xr:uid="{6D89AD0F-7041-4737-9739-88F70D44480B}"/>
    <cellStyle name="Normal 2 4 3 3 2 5 4" xfId="10163" xr:uid="{0214EFEC-0E8A-4F22-AAA7-5EA0C8215B64}"/>
    <cellStyle name="Normal 2 4 3 3 2 5 5" xfId="14374" xr:uid="{BA8B5844-8E71-4FF6-9F52-498E942C888D}"/>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21150" xr:uid="{AA741558-C197-44C5-97F5-77F8447402F0}"/>
    <cellStyle name="Normal 2 4 3 3 2 6 2 3" xfId="12721" xr:uid="{AB43296B-E7D2-4BA5-900C-AD58F2D9F20D}"/>
    <cellStyle name="Normal 2 4 3 3 2 6 2 4" xfId="16932" xr:uid="{5BAF14A7-412E-4DD2-BE15-EEB4F96A76AC}"/>
    <cellStyle name="Normal 2 4 3 3 2 6 3" xfId="6344" xr:uid="{00000000-0005-0000-0000-0000F50F0000}"/>
    <cellStyle name="Normal 2 4 3 3 2 6 3 2" xfId="19005" xr:uid="{1E6EF01A-33B3-4077-938B-CC5C70285E39}"/>
    <cellStyle name="Normal 2 4 3 3 2 6 4" xfId="10576" xr:uid="{47003949-02EB-40D4-8CB4-FC6026FDA4A8}"/>
    <cellStyle name="Normal 2 4 3 3 2 6 5" xfId="14787" xr:uid="{0E483532-B6A0-4D7B-A96F-64A2FFF39775}"/>
    <cellStyle name="Normal 2 4 3 3 2 7" xfId="2474" xr:uid="{00000000-0005-0000-0000-0000F60F0000}"/>
    <cellStyle name="Normal 2 4 3 3 2 7 2" xfId="6757" xr:uid="{00000000-0005-0000-0000-0000F70F0000}"/>
    <cellStyle name="Normal 2 4 3 3 2 7 2 2" xfId="19418" xr:uid="{C52E0E33-6CA0-4B7B-88AF-C9E8522210E7}"/>
    <cellStyle name="Normal 2 4 3 3 2 7 3" xfId="10989" xr:uid="{55A18AFD-38E2-4518-B057-575DF63BA043}"/>
    <cellStyle name="Normal 2 4 3 3 2 7 4" xfId="15200" xr:uid="{A238B3A3-43DA-4A69-BBC9-F4BB7437DB11}"/>
    <cellStyle name="Normal 2 4 3 3 2 8" xfId="4691" xr:uid="{00000000-0005-0000-0000-0000F80F0000}"/>
    <cellStyle name="Normal 2 4 3 3 2 8 2" xfId="17352" xr:uid="{E0B25A3F-D560-48EB-92DF-7D2BE203E885}"/>
    <cellStyle name="Normal 2 4 3 3 2 9" xfId="8923" xr:uid="{25597042-B0D6-46D2-9419-624B123F8DB2}"/>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9913" xr:uid="{95F279AC-79E4-4882-8246-6C8EC4F42B81}"/>
    <cellStyle name="Normal 2 4 3 3 3 2 2 3" xfId="11484" xr:uid="{95D13C39-B195-464B-95DA-0DF7A4248411}"/>
    <cellStyle name="Normal 2 4 3 3 3 2 2 4" xfId="15695" xr:uid="{4258C30A-FFBC-4365-A0D2-77C0586632C3}"/>
    <cellStyle name="Normal 2 4 3 3 3 2 3" xfId="5107" xr:uid="{00000000-0005-0000-0000-0000FD0F0000}"/>
    <cellStyle name="Normal 2 4 3 3 3 2 3 2" xfId="17768" xr:uid="{C9E5E5B9-15D0-4E2F-9842-DF45A5D7B651}"/>
    <cellStyle name="Normal 2 4 3 3 3 2 4" xfId="9339" xr:uid="{6A3F6FB5-065F-405F-AD0F-0DB5526B4CB7}"/>
    <cellStyle name="Normal 2 4 3 3 3 2 5" xfId="13550" xr:uid="{60FEBA45-A390-401B-B458-01227E0C102A}"/>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20326" xr:uid="{93765FC9-D3A0-437D-BC8B-16760904C90D}"/>
    <cellStyle name="Normal 2 4 3 3 3 3 2 3" xfId="11897" xr:uid="{0D1364AC-1687-4C6F-8FF9-FB503C252A8D}"/>
    <cellStyle name="Normal 2 4 3 3 3 3 2 4" xfId="16108" xr:uid="{AF7342B9-68A5-4630-99F6-9EE1550C3B51}"/>
    <cellStyle name="Normal 2 4 3 3 3 3 3" xfId="5520" xr:uid="{00000000-0005-0000-0000-000001100000}"/>
    <cellStyle name="Normal 2 4 3 3 3 3 3 2" xfId="18181" xr:uid="{3A49CFF9-142B-4BB2-B537-A0EF8866DD21}"/>
    <cellStyle name="Normal 2 4 3 3 3 3 4" xfId="9752" xr:uid="{2BFAF8AB-44E7-421F-B0AA-1D329A07441D}"/>
    <cellStyle name="Normal 2 4 3 3 3 3 5" xfId="13963" xr:uid="{3F9386F5-A1F3-4300-8FFE-0EFDA1A3792F}"/>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20739" xr:uid="{9C8A3CEE-F2B2-4654-90A0-C83DD55B67ED}"/>
    <cellStyle name="Normal 2 4 3 3 3 4 2 3" xfId="12310" xr:uid="{1754173B-4264-4CE5-AE63-6133606BE753}"/>
    <cellStyle name="Normal 2 4 3 3 3 4 2 4" xfId="16521" xr:uid="{719523CB-6E79-45B6-8C66-030A4FF635C8}"/>
    <cellStyle name="Normal 2 4 3 3 3 4 3" xfId="5933" xr:uid="{00000000-0005-0000-0000-000005100000}"/>
    <cellStyle name="Normal 2 4 3 3 3 4 3 2" xfId="18594" xr:uid="{AFAAC3F6-447D-41C2-9275-36B1BB14CB3F}"/>
    <cellStyle name="Normal 2 4 3 3 3 4 4" xfId="10165" xr:uid="{C87326E6-562E-4745-B347-654DA7772F1F}"/>
    <cellStyle name="Normal 2 4 3 3 3 4 5" xfId="14376" xr:uid="{E46B3324-23FC-484F-B428-F89FF0EDF9B3}"/>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21152" xr:uid="{B70D2E6B-A896-4D71-9EA7-B3729A57EEB4}"/>
    <cellStyle name="Normal 2 4 3 3 3 5 2 3" xfId="12723" xr:uid="{45771751-80B0-4A8D-B4B4-93C555FC76D8}"/>
    <cellStyle name="Normal 2 4 3 3 3 5 2 4" xfId="16934" xr:uid="{5270509C-DE6D-4814-A032-D2906BABA81C}"/>
    <cellStyle name="Normal 2 4 3 3 3 5 3" xfId="6346" xr:uid="{00000000-0005-0000-0000-000009100000}"/>
    <cellStyle name="Normal 2 4 3 3 3 5 3 2" xfId="19007" xr:uid="{4153CE65-C49B-4084-8556-45678F7357A5}"/>
    <cellStyle name="Normal 2 4 3 3 3 5 4" xfId="10578" xr:uid="{2DD06D59-6F1D-4226-BA76-79D776BDFE2A}"/>
    <cellStyle name="Normal 2 4 3 3 3 5 5" xfId="14789" xr:uid="{54167332-3A7D-4889-99C8-5179BC30736E}"/>
    <cellStyle name="Normal 2 4 3 3 3 6" xfId="2476" xr:uid="{00000000-0005-0000-0000-00000A100000}"/>
    <cellStyle name="Normal 2 4 3 3 3 6 2" xfId="6759" xr:uid="{00000000-0005-0000-0000-00000B100000}"/>
    <cellStyle name="Normal 2 4 3 3 3 6 2 2" xfId="19420" xr:uid="{8E7DCB65-3728-4E09-833A-0DC84990129A}"/>
    <cellStyle name="Normal 2 4 3 3 3 6 3" xfId="10991" xr:uid="{CDD580B7-A4B2-44BC-B890-A2CC9B2DB2FD}"/>
    <cellStyle name="Normal 2 4 3 3 3 6 4" xfId="15202" xr:uid="{750EAFDD-B322-4575-AB81-8F17DAC579EC}"/>
    <cellStyle name="Normal 2 4 3 3 3 7" xfId="4693" xr:uid="{00000000-0005-0000-0000-00000C100000}"/>
    <cellStyle name="Normal 2 4 3 3 3 7 2" xfId="17354" xr:uid="{E49B1AC1-F190-4C0B-B358-9C0689BCAC47}"/>
    <cellStyle name="Normal 2 4 3 3 3 8" xfId="8925" xr:uid="{A35F8F66-4B94-4E84-A393-B65641AA42BD}"/>
    <cellStyle name="Normal 2 4 3 3 3 9" xfId="13136" xr:uid="{53AA4D2E-126B-455E-A388-AD22145615B1}"/>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9910" xr:uid="{6B0733A0-4D7A-436E-9888-D977F01997DF}"/>
    <cellStyle name="Normal 2 4 3 3 4 2 3" xfId="11481" xr:uid="{00503F53-2299-4FEC-869B-6DDE166E0449}"/>
    <cellStyle name="Normal 2 4 3 3 4 2 4" xfId="15692" xr:uid="{E9424312-2AC9-4526-A882-E9085A25FC5E}"/>
    <cellStyle name="Normal 2 4 3 3 4 3" xfId="5104" xr:uid="{00000000-0005-0000-0000-000010100000}"/>
    <cellStyle name="Normal 2 4 3 3 4 3 2" xfId="17765" xr:uid="{B86A83A2-3697-44B0-BC0C-C61C6058363C}"/>
    <cellStyle name="Normal 2 4 3 3 4 4" xfId="9336" xr:uid="{04037F4F-FAE0-4583-BBD2-7262F8A12349}"/>
    <cellStyle name="Normal 2 4 3 3 4 5" xfId="13547" xr:uid="{596CF687-FA1D-4805-8447-CF8B7A9FEBCD}"/>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20323" xr:uid="{F78C596B-B6D1-42CE-BF1E-360ABBDC3714}"/>
    <cellStyle name="Normal 2 4 3 3 5 2 3" xfId="11894" xr:uid="{491B93F2-5BC0-46FD-9BAE-E7E6F6E3704E}"/>
    <cellStyle name="Normal 2 4 3 3 5 2 4" xfId="16105" xr:uid="{8D12DBD5-BE74-4601-8157-3CAFA47CA945}"/>
    <cellStyle name="Normal 2 4 3 3 5 3" xfId="5517" xr:uid="{00000000-0005-0000-0000-000014100000}"/>
    <cellStyle name="Normal 2 4 3 3 5 3 2" xfId="18178" xr:uid="{2B183D8D-73C3-4B49-87BF-61A484A3426C}"/>
    <cellStyle name="Normal 2 4 3 3 5 4" xfId="9749" xr:uid="{5DB296E6-6064-4D60-98EB-BB4BF7678302}"/>
    <cellStyle name="Normal 2 4 3 3 5 5" xfId="13960" xr:uid="{76C3E936-B454-41CF-9E16-5213E3D49A2F}"/>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20736" xr:uid="{7B5B843A-ED17-4690-B56D-943023CF449B}"/>
    <cellStyle name="Normal 2 4 3 3 6 2 3" xfId="12307" xr:uid="{0241D629-2D8E-477B-9184-CCE7BC15EBBB}"/>
    <cellStyle name="Normal 2 4 3 3 6 2 4" xfId="16518" xr:uid="{D10B291C-C937-4346-86FA-A9C3819E38DF}"/>
    <cellStyle name="Normal 2 4 3 3 6 3" xfId="5930" xr:uid="{00000000-0005-0000-0000-000018100000}"/>
    <cellStyle name="Normal 2 4 3 3 6 3 2" xfId="18591" xr:uid="{7EFD222C-9B89-4BCC-B7D4-E30BB68DD235}"/>
    <cellStyle name="Normal 2 4 3 3 6 4" xfId="10162" xr:uid="{570406DD-9EB5-4596-B0A0-3CE9CF5559B4}"/>
    <cellStyle name="Normal 2 4 3 3 6 5" xfId="14373" xr:uid="{E18C2F0C-B1EF-45C1-8EA0-25F15293E97B}"/>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21149" xr:uid="{1F2DB7C0-2629-493E-94BF-0C45ABECB736}"/>
    <cellStyle name="Normal 2 4 3 3 7 2 3" xfId="12720" xr:uid="{E4C23B9D-756A-44F9-9731-8412BEA8836F}"/>
    <cellStyle name="Normal 2 4 3 3 7 2 4" xfId="16931" xr:uid="{3749E24D-856F-45F1-A2BA-30B8C85CBA38}"/>
    <cellStyle name="Normal 2 4 3 3 7 3" xfId="6343" xr:uid="{00000000-0005-0000-0000-00001C100000}"/>
    <cellStyle name="Normal 2 4 3 3 7 3 2" xfId="19004" xr:uid="{C58119D3-261D-4A59-B9A8-79241AA11AD3}"/>
    <cellStyle name="Normal 2 4 3 3 7 4" xfId="10575" xr:uid="{E470ACCB-21D8-4F4B-AC69-B39DE48D37DE}"/>
    <cellStyle name="Normal 2 4 3 3 7 5" xfId="14786" xr:uid="{5E5A16E8-A5B9-49D3-AD24-36B1ABF9AB96}"/>
    <cellStyle name="Normal 2 4 3 3 8" xfId="2473" xr:uid="{00000000-0005-0000-0000-00001D100000}"/>
    <cellStyle name="Normal 2 4 3 3 8 2" xfId="6756" xr:uid="{00000000-0005-0000-0000-00001E100000}"/>
    <cellStyle name="Normal 2 4 3 3 8 2 2" xfId="19417" xr:uid="{20E62E9F-EF02-46AA-B43D-0254EAA60C0C}"/>
    <cellStyle name="Normal 2 4 3 3 8 3" xfId="10988" xr:uid="{083DAB0B-7BB4-48FE-918D-CBA37A4DCDF3}"/>
    <cellStyle name="Normal 2 4 3 3 8 4" xfId="15199" xr:uid="{CBC7AF32-BCF5-4550-A931-232B9607E5FB}"/>
    <cellStyle name="Normal 2 4 3 3 9" xfId="4690" xr:uid="{00000000-0005-0000-0000-00001F100000}"/>
    <cellStyle name="Normal 2 4 3 3 9 2" xfId="17351" xr:uid="{A02C4085-D4CF-4B1E-A42A-F71E0F6E2998}"/>
    <cellStyle name="Normal 2 4 3 4" xfId="787" xr:uid="{00000000-0005-0000-0000-000020100000}"/>
    <cellStyle name="Normal 2 4 3 4 2" xfId="3026" xr:uid="{00000000-0005-0000-0000-000021100000}"/>
    <cellStyle name="Normal 2 4 3 4 2 2" xfId="7248" xr:uid="{00000000-0005-0000-0000-000022100000}"/>
    <cellStyle name="Normal 2 4 3 4 2 2 2" xfId="19909" xr:uid="{C709B686-9E49-4AED-A83E-0FCECA1A2014}"/>
    <cellStyle name="Normal 2 4 3 4 2 3" xfId="11480" xr:uid="{4D198F67-6DAE-4189-9CCC-1D543C8436CD}"/>
    <cellStyle name="Normal 2 4 3 4 2 4" xfId="15691" xr:uid="{F0EDA5AF-1557-417F-A10C-26C4FF7F4227}"/>
    <cellStyle name="Normal 2 4 3 4 3" xfId="5103" xr:uid="{00000000-0005-0000-0000-000023100000}"/>
    <cellStyle name="Normal 2 4 3 4 3 2" xfId="17764" xr:uid="{BE93D4B3-A18D-4344-BA8D-AC5F43BD088B}"/>
    <cellStyle name="Normal 2 4 3 4 4" xfId="9335" xr:uid="{AC5EEC37-065D-4266-B8DA-D54EC0884227}"/>
    <cellStyle name="Normal 2 4 3 4 5" xfId="13546" xr:uid="{801E647A-0ECE-4F27-AC90-204269E09419}"/>
    <cellStyle name="Normal 2 4 3 5" xfId="1209" xr:uid="{00000000-0005-0000-0000-000024100000}"/>
    <cellStyle name="Normal 2 4 3 5 2" xfId="3439" xr:uid="{00000000-0005-0000-0000-000025100000}"/>
    <cellStyle name="Normal 2 4 3 5 2 2" xfId="7661" xr:uid="{00000000-0005-0000-0000-000026100000}"/>
    <cellStyle name="Normal 2 4 3 5 2 2 2" xfId="20322" xr:uid="{D18431CF-0C0F-4722-A599-1677091DE006}"/>
    <cellStyle name="Normal 2 4 3 5 2 3" xfId="11893" xr:uid="{475321A8-CA0B-4789-8327-F312D5266A48}"/>
    <cellStyle name="Normal 2 4 3 5 2 4" xfId="16104" xr:uid="{91126DEC-A3E5-4264-8BD4-1C5B9B99A518}"/>
    <cellStyle name="Normal 2 4 3 5 3" xfId="5516" xr:uid="{00000000-0005-0000-0000-000027100000}"/>
    <cellStyle name="Normal 2 4 3 5 3 2" xfId="18177" xr:uid="{0C7D1510-F757-49DC-B7BF-1B2DFF61A9F7}"/>
    <cellStyle name="Normal 2 4 3 5 4" xfId="9748" xr:uid="{BC86ABF4-3491-4689-BB0F-D0CC90C87D47}"/>
    <cellStyle name="Normal 2 4 3 5 5" xfId="13959" xr:uid="{278FD3FA-D15D-40E1-97A0-6D368CFDAC8A}"/>
    <cellStyle name="Normal 2 4 3 6" xfId="1622" xr:uid="{00000000-0005-0000-0000-000028100000}"/>
    <cellStyle name="Normal 2 4 3 6 2" xfId="3852" xr:uid="{00000000-0005-0000-0000-000029100000}"/>
    <cellStyle name="Normal 2 4 3 6 2 2" xfId="8074" xr:uid="{00000000-0005-0000-0000-00002A100000}"/>
    <cellStyle name="Normal 2 4 3 6 2 2 2" xfId="20735" xr:uid="{FA25F56F-C22E-48B8-A30A-98001A790A31}"/>
    <cellStyle name="Normal 2 4 3 6 2 3" xfId="12306" xr:uid="{6C34A026-94F7-4EAB-A963-14D770B0E7F4}"/>
    <cellStyle name="Normal 2 4 3 6 2 4" xfId="16517" xr:uid="{CCC5D7B5-1103-4278-8B38-CEEB1702B8B1}"/>
    <cellStyle name="Normal 2 4 3 6 3" xfId="5929" xr:uid="{00000000-0005-0000-0000-00002B100000}"/>
    <cellStyle name="Normal 2 4 3 6 3 2" xfId="18590" xr:uid="{DC9D5E88-6BD6-4DCD-B601-61F7C5DD2C73}"/>
    <cellStyle name="Normal 2 4 3 6 4" xfId="10161" xr:uid="{8D415D8B-D87D-4DE5-B6B6-2E16E48C6BD5}"/>
    <cellStyle name="Normal 2 4 3 6 5" xfId="14372" xr:uid="{0DE29AF4-501E-4534-9FF7-4581EC15C6F2}"/>
    <cellStyle name="Normal 2 4 3 7" xfId="2036" xr:uid="{00000000-0005-0000-0000-00002C100000}"/>
    <cellStyle name="Normal 2 4 3 7 2" xfId="4265" xr:uid="{00000000-0005-0000-0000-00002D100000}"/>
    <cellStyle name="Normal 2 4 3 7 2 2" xfId="8487" xr:uid="{00000000-0005-0000-0000-00002E100000}"/>
    <cellStyle name="Normal 2 4 3 7 2 2 2" xfId="21148" xr:uid="{8B6505C0-65EF-4F8D-93BA-83050B9A8B52}"/>
    <cellStyle name="Normal 2 4 3 7 2 3" xfId="12719" xr:uid="{DA9F5466-17ED-4C28-BD6B-EEAD6DD54F2C}"/>
    <cellStyle name="Normal 2 4 3 7 2 4" xfId="16930" xr:uid="{AAC69007-FC8D-4B4A-9E8F-BECB351A9DB0}"/>
    <cellStyle name="Normal 2 4 3 7 3" xfId="6342" xr:uid="{00000000-0005-0000-0000-00002F100000}"/>
    <cellStyle name="Normal 2 4 3 7 3 2" xfId="19003" xr:uid="{8E6C035E-00A4-410B-AF66-7D01BF01409A}"/>
    <cellStyle name="Normal 2 4 3 7 4" xfId="10574" xr:uid="{1ECC51F1-8112-4F22-AD26-36FDE8C15FD8}"/>
    <cellStyle name="Normal 2 4 3 7 5" xfId="14785" xr:uid="{DFFE53A8-B3E6-4A62-A41F-EA6F760C4E25}"/>
    <cellStyle name="Normal 2 4 3 8" xfId="2472" xr:uid="{00000000-0005-0000-0000-000030100000}"/>
    <cellStyle name="Normal 2 4 3 8 2" xfId="6755" xr:uid="{00000000-0005-0000-0000-000031100000}"/>
    <cellStyle name="Normal 2 4 3 8 2 2" xfId="19416" xr:uid="{42BA4189-18F1-42E3-9645-CAAACC50D47A}"/>
    <cellStyle name="Normal 2 4 3 8 3" xfId="10987" xr:uid="{2108E545-7FC4-495F-9AD8-2446BD8BC2EA}"/>
    <cellStyle name="Normal 2 4 3 8 4" xfId="15198" xr:uid="{133CC223-DD19-4DA0-B622-A1CFB9C230E5}"/>
    <cellStyle name="Normal 2 4 3 9" xfId="4689" xr:uid="{00000000-0005-0000-0000-000032100000}"/>
    <cellStyle name="Normal 2 4 3 9 2" xfId="17350" xr:uid="{EC57C9CD-B8B0-4FCD-9A1B-9B76CF20790E}"/>
    <cellStyle name="Normal 2 4 4" xfId="302" xr:uid="{00000000-0005-0000-0000-000033100000}"/>
    <cellStyle name="Normal 2 4 5" xfId="303" xr:uid="{00000000-0005-0000-0000-000034100000}"/>
    <cellStyle name="Normal 2 4 5 10" xfId="4694" xr:uid="{00000000-0005-0000-0000-000035100000}"/>
    <cellStyle name="Normal 2 4 5 10 2" xfId="17355" xr:uid="{AE7B863B-717A-4E3A-81E9-14DB00D43DAF}"/>
    <cellStyle name="Normal 2 4 5 11" xfId="8926" xr:uid="{B92E55AD-F710-4458-AE06-8B9FB199A5C1}"/>
    <cellStyle name="Normal 2 4 5 12" xfId="13137" xr:uid="{42A8A342-5AD9-4BED-867D-D1E7AB900BB1}"/>
    <cellStyle name="Normal 2 4 5 2" xfId="304" xr:uid="{00000000-0005-0000-0000-000036100000}"/>
    <cellStyle name="Normal 2 4 5 2 10" xfId="8927" xr:uid="{F5614792-E38B-49A1-BF4D-73981C5B77CD}"/>
    <cellStyle name="Normal 2 4 5 2 11" xfId="13138" xr:uid="{86BBC4ED-DF3B-41B5-BD62-EB0D660B2652}"/>
    <cellStyle name="Normal 2 4 5 2 2" xfId="305" xr:uid="{00000000-0005-0000-0000-000037100000}"/>
    <cellStyle name="Normal 2 4 5 2 2 10" xfId="13139" xr:uid="{54536534-C83A-4142-847B-C0A8482CBBF6}"/>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9917" xr:uid="{938F1306-3E21-4985-96C3-8098B9D632EF}"/>
    <cellStyle name="Normal 2 4 5 2 2 2 2 2 3" xfId="11488" xr:uid="{28FF1ED0-ABA2-4874-BC55-48C0CF85AD2D}"/>
    <cellStyle name="Normal 2 4 5 2 2 2 2 2 4" xfId="15699" xr:uid="{77E6DACE-812F-43D6-8E2D-B89782F4C863}"/>
    <cellStyle name="Normal 2 4 5 2 2 2 2 3" xfId="5111" xr:uid="{00000000-0005-0000-0000-00003C100000}"/>
    <cellStyle name="Normal 2 4 5 2 2 2 2 3 2" xfId="17772" xr:uid="{5F3A63DD-B3EA-469F-93EC-397CBB5CEDB0}"/>
    <cellStyle name="Normal 2 4 5 2 2 2 2 4" xfId="9343" xr:uid="{90A55AE3-AB43-46C2-8DFC-1992677D6044}"/>
    <cellStyle name="Normal 2 4 5 2 2 2 2 5" xfId="13554" xr:uid="{23F5C0C8-4224-44F5-884B-FAF0883A570E}"/>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20330" xr:uid="{A17C8714-2278-445A-BB23-D221864A0A1B}"/>
    <cellStyle name="Normal 2 4 5 2 2 2 3 2 3" xfId="11901" xr:uid="{F49D0991-45FC-48B4-B10B-1863D8CD4370}"/>
    <cellStyle name="Normal 2 4 5 2 2 2 3 2 4" xfId="16112" xr:uid="{31A8A2AB-425E-40B5-B428-1A15BDEAF89F}"/>
    <cellStyle name="Normal 2 4 5 2 2 2 3 3" xfId="5524" xr:uid="{00000000-0005-0000-0000-000040100000}"/>
    <cellStyle name="Normal 2 4 5 2 2 2 3 3 2" xfId="18185" xr:uid="{35297761-0477-4990-ABEB-268E59898AEF}"/>
    <cellStyle name="Normal 2 4 5 2 2 2 3 4" xfId="9756" xr:uid="{DD20E4B0-C150-42B2-83E5-0ECE6300B37A}"/>
    <cellStyle name="Normal 2 4 5 2 2 2 3 5" xfId="13967" xr:uid="{76C95F4A-0EC2-421A-A552-AEA6A0FC8811}"/>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20743" xr:uid="{4F25884D-3FA8-41FA-811F-540D7E8E3629}"/>
    <cellStyle name="Normal 2 4 5 2 2 2 4 2 3" xfId="12314" xr:uid="{78A0DBBB-A2C1-405E-AC9D-2779D8A67BD3}"/>
    <cellStyle name="Normal 2 4 5 2 2 2 4 2 4" xfId="16525" xr:uid="{B3A504A2-7680-4220-AC6F-4358A8FA3050}"/>
    <cellStyle name="Normal 2 4 5 2 2 2 4 3" xfId="5937" xr:uid="{00000000-0005-0000-0000-000044100000}"/>
    <cellStyle name="Normal 2 4 5 2 2 2 4 3 2" xfId="18598" xr:uid="{753A79B9-0EB4-4790-8968-60E01D87F288}"/>
    <cellStyle name="Normal 2 4 5 2 2 2 4 4" xfId="10169" xr:uid="{005FD583-EA1C-4E4E-AF30-08C67D288588}"/>
    <cellStyle name="Normal 2 4 5 2 2 2 4 5" xfId="14380" xr:uid="{9BD733E7-8307-46B4-8974-ECE5B88186E6}"/>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21156" xr:uid="{1141B422-11F0-4BEF-91BD-8EAF6B1CB8F9}"/>
    <cellStyle name="Normal 2 4 5 2 2 2 5 2 3" xfId="12727" xr:uid="{35D8ACDE-DD91-4E51-B740-B7FB01F41053}"/>
    <cellStyle name="Normal 2 4 5 2 2 2 5 2 4" xfId="16938" xr:uid="{5B24B761-C9FE-48EB-8DC8-BBB15503751F}"/>
    <cellStyle name="Normal 2 4 5 2 2 2 5 3" xfId="6350" xr:uid="{00000000-0005-0000-0000-000048100000}"/>
    <cellStyle name="Normal 2 4 5 2 2 2 5 3 2" xfId="19011" xr:uid="{DDD23BA3-A153-4F88-A342-5B1CE21FF39A}"/>
    <cellStyle name="Normal 2 4 5 2 2 2 5 4" xfId="10582" xr:uid="{BC684D67-ADE7-4FB9-922B-0381334C8E83}"/>
    <cellStyle name="Normal 2 4 5 2 2 2 5 5" xfId="14793" xr:uid="{3253B5CD-D741-4C8D-8128-5637D0C34AAB}"/>
    <cellStyle name="Normal 2 4 5 2 2 2 6" xfId="2480" xr:uid="{00000000-0005-0000-0000-000049100000}"/>
    <cellStyle name="Normal 2 4 5 2 2 2 6 2" xfId="6763" xr:uid="{00000000-0005-0000-0000-00004A100000}"/>
    <cellStyle name="Normal 2 4 5 2 2 2 6 2 2" xfId="19424" xr:uid="{1B3BC5C0-19AC-4D4E-A405-6F63BE56F8E5}"/>
    <cellStyle name="Normal 2 4 5 2 2 2 6 3" xfId="10995" xr:uid="{5405B1F2-B199-4E00-8999-652D702CE0BC}"/>
    <cellStyle name="Normal 2 4 5 2 2 2 6 4" xfId="15206" xr:uid="{FA58420F-154C-435C-A90D-8215C5F5D547}"/>
    <cellStyle name="Normal 2 4 5 2 2 2 7" xfId="4697" xr:uid="{00000000-0005-0000-0000-00004B100000}"/>
    <cellStyle name="Normal 2 4 5 2 2 2 7 2" xfId="17358" xr:uid="{5F556C89-6EDC-4477-A3D1-E368DBAAF2EC}"/>
    <cellStyle name="Normal 2 4 5 2 2 2 8" xfId="8929" xr:uid="{474F6C57-9047-45E5-AD78-C24008F6548D}"/>
    <cellStyle name="Normal 2 4 5 2 2 2 9" xfId="13140" xr:uid="{9AF062DF-1546-428E-9FA7-3DCD706E2235}"/>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9916" xr:uid="{4036C43F-7A35-4727-9DEA-E2F1A8A0AAC5}"/>
    <cellStyle name="Normal 2 4 5 2 2 3 2 3" xfId="11487" xr:uid="{95BB3C9D-856E-4665-BCCA-196AB9C00330}"/>
    <cellStyle name="Normal 2 4 5 2 2 3 2 4" xfId="15698" xr:uid="{0D242FEB-B68E-4003-8C79-063AC7F69ACA}"/>
    <cellStyle name="Normal 2 4 5 2 2 3 3" xfId="5110" xr:uid="{00000000-0005-0000-0000-00004F100000}"/>
    <cellStyle name="Normal 2 4 5 2 2 3 3 2" xfId="17771" xr:uid="{CDD26E8E-B5AB-48F2-A4F7-6CA0E6A9AFDF}"/>
    <cellStyle name="Normal 2 4 5 2 2 3 4" xfId="9342" xr:uid="{ADC6D9FF-2444-4E90-A7BC-F54F248AD679}"/>
    <cellStyle name="Normal 2 4 5 2 2 3 5" xfId="13553" xr:uid="{2A86E872-74BB-440F-9735-BCCEF4E59DD8}"/>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20329" xr:uid="{6D67D50A-C032-4B6A-977A-6810E0A7723B}"/>
    <cellStyle name="Normal 2 4 5 2 2 4 2 3" xfId="11900" xr:uid="{44A14BE6-17B1-4F3C-B31F-489E2AECAEB4}"/>
    <cellStyle name="Normal 2 4 5 2 2 4 2 4" xfId="16111" xr:uid="{8231C0E1-8DBC-4A7E-BE91-C2982AC753C8}"/>
    <cellStyle name="Normal 2 4 5 2 2 4 3" xfId="5523" xr:uid="{00000000-0005-0000-0000-000053100000}"/>
    <cellStyle name="Normal 2 4 5 2 2 4 3 2" xfId="18184" xr:uid="{FF46BEA6-10D3-4DFD-B75F-3D2B959CFADF}"/>
    <cellStyle name="Normal 2 4 5 2 2 4 4" xfId="9755" xr:uid="{4BFF2F22-00BD-4DE6-82AB-7404A1B01547}"/>
    <cellStyle name="Normal 2 4 5 2 2 4 5" xfId="13966" xr:uid="{5CBFBDF6-D0EA-4964-B1A2-B50E02B1FB35}"/>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20742" xr:uid="{31674DDC-8A80-45F4-A8EB-5921278D4D2B}"/>
    <cellStyle name="Normal 2 4 5 2 2 5 2 3" xfId="12313" xr:uid="{1C9CAC33-1A16-48CE-AB81-45A666DC2882}"/>
    <cellStyle name="Normal 2 4 5 2 2 5 2 4" xfId="16524" xr:uid="{44E332E3-6519-472F-8B0E-728EEED39CBB}"/>
    <cellStyle name="Normal 2 4 5 2 2 5 3" xfId="5936" xr:uid="{00000000-0005-0000-0000-000057100000}"/>
    <cellStyle name="Normal 2 4 5 2 2 5 3 2" xfId="18597" xr:uid="{4D149FD3-3E40-4F1F-9492-7DF48AB9A263}"/>
    <cellStyle name="Normal 2 4 5 2 2 5 4" xfId="10168" xr:uid="{9E1669D6-0DFB-4EA8-8D2B-6D3ABA81A05D}"/>
    <cellStyle name="Normal 2 4 5 2 2 5 5" xfId="14379" xr:uid="{BF23067A-6ADB-43B3-9184-DF42E58A0488}"/>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21155" xr:uid="{DBE00F33-7B48-4BF3-8B0A-2B3DCD9DE4F5}"/>
    <cellStyle name="Normal 2 4 5 2 2 6 2 3" xfId="12726" xr:uid="{03758E8A-4CFD-4B26-8A87-D429F88D96BF}"/>
    <cellStyle name="Normal 2 4 5 2 2 6 2 4" xfId="16937" xr:uid="{48BE5349-094E-49F0-9274-7DD875AC78FD}"/>
    <cellStyle name="Normal 2 4 5 2 2 6 3" xfId="6349" xr:uid="{00000000-0005-0000-0000-00005B100000}"/>
    <cellStyle name="Normal 2 4 5 2 2 6 3 2" xfId="19010" xr:uid="{590E6C9F-7FB7-496D-B402-E96DE747BD6E}"/>
    <cellStyle name="Normal 2 4 5 2 2 6 4" xfId="10581" xr:uid="{7624173B-BD34-4BCE-8750-BD8368FFCAE4}"/>
    <cellStyle name="Normal 2 4 5 2 2 6 5" xfId="14792" xr:uid="{4E0CBE32-0FEA-46F5-8449-4166B01A708E}"/>
    <cellStyle name="Normal 2 4 5 2 2 7" xfId="2479" xr:uid="{00000000-0005-0000-0000-00005C100000}"/>
    <cellStyle name="Normal 2 4 5 2 2 7 2" xfId="6762" xr:uid="{00000000-0005-0000-0000-00005D100000}"/>
    <cellStyle name="Normal 2 4 5 2 2 7 2 2" xfId="19423" xr:uid="{8EBE7582-E677-48C4-89FB-05C6200F0EDE}"/>
    <cellStyle name="Normal 2 4 5 2 2 7 3" xfId="10994" xr:uid="{5F35A5A9-0366-4B74-9989-FFF5ECD20190}"/>
    <cellStyle name="Normal 2 4 5 2 2 7 4" xfId="15205" xr:uid="{66F533F9-7DA2-4161-808B-616BBD95AA37}"/>
    <cellStyle name="Normal 2 4 5 2 2 8" xfId="4696" xr:uid="{00000000-0005-0000-0000-00005E100000}"/>
    <cellStyle name="Normal 2 4 5 2 2 8 2" xfId="17357" xr:uid="{E05BE2CB-C3B8-4F7F-94B9-1EE65BA4B088}"/>
    <cellStyle name="Normal 2 4 5 2 2 9" xfId="8928" xr:uid="{E8E79E14-6CE3-4E14-9A09-FBFD911D087C}"/>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9918" xr:uid="{75EF32A6-49FA-46B7-8465-9B673AA87E6B}"/>
    <cellStyle name="Normal 2 4 5 2 3 2 2 3" xfId="11489" xr:uid="{45A90530-D239-41B0-8474-B11AAC3407A5}"/>
    <cellStyle name="Normal 2 4 5 2 3 2 2 4" xfId="15700" xr:uid="{0A6316C4-03D0-4691-AC3B-D75BD27888E1}"/>
    <cellStyle name="Normal 2 4 5 2 3 2 3" xfId="5112" xr:uid="{00000000-0005-0000-0000-000063100000}"/>
    <cellStyle name="Normal 2 4 5 2 3 2 3 2" xfId="17773" xr:uid="{17F05F5E-51FF-4759-BAE6-AB95B908E490}"/>
    <cellStyle name="Normal 2 4 5 2 3 2 4" xfId="9344" xr:uid="{F2EAC141-89DE-46B0-8190-A46C35D26972}"/>
    <cellStyle name="Normal 2 4 5 2 3 2 5" xfId="13555" xr:uid="{86217B9C-3156-4ED3-BFF2-58B8723D55CC}"/>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20331" xr:uid="{0C997512-CE2F-4AEA-B79E-947A11EA7EF3}"/>
    <cellStyle name="Normal 2 4 5 2 3 3 2 3" xfId="11902" xr:uid="{C8D228C5-E478-4782-BCF4-CF1DECCD2E46}"/>
    <cellStyle name="Normal 2 4 5 2 3 3 2 4" xfId="16113" xr:uid="{E07B6C40-9BFE-4F1F-BCB4-D968EC40A501}"/>
    <cellStyle name="Normal 2 4 5 2 3 3 3" xfId="5525" xr:uid="{00000000-0005-0000-0000-000067100000}"/>
    <cellStyle name="Normal 2 4 5 2 3 3 3 2" xfId="18186" xr:uid="{1734FDAC-5E64-49E7-833B-8143C4667F8D}"/>
    <cellStyle name="Normal 2 4 5 2 3 3 4" xfId="9757" xr:uid="{5D188FEF-3ABE-4CB0-9DA1-4AC450118859}"/>
    <cellStyle name="Normal 2 4 5 2 3 3 5" xfId="13968" xr:uid="{F452D465-77AA-4528-8F50-F3C1E54ECB2D}"/>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20744" xr:uid="{EF647185-055C-4DF8-9024-B2DB552A0318}"/>
    <cellStyle name="Normal 2 4 5 2 3 4 2 3" xfId="12315" xr:uid="{CAD25C47-7F27-4F72-A671-DA8533B11633}"/>
    <cellStyle name="Normal 2 4 5 2 3 4 2 4" xfId="16526" xr:uid="{8D3A0A09-3637-47BB-9136-887EDD29550C}"/>
    <cellStyle name="Normal 2 4 5 2 3 4 3" xfId="5938" xr:uid="{00000000-0005-0000-0000-00006B100000}"/>
    <cellStyle name="Normal 2 4 5 2 3 4 3 2" xfId="18599" xr:uid="{73356BD4-6099-4D3D-8ECC-EB7381B3FC6D}"/>
    <cellStyle name="Normal 2 4 5 2 3 4 4" xfId="10170" xr:uid="{57E62AF7-91A5-412F-B9D5-8DABD8422359}"/>
    <cellStyle name="Normal 2 4 5 2 3 4 5" xfId="14381" xr:uid="{C181942D-B18A-46AD-B5F9-5CEFD742824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21157" xr:uid="{F9580C27-2124-4B79-A8B5-A7E74C855B5F}"/>
    <cellStyle name="Normal 2 4 5 2 3 5 2 3" xfId="12728" xr:uid="{064316BA-552F-4142-9CDD-9FD02B7A9CC0}"/>
    <cellStyle name="Normal 2 4 5 2 3 5 2 4" xfId="16939" xr:uid="{D9CDE16B-BAB8-44B9-A4AA-E7F018885247}"/>
    <cellStyle name="Normal 2 4 5 2 3 5 3" xfId="6351" xr:uid="{00000000-0005-0000-0000-00006F100000}"/>
    <cellStyle name="Normal 2 4 5 2 3 5 3 2" xfId="19012" xr:uid="{5549DF01-F3EB-4289-9ADA-69871B88774F}"/>
    <cellStyle name="Normal 2 4 5 2 3 5 4" xfId="10583" xr:uid="{EEC5CF01-3D3B-45F9-BF94-F3232B5906D7}"/>
    <cellStyle name="Normal 2 4 5 2 3 5 5" xfId="14794" xr:uid="{61F41A21-2218-4688-8DCD-E554CB6CB98E}"/>
    <cellStyle name="Normal 2 4 5 2 3 6" xfId="2481" xr:uid="{00000000-0005-0000-0000-000070100000}"/>
    <cellStyle name="Normal 2 4 5 2 3 6 2" xfId="6764" xr:uid="{00000000-0005-0000-0000-000071100000}"/>
    <cellStyle name="Normal 2 4 5 2 3 6 2 2" xfId="19425" xr:uid="{6AD58A82-4C16-416A-963B-D30A824A0AC3}"/>
    <cellStyle name="Normal 2 4 5 2 3 6 3" xfId="10996" xr:uid="{0822C49F-B70A-4E3B-962E-9CE6A93BDB11}"/>
    <cellStyle name="Normal 2 4 5 2 3 6 4" xfId="15207" xr:uid="{3084E011-0C8F-4509-A6CE-9686905AD8D8}"/>
    <cellStyle name="Normal 2 4 5 2 3 7" xfId="4698" xr:uid="{00000000-0005-0000-0000-000072100000}"/>
    <cellStyle name="Normal 2 4 5 2 3 7 2" xfId="17359" xr:uid="{E1236815-ACED-4FD8-BEEC-070E3748A5D1}"/>
    <cellStyle name="Normal 2 4 5 2 3 8" xfId="8930" xr:uid="{8960F552-FB0E-453C-9C9C-5DC1A2554BC6}"/>
    <cellStyle name="Normal 2 4 5 2 3 9" xfId="13141" xr:uid="{8E627100-352A-46A3-BD96-19B966430B43}"/>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9915" xr:uid="{68D23322-8488-4F50-A7BE-3B315FA64D08}"/>
    <cellStyle name="Normal 2 4 5 2 4 2 3" xfId="11486" xr:uid="{A6FE9DE0-6EAB-484F-A5B4-1F33678A68A7}"/>
    <cellStyle name="Normal 2 4 5 2 4 2 4" xfId="15697" xr:uid="{0A02B4A9-983C-4520-A7E2-9B26E6A6C5D6}"/>
    <cellStyle name="Normal 2 4 5 2 4 3" xfId="5109" xr:uid="{00000000-0005-0000-0000-000076100000}"/>
    <cellStyle name="Normal 2 4 5 2 4 3 2" xfId="17770" xr:uid="{2927CEAE-F726-4B32-9C3F-B355CF168E48}"/>
    <cellStyle name="Normal 2 4 5 2 4 4" xfId="9341" xr:uid="{E8641890-0889-4C6B-AE8E-4F57F7BAF903}"/>
    <cellStyle name="Normal 2 4 5 2 4 5" xfId="13552" xr:uid="{2966D66E-714B-428B-B1DA-8DDB77E84C5B}"/>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20328" xr:uid="{57DC9E01-0A65-4040-8624-F671EAFD202B}"/>
    <cellStyle name="Normal 2 4 5 2 5 2 3" xfId="11899" xr:uid="{5374F638-634B-457A-B905-4ADD86720DA9}"/>
    <cellStyle name="Normal 2 4 5 2 5 2 4" xfId="16110" xr:uid="{B67C0354-2B8F-4125-842D-74A8D555E7A6}"/>
    <cellStyle name="Normal 2 4 5 2 5 3" xfId="5522" xr:uid="{00000000-0005-0000-0000-00007A100000}"/>
    <cellStyle name="Normal 2 4 5 2 5 3 2" xfId="18183" xr:uid="{EC8CE116-A73D-494D-953E-6489E3CE6E8C}"/>
    <cellStyle name="Normal 2 4 5 2 5 4" xfId="9754" xr:uid="{B9C19725-79E6-41A0-A17C-7E3BB179CDE9}"/>
    <cellStyle name="Normal 2 4 5 2 5 5" xfId="13965" xr:uid="{4D985955-531D-4F1D-9317-4FFEA4FF371E}"/>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20741" xr:uid="{2BBD881E-8ACC-40FC-8D93-50930490A860}"/>
    <cellStyle name="Normal 2 4 5 2 6 2 3" xfId="12312" xr:uid="{157968D8-9660-47C4-8D89-28B8E5B508CF}"/>
    <cellStyle name="Normal 2 4 5 2 6 2 4" xfId="16523" xr:uid="{F057F985-75D3-4E2C-8951-63DE06090E08}"/>
    <cellStyle name="Normal 2 4 5 2 6 3" xfId="5935" xr:uid="{00000000-0005-0000-0000-00007E100000}"/>
    <cellStyle name="Normal 2 4 5 2 6 3 2" xfId="18596" xr:uid="{CA2A3CCB-5C9E-4561-9CA0-6152693A8960}"/>
    <cellStyle name="Normal 2 4 5 2 6 4" xfId="10167" xr:uid="{3A580E3F-2BFF-4FAD-BF94-7CC7E80A6DB7}"/>
    <cellStyle name="Normal 2 4 5 2 6 5" xfId="14378" xr:uid="{B6687143-7620-4996-ABA6-65C342A2D7D6}"/>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21154" xr:uid="{C6FA8C02-A1E0-43AE-94E0-22F5F653B797}"/>
    <cellStyle name="Normal 2 4 5 2 7 2 3" xfId="12725" xr:uid="{DA232914-7D03-48DF-857B-8162F1318020}"/>
    <cellStyle name="Normal 2 4 5 2 7 2 4" xfId="16936" xr:uid="{C0CDBF42-5D44-4CFC-ACCE-4B9E65B2D43A}"/>
    <cellStyle name="Normal 2 4 5 2 7 3" xfId="6348" xr:uid="{00000000-0005-0000-0000-000082100000}"/>
    <cellStyle name="Normal 2 4 5 2 7 3 2" xfId="19009" xr:uid="{7A1BD849-24BB-4596-82F3-76E37F9E5415}"/>
    <cellStyle name="Normal 2 4 5 2 7 4" xfId="10580" xr:uid="{61586B03-BD56-48C7-B880-EC2658F97E50}"/>
    <cellStyle name="Normal 2 4 5 2 7 5" xfId="14791" xr:uid="{FC305905-ABE5-4D84-85D6-DD92622F3B58}"/>
    <cellStyle name="Normal 2 4 5 2 8" xfId="2478" xr:uid="{00000000-0005-0000-0000-000083100000}"/>
    <cellStyle name="Normal 2 4 5 2 8 2" xfId="6761" xr:uid="{00000000-0005-0000-0000-000084100000}"/>
    <cellStyle name="Normal 2 4 5 2 8 2 2" xfId="19422" xr:uid="{7B1BA735-EA46-4011-A8BF-2FFBF37FFDB2}"/>
    <cellStyle name="Normal 2 4 5 2 8 3" xfId="10993" xr:uid="{D85AA768-7450-4DB4-8460-49F43CF2EBE2}"/>
    <cellStyle name="Normal 2 4 5 2 8 4" xfId="15204" xr:uid="{50D68A40-6982-4D69-BBA6-5F515AE7AF55}"/>
    <cellStyle name="Normal 2 4 5 2 9" xfId="4695" xr:uid="{00000000-0005-0000-0000-000085100000}"/>
    <cellStyle name="Normal 2 4 5 2 9 2" xfId="17356" xr:uid="{DEE8B26D-84C3-44E7-9D98-64400216B73F}"/>
    <cellStyle name="Normal 2 4 5 3" xfId="308" xr:uid="{00000000-0005-0000-0000-000086100000}"/>
    <cellStyle name="Normal 2 4 5 3 10" xfId="13142" xr:uid="{73B51FA5-B041-48B1-BEC1-8DF74323219C}"/>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9920" xr:uid="{2414C993-C844-439F-B631-352CD2745544}"/>
    <cellStyle name="Normal 2 4 5 3 2 2 2 3" xfId="11491" xr:uid="{2F0324FD-8CCD-4ED0-AFB8-B5F184F15333}"/>
    <cellStyle name="Normal 2 4 5 3 2 2 2 4" xfId="15702" xr:uid="{9ADF4803-1E93-43FB-ADBA-608986D32137}"/>
    <cellStyle name="Normal 2 4 5 3 2 2 3" xfId="5114" xr:uid="{00000000-0005-0000-0000-00008B100000}"/>
    <cellStyle name="Normal 2 4 5 3 2 2 3 2" xfId="17775" xr:uid="{859306CC-F987-4FCE-B1D6-0F4CD498DC6A}"/>
    <cellStyle name="Normal 2 4 5 3 2 2 4" xfId="9346" xr:uid="{1C41D3E3-25E1-48CF-ADB5-BA88D09A5CFB}"/>
    <cellStyle name="Normal 2 4 5 3 2 2 5" xfId="13557" xr:uid="{9E9013EC-C823-4031-84AF-75346F5C78DD}"/>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20333" xr:uid="{9422785A-66AD-451F-A4FF-08BF696C8055}"/>
    <cellStyle name="Normal 2 4 5 3 2 3 2 3" xfId="11904" xr:uid="{77D6FF5D-A509-4B2F-B8F3-30804588417D}"/>
    <cellStyle name="Normal 2 4 5 3 2 3 2 4" xfId="16115" xr:uid="{1437317A-B939-4B74-9E76-442CBF07B763}"/>
    <cellStyle name="Normal 2 4 5 3 2 3 3" xfId="5527" xr:uid="{00000000-0005-0000-0000-00008F100000}"/>
    <cellStyle name="Normal 2 4 5 3 2 3 3 2" xfId="18188" xr:uid="{53FC3E40-6637-46E3-AB8E-7A82E4CC09C2}"/>
    <cellStyle name="Normal 2 4 5 3 2 3 4" xfId="9759" xr:uid="{25277AC6-BC81-45DE-9E74-CC4EF36B8EAC}"/>
    <cellStyle name="Normal 2 4 5 3 2 3 5" xfId="13970" xr:uid="{4B0A0BAC-24B4-4706-B265-C7BBA166FE76}"/>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20746" xr:uid="{E0EEB0A2-FC28-445F-AB61-4DD32CC2D944}"/>
    <cellStyle name="Normal 2 4 5 3 2 4 2 3" xfId="12317" xr:uid="{9D63491A-16B1-487C-8FD9-3F6A4D823054}"/>
    <cellStyle name="Normal 2 4 5 3 2 4 2 4" xfId="16528" xr:uid="{47CF6D2E-EFF0-44A9-9FB1-6AC9FC9F336E}"/>
    <cellStyle name="Normal 2 4 5 3 2 4 3" xfId="5940" xr:uid="{00000000-0005-0000-0000-000093100000}"/>
    <cellStyle name="Normal 2 4 5 3 2 4 3 2" xfId="18601" xr:uid="{8E95B02D-AE82-445D-8E8A-D2E4E14F06F9}"/>
    <cellStyle name="Normal 2 4 5 3 2 4 4" xfId="10172" xr:uid="{8BC7E717-3C04-4119-963E-78C826C4503A}"/>
    <cellStyle name="Normal 2 4 5 3 2 4 5" xfId="14383" xr:uid="{04932690-B916-4BE8-8B36-BCF36AAF247A}"/>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21159" xr:uid="{90E42A12-9097-40C7-AB89-9AFD293FABF3}"/>
    <cellStyle name="Normal 2 4 5 3 2 5 2 3" xfId="12730" xr:uid="{023F0E01-2E62-4F3D-8619-B5B0AD118C45}"/>
    <cellStyle name="Normal 2 4 5 3 2 5 2 4" xfId="16941" xr:uid="{412D7485-624E-4C18-A11E-8BB1326881A1}"/>
    <cellStyle name="Normal 2 4 5 3 2 5 3" xfId="6353" xr:uid="{00000000-0005-0000-0000-000097100000}"/>
    <cellStyle name="Normal 2 4 5 3 2 5 3 2" xfId="19014" xr:uid="{1BF3E94E-9EE3-4F3B-ACE6-D94DC81EA935}"/>
    <cellStyle name="Normal 2 4 5 3 2 5 4" xfId="10585" xr:uid="{54895D3B-C963-4106-8B2D-F045A64AF517}"/>
    <cellStyle name="Normal 2 4 5 3 2 5 5" xfId="14796" xr:uid="{E932D9F3-5AC7-4D38-8096-2E66E24AD65F}"/>
    <cellStyle name="Normal 2 4 5 3 2 6" xfId="2483" xr:uid="{00000000-0005-0000-0000-000098100000}"/>
    <cellStyle name="Normal 2 4 5 3 2 6 2" xfId="6766" xr:uid="{00000000-0005-0000-0000-000099100000}"/>
    <cellStyle name="Normal 2 4 5 3 2 6 2 2" xfId="19427" xr:uid="{9CEABBC7-CBA0-44B1-B5C5-93E337FD56B0}"/>
    <cellStyle name="Normal 2 4 5 3 2 6 3" xfId="10998" xr:uid="{53B23257-D175-4E90-A8A6-33CCD909AC67}"/>
    <cellStyle name="Normal 2 4 5 3 2 6 4" xfId="15209" xr:uid="{6F12C6CD-60E8-4013-8EE2-79872EBE884C}"/>
    <cellStyle name="Normal 2 4 5 3 2 7" xfId="4700" xr:uid="{00000000-0005-0000-0000-00009A100000}"/>
    <cellStyle name="Normal 2 4 5 3 2 7 2" xfId="17361" xr:uid="{512587D4-712D-423F-AC82-5B622906C0AE}"/>
    <cellStyle name="Normal 2 4 5 3 2 8" xfId="8932" xr:uid="{DAF20FF6-2527-4913-A9A5-697D4624B10B}"/>
    <cellStyle name="Normal 2 4 5 3 2 9" xfId="13143" xr:uid="{F49388E7-EA7E-496D-ACED-BCA2ABCDB5BB}"/>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9919" xr:uid="{EE38B185-E20C-42BD-83A2-A3B3FF758BA2}"/>
    <cellStyle name="Normal 2 4 5 3 3 2 3" xfId="11490" xr:uid="{6C9F9FC3-8789-44E0-A834-0F6FA83C03F5}"/>
    <cellStyle name="Normal 2 4 5 3 3 2 4" xfId="15701" xr:uid="{68EF00CB-CAE7-428D-8250-3DA0B2C6E033}"/>
    <cellStyle name="Normal 2 4 5 3 3 3" xfId="5113" xr:uid="{00000000-0005-0000-0000-00009E100000}"/>
    <cellStyle name="Normal 2 4 5 3 3 3 2" xfId="17774" xr:uid="{C6D7D7FC-D034-4FD5-BF51-E5C8776B7287}"/>
    <cellStyle name="Normal 2 4 5 3 3 4" xfId="9345" xr:uid="{1820BFA6-3DD0-4F44-B700-1553D82EEDE9}"/>
    <cellStyle name="Normal 2 4 5 3 3 5" xfId="13556" xr:uid="{14BAD405-1BAA-4FC7-A35A-B075A7EC97DF}"/>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20332" xr:uid="{09B8D768-81A4-4D29-BCD9-B7DE04E654C9}"/>
    <cellStyle name="Normal 2 4 5 3 4 2 3" xfId="11903" xr:uid="{BA77AC81-C059-412A-8505-006121B7FD68}"/>
    <cellStyle name="Normal 2 4 5 3 4 2 4" xfId="16114" xr:uid="{B731FF1A-7539-4041-8225-EC2114E8C3E9}"/>
    <cellStyle name="Normal 2 4 5 3 4 3" xfId="5526" xr:uid="{00000000-0005-0000-0000-0000A2100000}"/>
    <cellStyle name="Normal 2 4 5 3 4 3 2" xfId="18187" xr:uid="{6716160E-01C8-40A9-941E-91D32A33B067}"/>
    <cellStyle name="Normal 2 4 5 3 4 4" xfId="9758" xr:uid="{172C98AA-08A0-466B-A355-984AADC574A4}"/>
    <cellStyle name="Normal 2 4 5 3 4 5" xfId="13969" xr:uid="{36383C27-01D1-43A7-9FC6-B65377BBCECA}"/>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20745" xr:uid="{8576C400-2064-4C69-A3F3-8033668A853E}"/>
    <cellStyle name="Normal 2 4 5 3 5 2 3" xfId="12316" xr:uid="{EBF045AE-EB71-4C37-89CB-4A12CBAE1D98}"/>
    <cellStyle name="Normal 2 4 5 3 5 2 4" xfId="16527" xr:uid="{6D1051C3-032F-4075-A1A4-030E3E3EB302}"/>
    <cellStyle name="Normal 2 4 5 3 5 3" xfId="5939" xr:uid="{00000000-0005-0000-0000-0000A6100000}"/>
    <cellStyle name="Normal 2 4 5 3 5 3 2" xfId="18600" xr:uid="{1D6F873C-2650-4F39-9765-AC335D9B57FD}"/>
    <cellStyle name="Normal 2 4 5 3 5 4" xfId="10171" xr:uid="{DFA4E7FB-5E1E-4F66-A4BF-D6C7B6A68587}"/>
    <cellStyle name="Normal 2 4 5 3 5 5" xfId="14382" xr:uid="{3309C5CB-A46F-49CF-BF56-16430CEB32FC}"/>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21158" xr:uid="{4DF4EA32-E4EE-46F4-ACF8-A0D5806C842E}"/>
    <cellStyle name="Normal 2 4 5 3 6 2 3" xfId="12729" xr:uid="{AB2AE652-D9DD-4E0D-BE73-39B1878247DC}"/>
    <cellStyle name="Normal 2 4 5 3 6 2 4" xfId="16940" xr:uid="{73EBFCD3-2D89-4A45-BBD2-E93C8AE881DA}"/>
    <cellStyle name="Normal 2 4 5 3 6 3" xfId="6352" xr:uid="{00000000-0005-0000-0000-0000AA100000}"/>
    <cellStyle name="Normal 2 4 5 3 6 3 2" xfId="19013" xr:uid="{9C6AB825-19DD-47EA-8B46-DA1841E7FC4D}"/>
    <cellStyle name="Normal 2 4 5 3 6 4" xfId="10584" xr:uid="{491A36CA-1DC7-4D69-9408-EF2CD873D23F}"/>
    <cellStyle name="Normal 2 4 5 3 6 5" xfId="14795" xr:uid="{65DADA17-B03F-4818-B091-62FD0BE21C1E}"/>
    <cellStyle name="Normal 2 4 5 3 7" xfId="2482" xr:uid="{00000000-0005-0000-0000-0000AB100000}"/>
    <cellStyle name="Normal 2 4 5 3 7 2" xfId="6765" xr:uid="{00000000-0005-0000-0000-0000AC100000}"/>
    <cellStyle name="Normal 2 4 5 3 7 2 2" xfId="19426" xr:uid="{07DA6650-00B6-493E-8417-9828AC88BBBD}"/>
    <cellStyle name="Normal 2 4 5 3 7 3" xfId="10997" xr:uid="{DABB4519-E271-40F4-B8E6-52D4F602772F}"/>
    <cellStyle name="Normal 2 4 5 3 7 4" xfId="15208" xr:uid="{2746333F-02CD-4A2E-B3DB-B0D183DF5C6F}"/>
    <cellStyle name="Normal 2 4 5 3 8" xfId="4699" xr:uid="{00000000-0005-0000-0000-0000AD100000}"/>
    <cellStyle name="Normal 2 4 5 3 8 2" xfId="17360" xr:uid="{7A3ED4AB-9AAA-47EC-AD42-3C0E79F72BE7}"/>
    <cellStyle name="Normal 2 4 5 3 9" xfId="8931" xr:uid="{7114FCFB-2E93-40A3-B4CB-029B51AC9917}"/>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9921" xr:uid="{18967AD2-2B3A-4DE4-963D-780E5BB365C7}"/>
    <cellStyle name="Normal 2 4 5 4 2 2 3" xfId="11492" xr:uid="{2BEB446A-0660-490D-B969-2E0B26D06403}"/>
    <cellStyle name="Normal 2 4 5 4 2 2 4" xfId="15703" xr:uid="{A61C38D3-C776-4369-A948-4177F7B522C7}"/>
    <cellStyle name="Normal 2 4 5 4 2 3" xfId="5115" xr:uid="{00000000-0005-0000-0000-0000B2100000}"/>
    <cellStyle name="Normal 2 4 5 4 2 3 2" xfId="17776" xr:uid="{EF2F45E8-20FB-411E-92DC-B401A17A6239}"/>
    <cellStyle name="Normal 2 4 5 4 2 4" xfId="9347" xr:uid="{3765F163-05D0-4DEE-8B37-93623071C4C0}"/>
    <cellStyle name="Normal 2 4 5 4 2 5" xfId="13558" xr:uid="{FF41D262-445F-4541-855A-AAA92D3D8474}"/>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20334" xr:uid="{E0475097-9B63-4A53-BD38-EB57F8E5890D}"/>
    <cellStyle name="Normal 2 4 5 4 3 2 3" xfId="11905" xr:uid="{5C354702-6ED7-4286-9A45-14FD0CB70E31}"/>
    <cellStyle name="Normal 2 4 5 4 3 2 4" xfId="16116" xr:uid="{A9576962-AF03-49C7-8D40-A756A57DEC72}"/>
    <cellStyle name="Normal 2 4 5 4 3 3" xfId="5528" xr:uid="{00000000-0005-0000-0000-0000B6100000}"/>
    <cellStyle name="Normal 2 4 5 4 3 3 2" xfId="18189" xr:uid="{3703632E-5A5E-421E-9EF7-4485A3512163}"/>
    <cellStyle name="Normal 2 4 5 4 3 4" xfId="9760" xr:uid="{5537F214-513A-4308-A22B-488112FEADF9}"/>
    <cellStyle name="Normal 2 4 5 4 3 5" xfId="13971" xr:uid="{11DAD6C3-E8D8-4747-8B4D-0038034CA06D}"/>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20747" xr:uid="{2BB1A817-3BD9-4F39-81AB-52D50AF9BC6A}"/>
    <cellStyle name="Normal 2 4 5 4 4 2 3" xfId="12318" xr:uid="{34EF0090-392F-4562-9E8C-837186DB336D}"/>
    <cellStyle name="Normal 2 4 5 4 4 2 4" xfId="16529" xr:uid="{CAB80A6C-92C5-426A-8A66-857EA306EF99}"/>
    <cellStyle name="Normal 2 4 5 4 4 3" xfId="5941" xr:uid="{00000000-0005-0000-0000-0000BA100000}"/>
    <cellStyle name="Normal 2 4 5 4 4 3 2" xfId="18602" xr:uid="{BAFF864B-4141-44CA-954A-017CC0B09B79}"/>
    <cellStyle name="Normal 2 4 5 4 4 4" xfId="10173" xr:uid="{3215FDF4-C48A-4BD8-90FF-89ECA26F2F59}"/>
    <cellStyle name="Normal 2 4 5 4 4 5" xfId="14384" xr:uid="{5754ACCC-8CBA-47EC-B654-59A141F5CEC5}"/>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21160" xr:uid="{ED98125A-33DE-4B09-B517-F17607F7BE2F}"/>
    <cellStyle name="Normal 2 4 5 4 5 2 3" xfId="12731" xr:uid="{596C8E41-DF55-4575-BAFF-2806F30BD49C}"/>
    <cellStyle name="Normal 2 4 5 4 5 2 4" xfId="16942" xr:uid="{75574636-75FF-4A20-B216-D1D6EBCBE871}"/>
    <cellStyle name="Normal 2 4 5 4 5 3" xfId="6354" xr:uid="{00000000-0005-0000-0000-0000BE100000}"/>
    <cellStyle name="Normal 2 4 5 4 5 3 2" xfId="19015" xr:uid="{FB454B0A-5C36-491C-A063-E0A186823EE4}"/>
    <cellStyle name="Normal 2 4 5 4 5 4" xfId="10586" xr:uid="{4AE80512-4A1C-40C8-A365-470A75220125}"/>
    <cellStyle name="Normal 2 4 5 4 5 5" xfId="14797" xr:uid="{C54F0116-8F45-4E05-AE41-62B92FD09D0C}"/>
    <cellStyle name="Normal 2 4 5 4 6" xfId="2484" xr:uid="{00000000-0005-0000-0000-0000BF100000}"/>
    <cellStyle name="Normal 2 4 5 4 6 2" xfId="6767" xr:uid="{00000000-0005-0000-0000-0000C0100000}"/>
    <cellStyle name="Normal 2 4 5 4 6 2 2" xfId="19428" xr:uid="{BDD7FA18-6B6B-44C3-AE9C-C054FB18171D}"/>
    <cellStyle name="Normal 2 4 5 4 6 3" xfId="10999" xr:uid="{E66A2134-C5BF-4D43-BB9F-22343F3841DC}"/>
    <cellStyle name="Normal 2 4 5 4 6 4" xfId="15210" xr:uid="{F793D2B0-C884-404C-AA74-18B9121F5D34}"/>
    <cellStyle name="Normal 2 4 5 4 7" xfId="4701" xr:uid="{00000000-0005-0000-0000-0000C1100000}"/>
    <cellStyle name="Normal 2 4 5 4 7 2" xfId="17362" xr:uid="{9A62DFB7-65F6-4239-B2A8-73C5E85D3E9C}"/>
    <cellStyle name="Normal 2 4 5 4 8" xfId="8933" xr:uid="{91A39FC2-3277-4779-9F21-D6AFC8645DC9}"/>
    <cellStyle name="Normal 2 4 5 4 9" xfId="13144" xr:uid="{D905C1AD-51AB-4E71-90E3-9936C40295FD}"/>
    <cellStyle name="Normal 2 4 5 5" xfId="792" xr:uid="{00000000-0005-0000-0000-0000C2100000}"/>
    <cellStyle name="Normal 2 4 5 5 2" xfId="3031" xr:uid="{00000000-0005-0000-0000-0000C3100000}"/>
    <cellStyle name="Normal 2 4 5 5 2 2" xfId="7253" xr:uid="{00000000-0005-0000-0000-0000C4100000}"/>
    <cellStyle name="Normal 2 4 5 5 2 2 2" xfId="19914" xr:uid="{1BDDD748-9255-4E80-A497-688EE6007B25}"/>
    <cellStyle name="Normal 2 4 5 5 2 3" xfId="11485" xr:uid="{C3F563CA-F3DC-42B7-804E-AF7F755A17C1}"/>
    <cellStyle name="Normal 2 4 5 5 2 4" xfId="15696" xr:uid="{BA0A45A6-5D0B-47A2-BA35-80B3A7F41D2E}"/>
    <cellStyle name="Normal 2 4 5 5 3" xfId="5108" xr:uid="{00000000-0005-0000-0000-0000C5100000}"/>
    <cellStyle name="Normal 2 4 5 5 3 2" xfId="17769" xr:uid="{F98DCD4C-CD2E-42CB-89ED-F843A7D0CFFE}"/>
    <cellStyle name="Normal 2 4 5 5 4" xfId="9340" xr:uid="{69A34870-A08D-4845-AE2F-13BF54CC5F0B}"/>
    <cellStyle name="Normal 2 4 5 5 5" xfId="13551" xr:uid="{CC5C91D4-168A-474A-B72B-FA0ABA680E49}"/>
    <cellStyle name="Normal 2 4 5 6" xfId="1214" xr:uid="{00000000-0005-0000-0000-0000C6100000}"/>
    <cellStyle name="Normal 2 4 5 6 2" xfId="3444" xr:uid="{00000000-0005-0000-0000-0000C7100000}"/>
    <cellStyle name="Normal 2 4 5 6 2 2" xfId="7666" xr:uid="{00000000-0005-0000-0000-0000C8100000}"/>
    <cellStyle name="Normal 2 4 5 6 2 2 2" xfId="20327" xr:uid="{E0A227C8-45B0-4580-820E-E78751500087}"/>
    <cellStyle name="Normal 2 4 5 6 2 3" xfId="11898" xr:uid="{771CC593-47E6-4796-8F4D-2FCFDBF92BB4}"/>
    <cellStyle name="Normal 2 4 5 6 2 4" xfId="16109" xr:uid="{72B44B00-817C-43EC-9DF9-E966E3C45660}"/>
    <cellStyle name="Normal 2 4 5 6 3" xfId="5521" xr:uid="{00000000-0005-0000-0000-0000C9100000}"/>
    <cellStyle name="Normal 2 4 5 6 3 2" xfId="18182" xr:uid="{6FD63076-E928-47EB-88C1-C2B362A01DB0}"/>
    <cellStyle name="Normal 2 4 5 6 4" xfId="9753" xr:uid="{C23F0354-17C2-42FB-B202-65E360FC661A}"/>
    <cellStyle name="Normal 2 4 5 6 5" xfId="13964" xr:uid="{C247289E-7092-4F45-8644-708EC7C52812}"/>
    <cellStyle name="Normal 2 4 5 7" xfId="1627" xr:uid="{00000000-0005-0000-0000-0000CA100000}"/>
    <cellStyle name="Normal 2 4 5 7 2" xfId="3857" xr:uid="{00000000-0005-0000-0000-0000CB100000}"/>
    <cellStyle name="Normal 2 4 5 7 2 2" xfId="8079" xr:uid="{00000000-0005-0000-0000-0000CC100000}"/>
    <cellStyle name="Normal 2 4 5 7 2 2 2" xfId="20740" xr:uid="{014C2DAB-EAB0-4A1E-B1D1-CF2A61F21D26}"/>
    <cellStyle name="Normal 2 4 5 7 2 3" xfId="12311" xr:uid="{515515FC-81EF-451B-AF10-C5B68C95E653}"/>
    <cellStyle name="Normal 2 4 5 7 2 4" xfId="16522" xr:uid="{F404972B-2F44-4ABE-A9E2-02EC53DF8D40}"/>
    <cellStyle name="Normal 2 4 5 7 3" xfId="5934" xr:uid="{00000000-0005-0000-0000-0000CD100000}"/>
    <cellStyle name="Normal 2 4 5 7 3 2" xfId="18595" xr:uid="{2CD55558-1DC1-4AE5-8854-8BAB17D78F6B}"/>
    <cellStyle name="Normal 2 4 5 7 4" xfId="10166" xr:uid="{43951C0C-75C8-4725-8B8B-28E43D33462C}"/>
    <cellStyle name="Normal 2 4 5 7 5" xfId="14377" xr:uid="{C42A515F-3398-4F0D-9204-4D8A2E0A8D07}"/>
    <cellStyle name="Normal 2 4 5 8" xfId="2041" xr:uid="{00000000-0005-0000-0000-0000CE100000}"/>
    <cellStyle name="Normal 2 4 5 8 2" xfId="4270" xr:uid="{00000000-0005-0000-0000-0000CF100000}"/>
    <cellStyle name="Normal 2 4 5 8 2 2" xfId="8492" xr:uid="{00000000-0005-0000-0000-0000D0100000}"/>
    <cellStyle name="Normal 2 4 5 8 2 2 2" xfId="21153" xr:uid="{CBBC1055-692D-4906-AF44-7A59D9489265}"/>
    <cellStyle name="Normal 2 4 5 8 2 3" xfId="12724" xr:uid="{555C5EEB-DA02-4172-8811-A5D5878339E8}"/>
    <cellStyle name="Normal 2 4 5 8 2 4" xfId="16935" xr:uid="{A3A559CD-E16E-4817-93A1-62869A7208A0}"/>
    <cellStyle name="Normal 2 4 5 8 3" xfId="6347" xr:uid="{00000000-0005-0000-0000-0000D1100000}"/>
    <cellStyle name="Normal 2 4 5 8 3 2" xfId="19008" xr:uid="{C4C6CB5E-DB5D-4A25-B1AE-E2DA0ED26FA1}"/>
    <cellStyle name="Normal 2 4 5 8 4" xfId="10579" xr:uid="{EB18B189-9EC2-4026-8E41-15DCE0FF9CE0}"/>
    <cellStyle name="Normal 2 4 5 8 5" xfId="14790" xr:uid="{EAF895A4-EF2A-49F5-8B3A-73AF47AD8A92}"/>
    <cellStyle name="Normal 2 4 5 9" xfId="2477" xr:uid="{00000000-0005-0000-0000-0000D2100000}"/>
    <cellStyle name="Normal 2 4 5 9 2" xfId="6760" xr:uid="{00000000-0005-0000-0000-0000D3100000}"/>
    <cellStyle name="Normal 2 4 5 9 2 2" xfId="19421" xr:uid="{66C146FA-EDED-4198-B863-AC2D63022EEA}"/>
    <cellStyle name="Normal 2 4 5 9 3" xfId="10992" xr:uid="{BDA911D5-D4F5-4A9E-8A52-CAA8D3895277}"/>
    <cellStyle name="Normal 2 4 5 9 4" xfId="15203" xr:uid="{51FF8D2E-A111-4BDD-91BF-19DCBD1B43AF}"/>
    <cellStyle name="Normal 2 4 6" xfId="311" xr:uid="{00000000-0005-0000-0000-0000D4100000}"/>
    <cellStyle name="Normal 2 4 7" xfId="312" xr:uid="{00000000-0005-0000-0000-0000D5100000}"/>
    <cellStyle name="Normal 2 4 7 10" xfId="13145" xr:uid="{A1189CD7-465D-484F-BC8B-166C19ED100A}"/>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9923" xr:uid="{1A8A4246-2002-4F09-8EC7-C52E4E8A0EA9}"/>
    <cellStyle name="Normal 2 4 7 2 2 2 3" xfId="11494" xr:uid="{8F8A0B5D-C51E-4D8D-9679-8146CD0648E3}"/>
    <cellStyle name="Normal 2 4 7 2 2 2 4" xfId="15705" xr:uid="{A81222F0-EB60-411F-8797-AD899A72398F}"/>
    <cellStyle name="Normal 2 4 7 2 2 3" xfId="5117" xr:uid="{00000000-0005-0000-0000-0000DA100000}"/>
    <cellStyle name="Normal 2 4 7 2 2 3 2" xfId="17778" xr:uid="{AAD5DC33-6775-4D04-948D-511BB05D0F58}"/>
    <cellStyle name="Normal 2 4 7 2 2 4" xfId="9349" xr:uid="{C9BD36EF-1C0C-48EA-B998-A2F1229A2E5A}"/>
    <cellStyle name="Normal 2 4 7 2 2 5" xfId="13560" xr:uid="{B9047747-B57B-4AA1-B7BD-A275519561FF}"/>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20336" xr:uid="{2D48C9DE-316F-4FAE-8441-0F5A55E96553}"/>
    <cellStyle name="Normal 2 4 7 2 3 2 3" xfId="11907" xr:uid="{3A50D3EF-94A6-45A7-A75F-BC455634B458}"/>
    <cellStyle name="Normal 2 4 7 2 3 2 4" xfId="16118" xr:uid="{3EFE8370-37C9-4DB6-9B83-E925AA535D1A}"/>
    <cellStyle name="Normal 2 4 7 2 3 3" xfId="5530" xr:uid="{00000000-0005-0000-0000-0000DE100000}"/>
    <cellStyle name="Normal 2 4 7 2 3 3 2" xfId="18191" xr:uid="{8172B276-41C9-44DE-94B2-0055D1158DFB}"/>
    <cellStyle name="Normal 2 4 7 2 3 4" xfId="9762" xr:uid="{92A5C74F-07E0-44BD-8C69-C20359A65697}"/>
    <cellStyle name="Normal 2 4 7 2 3 5" xfId="13973" xr:uid="{4AD3F458-D4C4-4289-B858-FB4A17696926}"/>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20749" xr:uid="{4827672C-5F8E-41BD-8666-F832B4D08087}"/>
    <cellStyle name="Normal 2 4 7 2 4 2 3" xfId="12320" xr:uid="{05B7524B-B7A2-4528-AE5C-534F95E3F23A}"/>
    <cellStyle name="Normal 2 4 7 2 4 2 4" xfId="16531" xr:uid="{4668712A-13A4-4341-9087-11ABE1D1890E}"/>
    <cellStyle name="Normal 2 4 7 2 4 3" xfId="5943" xr:uid="{00000000-0005-0000-0000-0000E2100000}"/>
    <cellStyle name="Normal 2 4 7 2 4 3 2" xfId="18604" xr:uid="{1D9FE843-08FF-41AC-A78F-A18F5ACD97A7}"/>
    <cellStyle name="Normal 2 4 7 2 4 4" xfId="10175" xr:uid="{A260F46A-4E5F-431F-9566-2B593BCC6709}"/>
    <cellStyle name="Normal 2 4 7 2 4 5" xfId="14386" xr:uid="{2379D37E-8541-4FDE-97AF-A0A60F4B5A2E}"/>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21162" xr:uid="{7C9DD4E0-E933-48DC-913E-C30EDDF1EB48}"/>
    <cellStyle name="Normal 2 4 7 2 5 2 3" xfId="12733" xr:uid="{63799E4A-E438-4A85-91F5-B04DDD8C5C47}"/>
    <cellStyle name="Normal 2 4 7 2 5 2 4" xfId="16944" xr:uid="{1109B881-DC6E-4F5A-A372-98DF6E0A03FD}"/>
    <cellStyle name="Normal 2 4 7 2 5 3" xfId="6356" xr:uid="{00000000-0005-0000-0000-0000E6100000}"/>
    <cellStyle name="Normal 2 4 7 2 5 3 2" xfId="19017" xr:uid="{FAB90C7C-7CB0-407F-A944-A33836791BBD}"/>
    <cellStyle name="Normal 2 4 7 2 5 4" xfId="10588" xr:uid="{6D9622ED-D9C7-4F2F-AE8A-32A903EC2D5F}"/>
    <cellStyle name="Normal 2 4 7 2 5 5" xfId="14799" xr:uid="{A93F615B-8EE7-4BC9-AD08-8E2D9F80491C}"/>
    <cellStyle name="Normal 2 4 7 2 6" xfId="2486" xr:uid="{00000000-0005-0000-0000-0000E7100000}"/>
    <cellStyle name="Normal 2 4 7 2 6 2" xfId="6769" xr:uid="{00000000-0005-0000-0000-0000E8100000}"/>
    <cellStyle name="Normal 2 4 7 2 6 2 2" xfId="19430" xr:uid="{7E517174-1F07-4F1E-8510-D7E8ED8E2A25}"/>
    <cellStyle name="Normal 2 4 7 2 6 3" xfId="11001" xr:uid="{64418877-D4B2-4CAD-8A59-B5691B71DB01}"/>
    <cellStyle name="Normal 2 4 7 2 6 4" xfId="15212" xr:uid="{0926D4CB-F780-427A-88C9-C482448B9021}"/>
    <cellStyle name="Normal 2 4 7 2 7" xfId="4703" xr:uid="{00000000-0005-0000-0000-0000E9100000}"/>
    <cellStyle name="Normal 2 4 7 2 7 2" xfId="17364" xr:uid="{52084246-ED33-4D6C-A9B5-89AB4DDFC1B0}"/>
    <cellStyle name="Normal 2 4 7 2 8" xfId="8935" xr:uid="{1447BC5E-03FD-4114-8227-0B60189637FC}"/>
    <cellStyle name="Normal 2 4 7 2 9" xfId="13146" xr:uid="{67ACBA87-F16D-4850-819F-1ED6EB836C3E}"/>
    <cellStyle name="Normal 2 4 7 3" xfId="800" xr:uid="{00000000-0005-0000-0000-0000EA100000}"/>
    <cellStyle name="Normal 2 4 7 3 2" xfId="3039" xr:uid="{00000000-0005-0000-0000-0000EB100000}"/>
    <cellStyle name="Normal 2 4 7 3 2 2" xfId="7261" xr:uid="{00000000-0005-0000-0000-0000EC100000}"/>
    <cellStyle name="Normal 2 4 7 3 2 2 2" xfId="19922" xr:uid="{3B440E8A-11AD-496D-9BFF-5641E406D83E}"/>
    <cellStyle name="Normal 2 4 7 3 2 3" xfId="11493" xr:uid="{B402DED5-D4C4-4B5E-B786-9B834AEED1AB}"/>
    <cellStyle name="Normal 2 4 7 3 2 4" xfId="15704" xr:uid="{819E34EC-D418-4CF9-88C8-73B0ED4D5865}"/>
    <cellStyle name="Normal 2 4 7 3 3" xfId="5116" xr:uid="{00000000-0005-0000-0000-0000ED100000}"/>
    <cellStyle name="Normal 2 4 7 3 3 2" xfId="17777" xr:uid="{904F5875-208F-447E-ADE2-50B10147533A}"/>
    <cellStyle name="Normal 2 4 7 3 4" xfId="9348" xr:uid="{5ECC6641-9262-4E0D-971F-68703CC3E67E}"/>
    <cellStyle name="Normal 2 4 7 3 5" xfId="13559" xr:uid="{5C8E0F9F-EF01-4D75-A4D2-336DEEDBCDD9}"/>
    <cellStyle name="Normal 2 4 7 4" xfId="1222" xr:uid="{00000000-0005-0000-0000-0000EE100000}"/>
    <cellStyle name="Normal 2 4 7 4 2" xfId="3452" xr:uid="{00000000-0005-0000-0000-0000EF100000}"/>
    <cellStyle name="Normal 2 4 7 4 2 2" xfId="7674" xr:uid="{00000000-0005-0000-0000-0000F0100000}"/>
    <cellStyle name="Normal 2 4 7 4 2 2 2" xfId="20335" xr:uid="{C6398FF0-0D21-48FC-844E-711E3C96B149}"/>
    <cellStyle name="Normal 2 4 7 4 2 3" xfId="11906" xr:uid="{7DC2646D-41D3-402B-AC83-EE2377D47142}"/>
    <cellStyle name="Normal 2 4 7 4 2 4" xfId="16117" xr:uid="{493CC19F-6CE8-422D-A156-2AB0F385FAFC}"/>
    <cellStyle name="Normal 2 4 7 4 3" xfId="5529" xr:uid="{00000000-0005-0000-0000-0000F1100000}"/>
    <cellStyle name="Normal 2 4 7 4 3 2" xfId="18190" xr:uid="{97CF9247-FBA6-46E6-8B14-35B4774CD96B}"/>
    <cellStyle name="Normal 2 4 7 4 4" xfId="9761" xr:uid="{7D165858-FAFC-4875-8995-85BA247B5F00}"/>
    <cellStyle name="Normal 2 4 7 4 5" xfId="13972" xr:uid="{D6DC332B-A725-4CBF-946C-6D8535BAAF03}"/>
    <cellStyle name="Normal 2 4 7 5" xfId="1635" xr:uid="{00000000-0005-0000-0000-0000F2100000}"/>
    <cellStyle name="Normal 2 4 7 5 2" xfId="3865" xr:uid="{00000000-0005-0000-0000-0000F3100000}"/>
    <cellStyle name="Normal 2 4 7 5 2 2" xfId="8087" xr:uid="{00000000-0005-0000-0000-0000F4100000}"/>
    <cellStyle name="Normal 2 4 7 5 2 2 2" xfId="20748" xr:uid="{E15190D4-ABF8-4A57-8B16-6453C7C9A86C}"/>
    <cellStyle name="Normal 2 4 7 5 2 3" xfId="12319" xr:uid="{C76C8074-5E2B-4575-B5A6-AEBDBA03954D}"/>
    <cellStyle name="Normal 2 4 7 5 2 4" xfId="16530" xr:uid="{6D6667B0-CD05-4E8D-BB1D-57AD3D97D2C9}"/>
    <cellStyle name="Normal 2 4 7 5 3" xfId="5942" xr:uid="{00000000-0005-0000-0000-0000F5100000}"/>
    <cellStyle name="Normal 2 4 7 5 3 2" xfId="18603" xr:uid="{6605BBD9-59B9-47E7-88D2-19B345134E41}"/>
    <cellStyle name="Normal 2 4 7 5 4" xfId="10174" xr:uid="{6ACE98AF-FB4F-4A8F-9E0D-303D2569AB6F}"/>
    <cellStyle name="Normal 2 4 7 5 5" xfId="14385" xr:uid="{E33AC49A-D91B-4910-9C36-3AF7AC3C4550}"/>
    <cellStyle name="Normal 2 4 7 6" xfId="2049" xr:uid="{00000000-0005-0000-0000-0000F6100000}"/>
    <cellStyle name="Normal 2 4 7 6 2" xfId="4278" xr:uid="{00000000-0005-0000-0000-0000F7100000}"/>
    <cellStyle name="Normal 2 4 7 6 2 2" xfId="8500" xr:uid="{00000000-0005-0000-0000-0000F8100000}"/>
    <cellStyle name="Normal 2 4 7 6 2 2 2" xfId="21161" xr:uid="{AA2950DB-C3B5-47C2-84C2-77ADD8C32513}"/>
    <cellStyle name="Normal 2 4 7 6 2 3" xfId="12732" xr:uid="{CAC4EA99-2DBB-4E76-8214-40B39173F153}"/>
    <cellStyle name="Normal 2 4 7 6 2 4" xfId="16943" xr:uid="{E33D570B-315B-440B-93D9-5788EF356247}"/>
    <cellStyle name="Normal 2 4 7 6 3" xfId="6355" xr:uid="{00000000-0005-0000-0000-0000F9100000}"/>
    <cellStyle name="Normal 2 4 7 6 3 2" xfId="19016" xr:uid="{7E2E6983-F4A8-48A2-B6C0-522A55F3FD9A}"/>
    <cellStyle name="Normal 2 4 7 6 4" xfId="10587" xr:uid="{C480B657-B6B6-42B3-8909-C92A204D9A9A}"/>
    <cellStyle name="Normal 2 4 7 6 5" xfId="14798" xr:uid="{60C893C8-E692-4F65-AF76-34CB79B4E33C}"/>
    <cellStyle name="Normal 2 4 7 7" xfId="2485" xr:uid="{00000000-0005-0000-0000-0000FA100000}"/>
    <cellStyle name="Normal 2 4 7 7 2" xfId="6768" xr:uid="{00000000-0005-0000-0000-0000FB100000}"/>
    <cellStyle name="Normal 2 4 7 7 2 2" xfId="19429" xr:uid="{F34E9C68-A6FA-4AAF-9830-B42AD459FF69}"/>
    <cellStyle name="Normal 2 4 7 7 3" xfId="11000" xr:uid="{6C11995B-E225-461D-A6F5-B8D17FD8C510}"/>
    <cellStyle name="Normal 2 4 7 7 4" xfId="15211" xr:uid="{B08B74FE-5742-4D32-8B57-C3861BA458A8}"/>
    <cellStyle name="Normal 2 4 7 8" xfId="4702" xr:uid="{00000000-0005-0000-0000-0000FC100000}"/>
    <cellStyle name="Normal 2 4 7 8 2" xfId="17363" xr:uid="{863D5499-9179-4FC9-AF5E-45A387124CB3}"/>
    <cellStyle name="Normal 2 4 7 9" xfId="8934" xr:uid="{85C06EB0-EAFB-44BB-B745-DEA4936AFF6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9924" xr:uid="{7C46963C-36B3-467E-825B-2C53AC0DDA77}"/>
    <cellStyle name="Normal 2 4 8 2 2 3" xfId="11495" xr:uid="{BD010460-23FD-4407-A4C6-E308474F59C0}"/>
    <cellStyle name="Normal 2 4 8 2 2 4" xfId="15706" xr:uid="{99C018CC-0214-4AE0-9215-BDC65A09DFE8}"/>
    <cellStyle name="Normal 2 4 8 2 3" xfId="5118" xr:uid="{00000000-0005-0000-0000-000001110000}"/>
    <cellStyle name="Normal 2 4 8 2 3 2" xfId="17779" xr:uid="{ED0F1112-D49C-46B5-A176-A62AA0A40AF7}"/>
    <cellStyle name="Normal 2 4 8 2 4" xfId="9350" xr:uid="{E7AAF4E2-F11E-476F-9311-8BCDE1061480}"/>
    <cellStyle name="Normal 2 4 8 2 5" xfId="13561" xr:uid="{6B84634D-B316-4EDA-ACB6-84690AD794BE}"/>
    <cellStyle name="Normal 2 4 8 3" xfId="1224" xr:uid="{00000000-0005-0000-0000-000002110000}"/>
    <cellStyle name="Normal 2 4 8 3 2" xfId="3454" xr:uid="{00000000-0005-0000-0000-000003110000}"/>
    <cellStyle name="Normal 2 4 8 3 2 2" xfId="7676" xr:uid="{00000000-0005-0000-0000-000004110000}"/>
    <cellStyle name="Normal 2 4 8 3 2 2 2" xfId="20337" xr:uid="{A19E713A-B0E0-443C-A440-830D9FFD16A1}"/>
    <cellStyle name="Normal 2 4 8 3 2 3" xfId="11908" xr:uid="{EBF600B2-A1C4-4CB5-9ECC-F0B035EDB64A}"/>
    <cellStyle name="Normal 2 4 8 3 2 4" xfId="16119" xr:uid="{54249F73-B365-44AA-9C5D-6AA6C1FFA828}"/>
    <cellStyle name="Normal 2 4 8 3 3" xfId="5531" xr:uid="{00000000-0005-0000-0000-000005110000}"/>
    <cellStyle name="Normal 2 4 8 3 3 2" xfId="18192" xr:uid="{50EF8F8B-357F-448E-9B3A-D7C83690DE7D}"/>
    <cellStyle name="Normal 2 4 8 3 4" xfId="9763" xr:uid="{6F6F1FE3-3567-4222-B756-FB2BDE7954A5}"/>
    <cellStyle name="Normal 2 4 8 3 5" xfId="13974" xr:uid="{AEA02FB7-86A9-4358-A3AE-9ACB60EA6C4E}"/>
    <cellStyle name="Normal 2 4 8 4" xfId="1637" xr:uid="{00000000-0005-0000-0000-000006110000}"/>
    <cellStyle name="Normal 2 4 8 4 2" xfId="3867" xr:uid="{00000000-0005-0000-0000-000007110000}"/>
    <cellStyle name="Normal 2 4 8 4 2 2" xfId="8089" xr:uid="{00000000-0005-0000-0000-000008110000}"/>
    <cellStyle name="Normal 2 4 8 4 2 2 2" xfId="20750" xr:uid="{7470A299-42A5-42C2-BE5C-973AD5598427}"/>
    <cellStyle name="Normal 2 4 8 4 2 3" xfId="12321" xr:uid="{EA800EB5-C109-41BF-879A-EB106F926913}"/>
    <cellStyle name="Normal 2 4 8 4 2 4" xfId="16532" xr:uid="{FF4140D8-CAF4-4660-A72F-224710AB4054}"/>
    <cellStyle name="Normal 2 4 8 4 3" xfId="5944" xr:uid="{00000000-0005-0000-0000-000009110000}"/>
    <cellStyle name="Normal 2 4 8 4 3 2" xfId="18605" xr:uid="{ABDBA31E-D0E6-4015-8279-B6BF92A20D68}"/>
    <cellStyle name="Normal 2 4 8 4 4" xfId="10176" xr:uid="{33B74C6F-0CFB-4E07-8950-39ED16895F18}"/>
    <cellStyle name="Normal 2 4 8 4 5" xfId="14387" xr:uid="{28068CBA-7A84-4777-939B-6FB331AA4BB9}"/>
    <cellStyle name="Normal 2 4 8 5" xfId="2051" xr:uid="{00000000-0005-0000-0000-00000A110000}"/>
    <cellStyle name="Normal 2 4 8 5 2" xfId="4280" xr:uid="{00000000-0005-0000-0000-00000B110000}"/>
    <cellStyle name="Normal 2 4 8 5 2 2" xfId="8502" xr:uid="{00000000-0005-0000-0000-00000C110000}"/>
    <cellStyle name="Normal 2 4 8 5 2 2 2" xfId="21163" xr:uid="{A445A897-18E8-4BAD-AFA9-905AAC955795}"/>
    <cellStyle name="Normal 2 4 8 5 2 3" xfId="12734" xr:uid="{2849B1B1-617E-4EEA-932A-7D6DD2E57F03}"/>
    <cellStyle name="Normal 2 4 8 5 2 4" xfId="16945" xr:uid="{BB0B945F-51A4-4954-A9A2-A08F78C6FF1C}"/>
    <cellStyle name="Normal 2 4 8 5 3" xfId="6357" xr:uid="{00000000-0005-0000-0000-00000D110000}"/>
    <cellStyle name="Normal 2 4 8 5 3 2" xfId="19018" xr:uid="{56400A6C-AD3D-4CB4-AE32-B16A588F110E}"/>
    <cellStyle name="Normal 2 4 8 5 4" xfId="10589" xr:uid="{1EC1BEB1-729C-4D54-BF5A-73A95AF6282F}"/>
    <cellStyle name="Normal 2 4 8 5 5" xfId="14800" xr:uid="{B2B6A7CE-0E8B-475D-9923-B3B8629C2637}"/>
    <cellStyle name="Normal 2 4 8 6" xfId="2487" xr:uid="{00000000-0005-0000-0000-00000E110000}"/>
    <cellStyle name="Normal 2 4 8 6 2" xfId="6770" xr:uid="{00000000-0005-0000-0000-00000F110000}"/>
    <cellStyle name="Normal 2 4 8 6 2 2" xfId="19431" xr:uid="{910FCA94-77A1-4600-A82A-565AEBCFD163}"/>
    <cellStyle name="Normal 2 4 8 6 3" xfId="11002" xr:uid="{F0814FC5-EE06-45A2-9229-EDA1F3A650A8}"/>
    <cellStyle name="Normal 2 4 8 6 4" xfId="15213" xr:uid="{5512E258-650F-4EB8-AD9B-67673F5ECD01}"/>
    <cellStyle name="Normal 2 4 8 7" xfId="4704" xr:uid="{00000000-0005-0000-0000-000010110000}"/>
    <cellStyle name="Normal 2 4 8 7 2" xfId="17365" xr:uid="{C66D3E39-33E9-4C31-92FC-04BDB58EAFAA}"/>
    <cellStyle name="Normal 2 4 8 8" xfId="8936" xr:uid="{92C962BE-5CDF-40E3-A1E3-62550B844DAD}"/>
    <cellStyle name="Normal 2 4 8 9" xfId="13147" xr:uid="{67C18DEE-AAC9-44FE-94A6-599251F318F0}"/>
    <cellStyle name="Normal 2 5" xfId="315" xr:uid="{00000000-0005-0000-0000-000011110000}"/>
    <cellStyle name="Normal 2 5 10" xfId="4705" xr:uid="{00000000-0005-0000-0000-000012110000}"/>
    <cellStyle name="Normal 2 5 10 2" xfId="17366" xr:uid="{947874DA-D26D-4B60-9836-1D56A01F3382}"/>
    <cellStyle name="Normal 2 5 11" xfId="8937" xr:uid="{734C8CB1-719D-4D70-A119-6F6AB4782610}"/>
    <cellStyle name="Normal 2 5 12" xfId="13148" xr:uid="{CA93243C-08D8-4217-AD3B-85EB3534A66E}"/>
    <cellStyle name="Normal 2 5 2" xfId="316" xr:uid="{00000000-0005-0000-0000-000013110000}"/>
    <cellStyle name="Normal 2 5 3" xfId="317" xr:uid="{00000000-0005-0000-0000-000014110000}"/>
    <cellStyle name="Normal 2 5 4" xfId="318" xr:uid="{00000000-0005-0000-0000-000015110000}"/>
    <cellStyle name="Normal 2 5 4 10" xfId="8938" xr:uid="{B1A05F92-4871-4F24-9372-872D249D6597}"/>
    <cellStyle name="Normal 2 5 4 11" xfId="13149" xr:uid="{4339E745-725A-4A52-9D8A-3D1136D2F452}"/>
    <cellStyle name="Normal 2 5 4 2" xfId="319" xr:uid="{00000000-0005-0000-0000-000016110000}"/>
    <cellStyle name="Normal 2 5 4 2 10" xfId="13150" xr:uid="{22E4655F-A262-4C51-84D9-43FCDF9A668C}"/>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9928" xr:uid="{966FFAEB-8C14-46EB-B053-CF65B6AF6B4D}"/>
    <cellStyle name="Normal 2 5 4 2 2 2 2 3" xfId="11499" xr:uid="{1FF9F119-6981-4740-BD55-85F3EAF00261}"/>
    <cellStyle name="Normal 2 5 4 2 2 2 2 4" xfId="15710" xr:uid="{DE4B3BE1-9F81-4BD1-B623-27AFAE736318}"/>
    <cellStyle name="Normal 2 5 4 2 2 2 3" xfId="5122" xr:uid="{00000000-0005-0000-0000-00001B110000}"/>
    <cellStyle name="Normal 2 5 4 2 2 2 3 2" xfId="17783" xr:uid="{D438FDDA-ED45-4FF8-A6FA-EC69A7EB865C}"/>
    <cellStyle name="Normal 2 5 4 2 2 2 4" xfId="9354" xr:uid="{78FA2B99-D3E6-470F-8922-86C87FB3305D}"/>
    <cellStyle name="Normal 2 5 4 2 2 2 5" xfId="13565" xr:uid="{77B1F33B-A6D4-40FB-94EA-C0A76361A757}"/>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20341" xr:uid="{4EE3BCDF-895E-4729-BE8F-25F2C103CBA9}"/>
    <cellStyle name="Normal 2 5 4 2 2 3 2 3" xfId="11912" xr:uid="{5D2BF175-1764-4279-98F1-5D39A0FBA8F1}"/>
    <cellStyle name="Normal 2 5 4 2 2 3 2 4" xfId="16123" xr:uid="{2D672778-66E3-48B4-B2CB-C4C8A3B735CE}"/>
    <cellStyle name="Normal 2 5 4 2 2 3 3" xfId="5535" xr:uid="{00000000-0005-0000-0000-00001F110000}"/>
    <cellStyle name="Normal 2 5 4 2 2 3 3 2" xfId="18196" xr:uid="{037E8576-8329-4A06-9EE9-A04E8A4EFB3E}"/>
    <cellStyle name="Normal 2 5 4 2 2 3 4" xfId="9767" xr:uid="{C9705C5E-33A2-4932-A996-B04046D845A8}"/>
    <cellStyle name="Normal 2 5 4 2 2 3 5" xfId="13978" xr:uid="{465740DE-0692-4E21-81FD-6C4BD03EC6C6}"/>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20754" xr:uid="{0B3D7F75-4128-450A-909F-977A2F178830}"/>
    <cellStyle name="Normal 2 5 4 2 2 4 2 3" xfId="12325" xr:uid="{C1C433AA-497A-4332-9FAA-FEA042ED2D10}"/>
    <cellStyle name="Normal 2 5 4 2 2 4 2 4" xfId="16536" xr:uid="{88D78431-775B-478C-9C5F-BF43B2233878}"/>
    <cellStyle name="Normal 2 5 4 2 2 4 3" xfId="5948" xr:uid="{00000000-0005-0000-0000-000023110000}"/>
    <cellStyle name="Normal 2 5 4 2 2 4 3 2" xfId="18609" xr:uid="{613EA498-7AFB-4264-B537-2DF4656B0222}"/>
    <cellStyle name="Normal 2 5 4 2 2 4 4" xfId="10180" xr:uid="{33145DE1-C9DC-4C61-8CDC-1525BE531417}"/>
    <cellStyle name="Normal 2 5 4 2 2 4 5" xfId="14391" xr:uid="{45CB48B0-FA6E-48F0-815B-D284649AB87E}"/>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21167" xr:uid="{BFF62A52-8E95-4A91-80C6-7C3BBC919337}"/>
    <cellStyle name="Normal 2 5 4 2 2 5 2 3" xfId="12738" xr:uid="{B1C679BB-59BA-4250-860D-28C87F37E30D}"/>
    <cellStyle name="Normal 2 5 4 2 2 5 2 4" xfId="16949" xr:uid="{3F879FCE-AE75-4F35-B4D6-19BB7CCD8361}"/>
    <cellStyle name="Normal 2 5 4 2 2 5 3" xfId="6361" xr:uid="{00000000-0005-0000-0000-000027110000}"/>
    <cellStyle name="Normal 2 5 4 2 2 5 3 2" xfId="19022" xr:uid="{2878E605-ADC4-4191-BB90-11675F8FB9E3}"/>
    <cellStyle name="Normal 2 5 4 2 2 5 4" xfId="10593" xr:uid="{8DF88CD1-C539-4388-A7BB-EA6BFA780382}"/>
    <cellStyle name="Normal 2 5 4 2 2 5 5" xfId="14804" xr:uid="{0A6DC020-AB24-42B9-BD5D-E51F92F156F2}"/>
    <cellStyle name="Normal 2 5 4 2 2 6" xfId="2491" xr:uid="{00000000-0005-0000-0000-000028110000}"/>
    <cellStyle name="Normal 2 5 4 2 2 6 2" xfId="6774" xr:uid="{00000000-0005-0000-0000-000029110000}"/>
    <cellStyle name="Normal 2 5 4 2 2 6 2 2" xfId="19435" xr:uid="{7FC2D887-E560-48CF-A8D2-5ED94C1F17CE}"/>
    <cellStyle name="Normal 2 5 4 2 2 6 3" xfId="11006" xr:uid="{49A52ED3-9463-481E-ADB5-D10604B3A481}"/>
    <cellStyle name="Normal 2 5 4 2 2 6 4" xfId="15217" xr:uid="{1D485978-BB3B-4A8E-9313-85F313C5F25A}"/>
    <cellStyle name="Normal 2 5 4 2 2 7" xfId="4708" xr:uid="{00000000-0005-0000-0000-00002A110000}"/>
    <cellStyle name="Normal 2 5 4 2 2 7 2" xfId="17369" xr:uid="{AAADC627-197F-4AF7-B8ED-8263829A78FB}"/>
    <cellStyle name="Normal 2 5 4 2 2 8" xfId="8940" xr:uid="{F1E6F92A-C292-4B99-A834-40577639A6F4}"/>
    <cellStyle name="Normal 2 5 4 2 2 9" xfId="13151" xr:uid="{3BCDB03D-B56A-4FA7-9F0F-936FA6BE8200}"/>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9927" xr:uid="{FB6B72EA-C90C-4F89-852C-3607BDC019B3}"/>
    <cellStyle name="Normal 2 5 4 2 3 2 3" xfId="11498" xr:uid="{701F8113-824B-4DA0-B668-FF3B6090CDE3}"/>
    <cellStyle name="Normal 2 5 4 2 3 2 4" xfId="15709" xr:uid="{875BB01D-5005-4115-94C4-88082B3E8D0B}"/>
    <cellStyle name="Normal 2 5 4 2 3 3" xfId="5121" xr:uid="{00000000-0005-0000-0000-00002E110000}"/>
    <cellStyle name="Normal 2 5 4 2 3 3 2" xfId="17782" xr:uid="{72E6DC10-9035-496B-9F45-829325D618BE}"/>
    <cellStyle name="Normal 2 5 4 2 3 4" xfId="9353" xr:uid="{FE11205E-A17B-43B1-825E-78E6115751E7}"/>
    <cellStyle name="Normal 2 5 4 2 3 5" xfId="13564" xr:uid="{E29C22EA-9C35-44CA-B0A1-E6FCE12180A0}"/>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20340" xr:uid="{403C7BD1-9E25-4B7D-96A5-A32D48CAF1B1}"/>
    <cellStyle name="Normal 2 5 4 2 4 2 3" xfId="11911" xr:uid="{ED98E5A8-3428-4641-A05E-0ED30B66CEBD}"/>
    <cellStyle name="Normal 2 5 4 2 4 2 4" xfId="16122" xr:uid="{9F587426-F116-406A-B034-90F4CB7C0098}"/>
    <cellStyle name="Normal 2 5 4 2 4 3" xfId="5534" xr:uid="{00000000-0005-0000-0000-000032110000}"/>
    <cellStyle name="Normal 2 5 4 2 4 3 2" xfId="18195" xr:uid="{619F9CA0-D1FA-436A-9D56-5EBF40934002}"/>
    <cellStyle name="Normal 2 5 4 2 4 4" xfId="9766" xr:uid="{5ECBC36B-C0CD-4E0E-B449-936C9B676B47}"/>
    <cellStyle name="Normal 2 5 4 2 4 5" xfId="13977" xr:uid="{1686B0F2-BF25-4AAA-8725-643B21AD3C28}"/>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20753" xr:uid="{5F104DB1-A159-4250-87E9-2CD83869DB13}"/>
    <cellStyle name="Normal 2 5 4 2 5 2 3" xfId="12324" xr:uid="{B2B35168-7CF6-4952-837E-5CBB3C500261}"/>
    <cellStyle name="Normal 2 5 4 2 5 2 4" xfId="16535" xr:uid="{E2F2B1F3-EC06-4949-A14A-1C1023376C34}"/>
    <cellStyle name="Normal 2 5 4 2 5 3" xfId="5947" xr:uid="{00000000-0005-0000-0000-000036110000}"/>
    <cellStyle name="Normal 2 5 4 2 5 3 2" xfId="18608" xr:uid="{B222E3A9-1E62-4B4E-AC6D-D59183525C36}"/>
    <cellStyle name="Normal 2 5 4 2 5 4" xfId="10179" xr:uid="{22DEDA70-E809-4EE7-9032-B5FF1D795AD2}"/>
    <cellStyle name="Normal 2 5 4 2 5 5" xfId="14390" xr:uid="{595EE108-7842-4842-80CB-CA35AF4C3D9B}"/>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21166" xr:uid="{A2DDE273-B22F-46D2-9A42-F390DD38E647}"/>
    <cellStyle name="Normal 2 5 4 2 6 2 3" xfId="12737" xr:uid="{D5EB3649-D38E-4596-82B7-68EA6CCDB091}"/>
    <cellStyle name="Normal 2 5 4 2 6 2 4" xfId="16948" xr:uid="{752D77FB-53E5-4F4F-AFC2-C2E66D1FAAA6}"/>
    <cellStyle name="Normal 2 5 4 2 6 3" xfId="6360" xr:uid="{00000000-0005-0000-0000-00003A110000}"/>
    <cellStyle name="Normal 2 5 4 2 6 3 2" xfId="19021" xr:uid="{D9E97D47-5372-43E5-8CBE-70F95F872277}"/>
    <cellStyle name="Normal 2 5 4 2 6 4" xfId="10592" xr:uid="{D429B968-E89E-49A3-9007-6D77674B3B0D}"/>
    <cellStyle name="Normal 2 5 4 2 6 5" xfId="14803" xr:uid="{583E1658-6DF0-4F59-A1EC-7C8756930B01}"/>
    <cellStyle name="Normal 2 5 4 2 7" xfId="2490" xr:uid="{00000000-0005-0000-0000-00003B110000}"/>
    <cellStyle name="Normal 2 5 4 2 7 2" xfId="6773" xr:uid="{00000000-0005-0000-0000-00003C110000}"/>
    <cellStyle name="Normal 2 5 4 2 7 2 2" xfId="19434" xr:uid="{745F0FD4-528C-4D1D-8E80-2AEC5C690E63}"/>
    <cellStyle name="Normal 2 5 4 2 7 3" xfId="11005" xr:uid="{7277DF1C-EB3B-4F67-9BE9-329015FF1DAC}"/>
    <cellStyle name="Normal 2 5 4 2 7 4" xfId="15216" xr:uid="{CF302EC4-972A-4B01-AAB6-79E9555DD09C}"/>
    <cellStyle name="Normal 2 5 4 2 8" xfId="4707" xr:uid="{00000000-0005-0000-0000-00003D110000}"/>
    <cellStyle name="Normal 2 5 4 2 8 2" xfId="17368" xr:uid="{6AF611CC-1F0D-45E7-9175-57110951B7CF}"/>
    <cellStyle name="Normal 2 5 4 2 9" xfId="8939" xr:uid="{23A3EF82-C73E-44B2-97EC-B6EED1AABDDC}"/>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9929" xr:uid="{BC734A68-B0DB-4A1F-916B-198631E79759}"/>
    <cellStyle name="Normal 2 5 4 3 2 2 3" xfId="11500" xr:uid="{F7F991B9-4985-42DB-B6EF-0E98917816BC}"/>
    <cellStyle name="Normal 2 5 4 3 2 2 4" xfId="15711" xr:uid="{C7FE588E-CFAB-4FA5-B986-6DF48BBBE599}"/>
    <cellStyle name="Normal 2 5 4 3 2 3" xfId="5123" xr:uid="{00000000-0005-0000-0000-000042110000}"/>
    <cellStyle name="Normal 2 5 4 3 2 3 2" xfId="17784" xr:uid="{8C479404-88C8-499C-A137-FDAB7F711D7D}"/>
    <cellStyle name="Normal 2 5 4 3 2 4" xfId="9355" xr:uid="{F8282168-1EAE-493C-9388-1C5C1C9D9561}"/>
    <cellStyle name="Normal 2 5 4 3 2 5" xfId="13566" xr:uid="{BF3837A2-72DF-4C88-9681-294C8B90EE38}"/>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20342" xr:uid="{A12B8BF9-53E1-4028-9B5B-583C04B07BE2}"/>
    <cellStyle name="Normal 2 5 4 3 3 2 3" xfId="11913" xr:uid="{6C24F55B-2C88-4AB8-A40E-36F75B4C7E69}"/>
    <cellStyle name="Normal 2 5 4 3 3 2 4" xfId="16124" xr:uid="{D0F291D0-43FF-4363-B0AB-4AA109DABB0D}"/>
    <cellStyle name="Normal 2 5 4 3 3 3" xfId="5536" xr:uid="{00000000-0005-0000-0000-000046110000}"/>
    <cellStyle name="Normal 2 5 4 3 3 3 2" xfId="18197" xr:uid="{0206427D-1261-408D-8BB1-8E32D3D7B3AF}"/>
    <cellStyle name="Normal 2 5 4 3 3 4" xfId="9768" xr:uid="{8A0402D8-19D7-4004-90B2-A80B381D1443}"/>
    <cellStyle name="Normal 2 5 4 3 3 5" xfId="13979" xr:uid="{7515E669-8F57-42B2-8DB3-AE859D456232}"/>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20755" xr:uid="{043422BD-6B3D-478B-8609-56547E45D3A3}"/>
    <cellStyle name="Normal 2 5 4 3 4 2 3" xfId="12326" xr:uid="{05E4A0C2-31DD-4B20-86B0-B1B01B3B8A40}"/>
    <cellStyle name="Normal 2 5 4 3 4 2 4" xfId="16537" xr:uid="{39990750-B707-4D7B-A04A-D6D64BCFA907}"/>
    <cellStyle name="Normal 2 5 4 3 4 3" xfId="5949" xr:uid="{00000000-0005-0000-0000-00004A110000}"/>
    <cellStyle name="Normal 2 5 4 3 4 3 2" xfId="18610" xr:uid="{44DEF50A-4F49-4186-87F8-B3CF5B12554B}"/>
    <cellStyle name="Normal 2 5 4 3 4 4" xfId="10181" xr:uid="{82F27170-F90D-478E-AF26-BADE46C9F5E7}"/>
    <cellStyle name="Normal 2 5 4 3 4 5" xfId="14392" xr:uid="{FEEF5D09-1511-4A49-BA35-35B0274356A4}"/>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21168" xr:uid="{110A1ACC-272F-4798-9C0E-47F4E40A7EA9}"/>
    <cellStyle name="Normal 2 5 4 3 5 2 3" xfId="12739" xr:uid="{2A0D4404-E858-456D-8783-63626D16E0A2}"/>
    <cellStyle name="Normal 2 5 4 3 5 2 4" xfId="16950" xr:uid="{7BC47544-8FC8-4CAB-B680-497F59550F21}"/>
    <cellStyle name="Normal 2 5 4 3 5 3" xfId="6362" xr:uid="{00000000-0005-0000-0000-00004E110000}"/>
    <cellStyle name="Normal 2 5 4 3 5 3 2" xfId="19023" xr:uid="{E2AC3876-209B-4B40-ABCA-1DF3935A46E3}"/>
    <cellStyle name="Normal 2 5 4 3 5 4" xfId="10594" xr:uid="{AE3D3A0D-BAD7-4204-8D89-6579D6DBFB27}"/>
    <cellStyle name="Normal 2 5 4 3 5 5" xfId="14805" xr:uid="{3BB14772-886D-4843-BB91-53D9539E7413}"/>
    <cellStyle name="Normal 2 5 4 3 6" xfId="2492" xr:uid="{00000000-0005-0000-0000-00004F110000}"/>
    <cellStyle name="Normal 2 5 4 3 6 2" xfId="6775" xr:uid="{00000000-0005-0000-0000-000050110000}"/>
    <cellStyle name="Normal 2 5 4 3 6 2 2" xfId="19436" xr:uid="{DF0EB7C8-B447-408E-BFEE-BEFDBCB475F1}"/>
    <cellStyle name="Normal 2 5 4 3 6 3" xfId="11007" xr:uid="{F58D8EE0-7EB4-4317-BABE-A814D4D5A89F}"/>
    <cellStyle name="Normal 2 5 4 3 6 4" xfId="15218" xr:uid="{622212D7-1FE9-4DDE-969A-8CDFC370F0B5}"/>
    <cellStyle name="Normal 2 5 4 3 7" xfId="4709" xr:uid="{00000000-0005-0000-0000-000051110000}"/>
    <cellStyle name="Normal 2 5 4 3 7 2" xfId="17370" xr:uid="{5DCA219D-1B5D-4D17-BA11-CE4B0F4B0801}"/>
    <cellStyle name="Normal 2 5 4 3 8" xfId="8941" xr:uid="{CE6593A3-B347-4128-9FF6-FAE4F64732EA}"/>
    <cellStyle name="Normal 2 5 4 3 9" xfId="13152" xr:uid="{8AB0F6D5-C64A-42C9-98EC-2016BA9C86CE}"/>
    <cellStyle name="Normal 2 5 4 4" xfId="804" xr:uid="{00000000-0005-0000-0000-000052110000}"/>
    <cellStyle name="Normal 2 5 4 4 2" xfId="3043" xr:uid="{00000000-0005-0000-0000-000053110000}"/>
    <cellStyle name="Normal 2 5 4 4 2 2" xfId="7265" xr:uid="{00000000-0005-0000-0000-000054110000}"/>
    <cellStyle name="Normal 2 5 4 4 2 2 2" xfId="19926" xr:uid="{FAA0FFC1-EF90-4DEB-B32E-AADCCD0D0D68}"/>
    <cellStyle name="Normal 2 5 4 4 2 3" xfId="11497" xr:uid="{4588B90A-20BE-4A44-B9B1-AE98A59A5728}"/>
    <cellStyle name="Normal 2 5 4 4 2 4" xfId="15708" xr:uid="{648D7B63-2DA2-42B8-A2B7-5169D4AD1012}"/>
    <cellStyle name="Normal 2 5 4 4 3" xfId="5120" xr:uid="{00000000-0005-0000-0000-000055110000}"/>
    <cellStyle name="Normal 2 5 4 4 3 2" xfId="17781" xr:uid="{CD267CCF-7918-4AFE-865D-5300B685C290}"/>
    <cellStyle name="Normal 2 5 4 4 4" xfId="9352" xr:uid="{A6005BE7-A364-4519-9FFD-6DECBF74B30B}"/>
    <cellStyle name="Normal 2 5 4 4 5" xfId="13563" xr:uid="{8A1EA50D-531C-425F-8708-4D065229BF22}"/>
    <cellStyle name="Normal 2 5 4 5" xfId="1226" xr:uid="{00000000-0005-0000-0000-000056110000}"/>
    <cellStyle name="Normal 2 5 4 5 2" xfId="3456" xr:uid="{00000000-0005-0000-0000-000057110000}"/>
    <cellStyle name="Normal 2 5 4 5 2 2" xfId="7678" xr:uid="{00000000-0005-0000-0000-000058110000}"/>
    <cellStyle name="Normal 2 5 4 5 2 2 2" xfId="20339" xr:uid="{D0AE8BBF-3613-45B7-8EBA-D291F4A5E7F2}"/>
    <cellStyle name="Normal 2 5 4 5 2 3" xfId="11910" xr:uid="{8FBF7895-2E5A-4C27-A003-CE2B3B5C3A00}"/>
    <cellStyle name="Normal 2 5 4 5 2 4" xfId="16121" xr:uid="{422F779C-A891-49BF-9031-E9B77FFE5A12}"/>
    <cellStyle name="Normal 2 5 4 5 3" xfId="5533" xr:uid="{00000000-0005-0000-0000-000059110000}"/>
    <cellStyle name="Normal 2 5 4 5 3 2" xfId="18194" xr:uid="{3379962C-D719-4EBA-B7D6-A7EC888FF692}"/>
    <cellStyle name="Normal 2 5 4 5 4" xfId="9765" xr:uid="{41BBBA47-0995-4288-91CB-AB19D5F42D53}"/>
    <cellStyle name="Normal 2 5 4 5 5" xfId="13976" xr:uid="{2709DA40-DFD5-4201-BD96-892782805BCE}"/>
    <cellStyle name="Normal 2 5 4 6" xfId="1639" xr:uid="{00000000-0005-0000-0000-00005A110000}"/>
    <cellStyle name="Normal 2 5 4 6 2" xfId="3869" xr:uid="{00000000-0005-0000-0000-00005B110000}"/>
    <cellStyle name="Normal 2 5 4 6 2 2" xfId="8091" xr:uid="{00000000-0005-0000-0000-00005C110000}"/>
    <cellStyle name="Normal 2 5 4 6 2 2 2" xfId="20752" xr:uid="{1C0E02F4-4322-4B9C-AA31-0634320ED5A6}"/>
    <cellStyle name="Normal 2 5 4 6 2 3" xfId="12323" xr:uid="{E0BEC4D8-851F-48C6-8432-B26AA0227736}"/>
    <cellStyle name="Normal 2 5 4 6 2 4" xfId="16534" xr:uid="{5DB8A06E-A37E-4E29-90EA-09DAA0BE73BA}"/>
    <cellStyle name="Normal 2 5 4 6 3" xfId="5946" xr:uid="{00000000-0005-0000-0000-00005D110000}"/>
    <cellStyle name="Normal 2 5 4 6 3 2" xfId="18607" xr:uid="{FBC28CDD-040F-4781-A332-C5638940576D}"/>
    <cellStyle name="Normal 2 5 4 6 4" xfId="10178" xr:uid="{65D94F72-DE24-41D9-8CED-A5FED38C563C}"/>
    <cellStyle name="Normal 2 5 4 6 5" xfId="14389" xr:uid="{16D0FDA9-D8A0-40CA-A850-8DE27BE0B9F1}"/>
    <cellStyle name="Normal 2 5 4 7" xfId="2053" xr:uid="{00000000-0005-0000-0000-00005E110000}"/>
    <cellStyle name="Normal 2 5 4 7 2" xfId="4282" xr:uid="{00000000-0005-0000-0000-00005F110000}"/>
    <cellStyle name="Normal 2 5 4 7 2 2" xfId="8504" xr:uid="{00000000-0005-0000-0000-000060110000}"/>
    <cellStyle name="Normal 2 5 4 7 2 2 2" xfId="21165" xr:uid="{0E37AB13-7EB4-4A7A-8D01-24E58F967C4A}"/>
    <cellStyle name="Normal 2 5 4 7 2 3" xfId="12736" xr:uid="{D3C76673-B705-4CD3-9857-E26A0F87D9E7}"/>
    <cellStyle name="Normal 2 5 4 7 2 4" xfId="16947" xr:uid="{72C586DE-BB63-4C65-AC38-B501D9E0CBBD}"/>
    <cellStyle name="Normal 2 5 4 7 3" xfId="6359" xr:uid="{00000000-0005-0000-0000-000061110000}"/>
    <cellStyle name="Normal 2 5 4 7 3 2" xfId="19020" xr:uid="{EEBECF5A-9EA6-4A70-80F0-8850ED13B99C}"/>
    <cellStyle name="Normal 2 5 4 7 4" xfId="10591" xr:uid="{676839C3-1CAC-4DA4-959D-CA5D290CD211}"/>
    <cellStyle name="Normal 2 5 4 7 5" xfId="14802" xr:uid="{17D381B1-15C9-4255-AC74-6C9AF58B330E}"/>
    <cellStyle name="Normal 2 5 4 8" xfId="2489" xr:uid="{00000000-0005-0000-0000-000062110000}"/>
    <cellStyle name="Normal 2 5 4 8 2" xfId="6772" xr:uid="{00000000-0005-0000-0000-000063110000}"/>
    <cellStyle name="Normal 2 5 4 8 2 2" xfId="19433" xr:uid="{3670B24C-3B1A-421B-9A0F-E47DF5646A19}"/>
    <cellStyle name="Normal 2 5 4 8 3" xfId="11004" xr:uid="{42B174DA-CF5D-416F-94E6-EEA16959C193}"/>
    <cellStyle name="Normal 2 5 4 8 4" xfId="15215" xr:uid="{40F7AB8B-3740-4CC4-A2C1-E74E9083F570}"/>
    <cellStyle name="Normal 2 5 4 9" xfId="4706" xr:uid="{00000000-0005-0000-0000-000064110000}"/>
    <cellStyle name="Normal 2 5 4 9 2" xfId="17367" xr:uid="{562EB5E1-73FB-4AF8-9F3A-2FAB20C13A00}"/>
    <cellStyle name="Normal 2 5 5" xfId="803" xr:uid="{00000000-0005-0000-0000-000065110000}"/>
    <cellStyle name="Normal 2 5 5 2" xfId="3042" xr:uid="{00000000-0005-0000-0000-000066110000}"/>
    <cellStyle name="Normal 2 5 5 2 2" xfId="7264" xr:uid="{00000000-0005-0000-0000-000067110000}"/>
    <cellStyle name="Normal 2 5 5 2 2 2" xfId="19925" xr:uid="{A5317304-EB58-4314-801F-19D97C06B13F}"/>
    <cellStyle name="Normal 2 5 5 2 3" xfId="11496" xr:uid="{4EBE72E2-4E6F-4AE2-9563-772511B98D2A}"/>
    <cellStyle name="Normal 2 5 5 2 4" xfId="15707" xr:uid="{3DC51A67-D112-49CF-8E3B-2CA05A2235FE}"/>
    <cellStyle name="Normal 2 5 5 3" xfId="5119" xr:uid="{00000000-0005-0000-0000-000068110000}"/>
    <cellStyle name="Normal 2 5 5 3 2" xfId="17780" xr:uid="{3B70252F-F5E1-4834-B7DC-6ECC77E5EF61}"/>
    <cellStyle name="Normal 2 5 5 4" xfId="9351" xr:uid="{1BFC6E6D-F0FD-4FA7-A448-F4F5C1D73379}"/>
    <cellStyle name="Normal 2 5 5 5" xfId="13562" xr:uid="{62394EFB-9316-4707-BE71-A326437D9778}"/>
    <cellStyle name="Normal 2 5 6" xfId="1225" xr:uid="{00000000-0005-0000-0000-000069110000}"/>
    <cellStyle name="Normal 2 5 6 2" xfId="3455" xr:uid="{00000000-0005-0000-0000-00006A110000}"/>
    <cellStyle name="Normal 2 5 6 2 2" xfId="7677" xr:uid="{00000000-0005-0000-0000-00006B110000}"/>
    <cellStyle name="Normal 2 5 6 2 2 2" xfId="20338" xr:uid="{634EC991-BBD6-4E8C-8189-DC7DBC56E5F3}"/>
    <cellStyle name="Normal 2 5 6 2 3" xfId="11909" xr:uid="{A45C6837-0B79-470A-BEF7-16AFC5205B94}"/>
    <cellStyle name="Normal 2 5 6 2 4" xfId="16120" xr:uid="{475A7FDF-7990-41CA-96DC-959357D76C79}"/>
    <cellStyle name="Normal 2 5 6 3" xfId="5532" xr:uid="{00000000-0005-0000-0000-00006C110000}"/>
    <cellStyle name="Normal 2 5 6 3 2" xfId="18193" xr:uid="{C732E1AB-4CC9-4D51-8109-860A173FE905}"/>
    <cellStyle name="Normal 2 5 6 4" xfId="9764" xr:uid="{47F0BCA1-F623-4240-BC5B-B7C118FAA65D}"/>
    <cellStyle name="Normal 2 5 6 5" xfId="13975" xr:uid="{BC9419A4-EE71-4641-9EFF-B665D5A1767E}"/>
    <cellStyle name="Normal 2 5 7" xfId="1638" xr:uid="{00000000-0005-0000-0000-00006D110000}"/>
    <cellStyle name="Normal 2 5 7 2" xfId="3868" xr:uid="{00000000-0005-0000-0000-00006E110000}"/>
    <cellStyle name="Normal 2 5 7 2 2" xfId="8090" xr:uid="{00000000-0005-0000-0000-00006F110000}"/>
    <cellStyle name="Normal 2 5 7 2 2 2" xfId="20751" xr:uid="{45159E6B-D3F6-4030-899D-5AB41E40D913}"/>
    <cellStyle name="Normal 2 5 7 2 3" xfId="12322" xr:uid="{DA976D3B-B46C-471A-B226-B08F5FCC8CB7}"/>
    <cellStyle name="Normal 2 5 7 2 4" xfId="16533" xr:uid="{299D5989-EA17-4E22-B939-FB97DAAF6E20}"/>
    <cellStyle name="Normal 2 5 7 3" xfId="5945" xr:uid="{00000000-0005-0000-0000-000070110000}"/>
    <cellStyle name="Normal 2 5 7 3 2" xfId="18606" xr:uid="{C228F815-E19F-4EA5-B700-369FCCFEA47C}"/>
    <cellStyle name="Normal 2 5 7 4" xfId="10177" xr:uid="{B76183A5-19AD-4B14-B0A5-DDFBC3D437A1}"/>
    <cellStyle name="Normal 2 5 7 5" xfId="14388" xr:uid="{A5B70BB3-BF4D-4C1B-B019-61DF115DEC92}"/>
    <cellStyle name="Normal 2 5 8" xfId="2052" xr:uid="{00000000-0005-0000-0000-000071110000}"/>
    <cellStyle name="Normal 2 5 8 2" xfId="4281" xr:uid="{00000000-0005-0000-0000-000072110000}"/>
    <cellStyle name="Normal 2 5 8 2 2" xfId="8503" xr:uid="{00000000-0005-0000-0000-000073110000}"/>
    <cellStyle name="Normal 2 5 8 2 2 2" xfId="21164" xr:uid="{55ECA1B9-C8E7-467C-BC81-9D09496A1DF5}"/>
    <cellStyle name="Normal 2 5 8 2 3" xfId="12735" xr:uid="{AC1936BA-16B7-4C06-B56A-82AD856D3319}"/>
    <cellStyle name="Normal 2 5 8 2 4" xfId="16946" xr:uid="{88A6F34F-72CC-4045-B803-ECEE2DDC9137}"/>
    <cellStyle name="Normal 2 5 8 3" xfId="6358" xr:uid="{00000000-0005-0000-0000-000074110000}"/>
    <cellStyle name="Normal 2 5 8 3 2" xfId="19019" xr:uid="{BCE090F4-C98E-49B7-AEEB-C0E49ED7D2DB}"/>
    <cellStyle name="Normal 2 5 8 4" xfId="10590" xr:uid="{AA445706-0FDE-4AC8-9E26-94B9FE0FE483}"/>
    <cellStyle name="Normal 2 5 8 5" xfId="14801" xr:uid="{504725FA-8012-4F4B-A130-3FEB474861A5}"/>
    <cellStyle name="Normal 2 5 9" xfId="2488" xr:uid="{00000000-0005-0000-0000-000075110000}"/>
    <cellStyle name="Normal 2 5 9 2" xfId="6771" xr:uid="{00000000-0005-0000-0000-000076110000}"/>
    <cellStyle name="Normal 2 5 9 2 2" xfId="19432" xr:uid="{50E7F488-4EAD-4D72-AF99-9F94751E1F93}"/>
    <cellStyle name="Normal 2 5 9 3" xfId="11003" xr:uid="{02B92889-B7AE-48A2-B8D3-8CE5BD378D93}"/>
    <cellStyle name="Normal 2 5 9 4" xfId="15214" xr:uid="{0BB88E70-ED59-4594-A993-B37CEC554E27}"/>
    <cellStyle name="Normal 2 6" xfId="322" xr:uid="{00000000-0005-0000-0000-000077110000}"/>
    <cellStyle name="Normal 2 7" xfId="769" xr:uid="{00000000-0005-0000-0000-000078110000}"/>
    <cellStyle name="Normal 2 8" xfId="4495" xr:uid="{00000000-0005-0000-0000-000079110000}"/>
    <cellStyle name="Normal 2 8 2" xfId="17158" xr:uid="{993B5AB7-A409-4244-AAA4-BB0FF7C1A8B9}"/>
    <cellStyle name="Normal 3" xfId="323" xr:uid="{00000000-0005-0000-0000-00007A110000}"/>
    <cellStyle name="Normal 3 2" xfId="324" xr:uid="{00000000-0005-0000-0000-00007B110000}"/>
    <cellStyle name="Normal 3 2 10" xfId="8942" xr:uid="{008A1925-5F6D-42FF-AF5B-22D3DB6D3721}"/>
    <cellStyle name="Normal 3 2 11" xfId="13153" xr:uid="{47F144DA-3816-4F78-9323-5A1576DA3578}"/>
    <cellStyle name="Normal 3 2 2" xfId="325" xr:uid="{00000000-0005-0000-0000-00007C110000}"/>
    <cellStyle name="Normal 3 2 2 2" xfId="810" xr:uid="{00000000-0005-0000-0000-00007D110000}"/>
    <cellStyle name="Normal 3 2 3" xfId="326" xr:uid="{00000000-0005-0000-0000-00007E110000}"/>
    <cellStyle name="Normal 3 2 3 10" xfId="8943" xr:uid="{79F25B20-541E-4B88-B4BE-AEDFB981E361}"/>
    <cellStyle name="Normal 3 2 3 11" xfId="13154" xr:uid="{7A4FABFC-40A1-400F-962A-44D12A9A0F01}"/>
    <cellStyle name="Normal 3 2 3 2" xfId="327" xr:uid="{00000000-0005-0000-0000-00007F110000}"/>
    <cellStyle name="Normal 3 2 3 2 10" xfId="13155" xr:uid="{1EB92392-5DE6-4BA8-AC5E-BF765136E5D7}"/>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9933" xr:uid="{58F2CFCF-6FFA-423D-82B1-76ED8CD6E050}"/>
    <cellStyle name="Normal 3 2 3 2 2 2 2 3" xfId="11504" xr:uid="{43588D20-11C2-4397-A41C-F003C0EE32EA}"/>
    <cellStyle name="Normal 3 2 3 2 2 2 2 4" xfId="15715" xr:uid="{157954AE-9D2D-4929-9F7B-8DA74982FDA2}"/>
    <cellStyle name="Normal 3 2 3 2 2 2 3" xfId="5127" xr:uid="{00000000-0005-0000-0000-000084110000}"/>
    <cellStyle name="Normal 3 2 3 2 2 2 3 2" xfId="17788" xr:uid="{1DAA5785-7A28-4E79-A1EB-5E64357536D8}"/>
    <cellStyle name="Normal 3 2 3 2 2 2 4" xfId="9359" xr:uid="{CEC17C05-209E-4C6B-9C8C-E9960B184BBD}"/>
    <cellStyle name="Normal 3 2 3 2 2 2 5" xfId="13570" xr:uid="{1532F18A-42F6-45E4-BADC-CA79AE550F0B}"/>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20346" xr:uid="{73F19389-3F0C-4562-B005-A479A3DF5A56}"/>
    <cellStyle name="Normal 3 2 3 2 2 3 2 3" xfId="11917" xr:uid="{0301EA98-3F65-46C4-8284-C8DB2C5B4DD0}"/>
    <cellStyle name="Normal 3 2 3 2 2 3 2 4" xfId="16128" xr:uid="{C45A81F1-25C7-457F-9E18-F9F7ADC46109}"/>
    <cellStyle name="Normal 3 2 3 2 2 3 3" xfId="5540" xr:uid="{00000000-0005-0000-0000-000088110000}"/>
    <cellStyle name="Normal 3 2 3 2 2 3 3 2" xfId="18201" xr:uid="{1FFB1D32-EEAE-4A9B-AA13-CB0037481826}"/>
    <cellStyle name="Normal 3 2 3 2 2 3 4" xfId="9772" xr:uid="{61C068FF-637B-45D8-8950-805F5305BBAF}"/>
    <cellStyle name="Normal 3 2 3 2 2 3 5" xfId="13983" xr:uid="{0D8BC9F6-2FC8-4B32-8432-6BE7DD45DD52}"/>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20759" xr:uid="{ADEC368C-1AE8-494F-AF7E-A3DC3E048567}"/>
    <cellStyle name="Normal 3 2 3 2 2 4 2 3" xfId="12330" xr:uid="{66E6ECF8-820D-45DD-A9E2-2120993109DC}"/>
    <cellStyle name="Normal 3 2 3 2 2 4 2 4" xfId="16541" xr:uid="{FEAB90C2-3F0E-44B1-A826-F52F5C8FBD02}"/>
    <cellStyle name="Normal 3 2 3 2 2 4 3" xfId="5953" xr:uid="{00000000-0005-0000-0000-00008C110000}"/>
    <cellStyle name="Normal 3 2 3 2 2 4 3 2" xfId="18614" xr:uid="{1C6A562D-8405-4EF2-9179-5B0E4699CE44}"/>
    <cellStyle name="Normal 3 2 3 2 2 4 4" xfId="10185" xr:uid="{4EC0F4DB-6883-4464-B0FD-1A26532E973F}"/>
    <cellStyle name="Normal 3 2 3 2 2 4 5" xfId="14396" xr:uid="{817C5600-9831-4BD8-8263-9846E3F5EF92}"/>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21172" xr:uid="{91031604-6ED4-4D0A-ACBC-87F14144CEA9}"/>
    <cellStyle name="Normal 3 2 3 2 2 5 2 3" xfId="12743" xr:uid="{7D2D59E4-9AA2-49DA-8AB0-92DC9504324F}"/>
    <cellStyle name="Normal 3 2 3 2 2 5 2 4" xfId="16954" xr:uid="{BA91F60B-8D52-42B3-9912-5351216B843E}"/>
    <cellStyle name="Normal 3 2 3 2 2 5 3" xfId="6366" xr:uid="{00000000-0005-0000-0000-000090110000}"/>
    <cellStyle name="Normal 3 2 3 2 2 5 3 2" xfId="19027" xr:uid="{3D1CA244-5B9E-473C-B89A-3AE36EBC12E7}"/>
    <cellStyle name="Normal 3 2 3 2 2 5 4" xfId="10598" xr:uid="{FFF119CC-3E65-484F-9447-50AD5BAA2EB7}"/>
    <cellStyle name="Normal 3 2 3 2 2 5 5" xfId="14809" xr:uid="{E3D1F5E4-607E-402C-83DE-E5813AB41B34}"/>
    <cellStyle name="Normal 3 2 3 2 2 6" xfId="2496" xr:uid="{00000000-0005-0000-0000-000091110000}"/>
    <cellStyle name="Normal 3 2 3 2 2 6 2" xfId="6779" xr:uid="{00000000-0005-0000-0000-000092110000}"/>
    <cellStyle name="Normal 3 2 3 2 2 6 2 2" xfId="19440" xr:uid="{CFD82946-0F38-406E-A3B0-3BBD2A64C7EE}"/>
    <cellStyle name="Normal 3 2 3 2 2 6 3" xfId="11011" xr:uid="{4A726134-70B3-4734-A8AF-46BA96BA17EC}"/>
    <cellStyle name="Normal 3 2 3 2 2 6 4" xfId="15222" xr:uid="{1D677A15-1958-4614-B148-18FB39AE1DAC}"/>
    <cellStyle name="Normal 3 2 3 2 2 7" xfId="4713" xr:uid="{00000000-0005-0000-0000-000093110000}"/>
    <cellStyle name="Normal 3 2 3 2 2 7 2" xfId="17374" xr:uid="{93AB5115-4819-4345-BF70-D8F129AE157A}"/>
    <cellStyle name="Normal 3 2 3 2 2 8" xfId="8945" xr:uid="{7B1B9D22-10E0-4781-B803-FD863D29BE5F}"/>
    <cellStyle name="Normal 3 2 3 2 2 9" xfId="13156" xr:uid="{21328984-9F41-4333-A725-31D335EACBBA}"/>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9932" xr:uid="{7D56BF71-EB84-431E-AC99-16ED63144ED3}"/>
    <cellStyle name="Normal 3 2 3 2 3 2 3" xfId="11503" xr:uid="{D1E12FEE-C659-4FDE-8184-FFF554C30C29}"/>
    <cellStyle name="Normal 3 2 3 2 3 2 4" xfId="15714" xr:uid="{11F70782-360C-4141-A102-EF3567F33B84}"/>
    <cellStyle name="Normal 3 2 3 2 3 3" xfId="5126" xr:uid="{00000000-0005-0000-0000-000097110000}"/>
    <cellStyle name="Normal 3 2 3 2 3 3 2" xfId="17787" xr:uid="{8975F326-8E0A-49F4-AD24-145873BF3B4F}"/>
    <cellStyle name="Normal 3 2 3 2 3 4" xfId="9358" xr:uid="{74F2D907-150E-4770-94C0-6B17285E18C0}"/>
    <cellStyle name="Normal 3 2 3 2 3 5" xfId="13569" xr:uid="{C5B6EADA-7B00-4231-BDCE-C2CE48868CE6}"/>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20345" xr:uid="{51D03699-3983-42B6-B873-525838558D35}"/>
    <cellStyle name="Normal 3 2 3 2 4 2 3" xfId="11916" xr:uid="{A6D2BE61-07B9-4124-8AD9-328E20F8ADCB}"/>
    <cellStyle name="Normal 3 2 3 2 4 2 4" xfId="16127" xr:uid="{21D4BD76-E340-41D3-8574-0BD959B19D57}"/>
    <cellStyle name="Normal 3 2 3 2 4 3" xfId="5539" xr:uid="{00000000-0005-0000-0000-00009B110000}"/>
    <cellStyle name="Normal 3 2 3 2 4 3 2" xfId="18200" xr:uid="{026F9682-B1B0-44D1-AD65-027327F67F38}"/>
    <cellStyle name="Normal 3 2 3 2 4 4" xfId="9771" xr:uid="{D5AB516E-EA57-4990-B671-462F0D5DACBA}"/>
    <cellStyle name="Normal 3 2 3 2 4 5" xfId="13982" xr:uid="{4EAEFE0F-397F-40C8-9C7C-2145AE639ED6}"/>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20758" xr:uid="{E37BAFDF-15B1-45B8-9C86-62DA238CC21A}"/>
    <cellStyle name="Normal 3 2 3 2 5 2 3" xfId="12329" xr:uid="{59D7DCCA-B086-48CE-82C1-C98023483EA0}"/>
    <cellStyle name="Normal 3 2 3 2 5 2 4" xfId="16540" xr:uid="{957D1974-0745-40E0-8C67-F5E31CC0A6CA}"/>
    <cellStyle name="Normal 3 2 3 2 5 3" xfId="5952" xr:uid="{00000000-0005-0000-0000-00009F110000}"/>
    <cellStyle name="Normal 3 2 3 2 5 3 2" xfId="18613" xr:uid="{94EAA417-47DD-47EF-BA5F-485F0249F473}"/>
    <cellStyle name="Normal 3 2 3 2 5 4" xfId="10184" xr:uid="{9B1AF5EE-0777-48F8-96BC-992CB96E9B28}"/>
    <cellStyle name="Normal 3 2 3 2 5 5" xfId="14395" xr:uid="{B1D5FEF4-7B35-452F-B8F6-99C1EDB973C4}"/>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21171" xr:uid="{7B9A39D4-526A-4D7A-B0EE-43B1C05D4758}"/>
    <cellStyle name="Normal 3 2 3 2 6 2 3" xfId="12742" xr:uid="{79C5F959-A402-40A7-8204-519A5870520F}"/>
    <cellStyle name="Normal 3 2 3 2 6 2 4" xfId="16953" xr:uid="{5A4E3392-86E3-423F-BC06-155CEFEDE7BE}"/>
    <cellStyle name="Normal 3 2 3 2 6 3" xfId="6365" xr:uid="{00000000-0005-0000-0000-0000A3110000}"/>
    <cellStyle name="Normal 3 2 3 2 6 3 2" xfId="19026" xr:uid="{BC01970A-9F4F-4B5B-AA84-EFB0FB7463CC}"/>
    <cellStyle name="Normal 3 2 3 2 6 4" xfId="10597" xr:uid="{383D8411-7A5D-4D4A-8179-9E6D5415AE87}"/>
    <cellStyle name="Normal 3 2 3 2 6 5" xfId="14808" xr:uid="{252CFFDC-2DDC-4E42-A3C7-18D87A0E5111}"/>
    <cellStyle name="Normal 3 2 3 2 7" xfId="2495" xr:uid="{00000000-0005-0000-0000-0000A4110000}"/>
    <cellStyle name="Normal 3 2 3 2 7 2" xfId="6778" xr:uid="{00000000-0005-0000-0000-0000A5110000}"/>
    <cellStyle name="Normal 3 2 3 2 7 2 2" xfId="19439" xr:uid="{7098E1DA-4356-4925-885D-0CCA09CEE6F0}"/>
    <cellStyle name="Normal 3 2 3 2 7 3" xfId="11010" xr:uid="{C8BAF1C3-FD72-4A13-8403-D2EDF6E1A879}"/>
    <cellStyle name="Normal 3 2 3 2 7 4" xfId="15221" xr:uid="{401DD05A-4034-479F-B0EB-54703CA32D49}"/>
    <cellStyle name="Normal 3 2 3 2 8" xfId="4712" xr:uid="{00000000-0005-0000-0000-0000A6110000}"/>
    <cellStyle name="Normal 3 2 3 2 8 2" xfId="17373" xr:uid="{59E4DA2C-5F85-470F-A300-89BA5A305C0C}"/>
    <cellStyle name="Normal 3 2 3 2 9" xfId="8944" xr:uid="{5F69A1DC-C53D-4147-BE67-8196D715CC64}"/>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9934" xr:uid="{68C2827D-1C0C-45B6-B024-0E930E751ED6}"/>
    <cellStyle name="Normal 3 2 3 3 2 2 3" xfId="11505" xr:uid="{832010C0-C15C-4472-973F-6F67BA0845AB}"/>
    <cellStyle name="Normal 3 2 3 3 2 2 4" xfId="15716" xr:uid="{49D98E26-6A77-4DCD-8A88-D6C68BBF7685}"/>
    <cellStyle name="Normal 3 2 3 3 2 3" xfId="5128" xr:uid="{00000000-0005-0000-0000-0000AB110000}"/>
    <cellStyle name="Normal 3 2 3 3 2 3 2" xfId="17789" xr:uid="{F9BC794D-3B9A-4C81-A322-5419C94B4B13}"/>
    <cellStyle name="Normal 3 2 3 3 2 4" xfId="9360" xr:uid="{749067EB-5C58-4C40-8FAF-D2D2E6907214}"/>
    <cellStyle name="Normal 3 2 3 3 2 5" xfId="13571" xr:uid="{EC580FC2-CCCB-4DF1-8D08-7D1C3EF628DC}"/>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20347" xr:uid="{95F51DF8-7511-4453-B1A0-65EC33D85F7F}"/>
    <cellStyle name="Normal 3 2 3 3 3 2 3" xfId="11918" xr:uid="{2E3B3451-CAD9-4565-BC1A-6E738AE51B6F}"/>
    <cellStyle name="Normal 3 2 3 3 3 2 4" xfId="16129" xr:uid="{0D249CE6-6AB1-4B4D-8E4C-36B613C08F90}"/>
    <cellStyle name="Normal 3 2 3 3 3 3" xfId="5541" xr:uid="{00000000-0005-0000-0000-0000AF110000}"/>
    <cellStyle name="Normal 3 2 3 3 3 3 2" xfId="18202" xr:uid="{A766A3CB-8088-447F-85E5-2A091FA64991}"/>
    <cellStyle name="Normal 3 2 3 3 3 4" xfId="9773" xr:uid="{1E525CF7-7CF2-4385-89A0-769671431258}"/>
    <cellStyle name="Normal 3 2 3 3 3 5" xfId="13984" xr:uid="{84A35E7B-E232-4FC1-87F8-6C51A4C1C48F}"/>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20760" xr:uid="{7A19659E-3470-4404-91E4-85472BB58FD7}"/>
    <cellStyle name="Normal 3 2 3 3 4 2 3" xfId="12331" xr:uid="{CC9E045D-5148-44CF-A757-E8715CD5174A}"/>
    <cellStyle name="Normal 3 2 3 3 4 2 4" xfId="16542" xr:uid="{ABEC5059-3B98-414E-87B8-B3E767D4EB04}"/>
    <cellStyle name="Normal 3 2 3 3 4 3" xfId="5954" xr:uid="{00000000-0005-0000-0000-0000B3110000}"/>
    <cellStyle name="Normal 3 2 3 3 4 3 2" xfId="18615" xr:uid="{D9A3D21C-E87A-4EB9-80A8-36AD2263910C}"/>
    <cellStyle name="Normal 3 2 3 3 4 4" xfId="10186" xr:uid="{4A39BD40-EA1E-4C90-966D-9A9453EAFCD1}"/>
    <cellStyle name="Normal 3 2 3 3 4 5" xfId="14397" xr:uid="{E39E3A4C-10F2-4066-A665-F1E9A3CFE05F}"/>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21173" xr:uid="{B934F518-D55B-4900-8AF9-9F7EA410E0CC}"/>
    <cellStyle name="Normal 3 2 3 3 5 2 3" xfId="12744" xr:uid="{5565FF3E-C90F-4D0F-A75F-5BFCEBC74CC7}"/>
    <cellStyle name="Normal 3 2 3 3 5 2 4" xfId="16955" xr:uid="{B724CF19-F745-439B-9BED-E2D8FC7FA23D}"/>
    <cellStyle name="Normal 3 2 3 3 5 3" xfId="6367" xr:uid="{00000000-0005-0000-0000-0000B7110000}"/>
    <cellStyle name="Normal 3 2 3 3 5 3 2" xfId="19028" xr:uid="{B456B06D-69DD-4EAB-A15B-A23FC5494A4C}"/>
    <cellStyle name="Normal 3 2 3 3 5 4" xfId="10599" xr:uid="{AC3AB0B5-922B-4CC8-8A70-B86B92981AD4}"/>
    <cellStyle name="Normal 3 2 3 3 5 5" xfId="14810" xr:uid="{4B4371C5-A0D1-4CED-8636-27F06E9C6C8D}"/>
    <cellStyle name="Normal 3 2 3 3 6" xfId="2497" xr:uid="{00000000-0005-0000-0000-0000B8110000}"/>
    <cellStyle name="Normal 3 2 3 3 6 2" xfId="6780" xr:uid="{00000000-0005-0000-0000-0000B9110000}"/>
    <cellStyle name="Normal 3 2 3 3 6 2 2" xfId="19441" xr:uid="{AA11C551-4ED5-4629-8069-1D2C2BDFE3BC}"/>
    <cellStyle name="Normal 3 2 3 3 6 3" xfId="11012" xr:uid="{40276457-D332-4DA3-9C74-25F6C511D83E}"/>
    <cellStyle name="Normal 3 2 3 3 6 4" xfId="15223" xr:uid="{5C394596-3685-4FA4-905F-C3F637B1041D}"/>
    <cellStyle name="Normal 3 2 3 3 7" xfId="4714" xr:uid="{00000000-0005-0000-0000-0000BA110000}"/>
    <cellStyle name="Normal 3 2 3 3 7 2" xfId="17375" xr:uid="{E80D96F0-0229-44F7-8BC1-69C4ADFAFBDD}"/>
    <cellStyle name="Normal 3 2 3 3 8" xfId="8946" xr:uid="{95E859C1-31D3-4CF1-829E-B18BDB11C0A8}"/>
    <cellStyle name="Normal 3 2 3 3 9" xfId="13157" xr:uid="{91D33ACA-9FC3-457E-B525-8CFF9D04753C}"/>
    <cellStyle name="Normal 3 2 3 4" xfId="811" xr:uid="{00000000-0005-0000-0000-0000BB110000}"/>
    <cellStyle name="Normal 3 2 3 4 2" xfId="3048" xr:uid="{00000000-0005-0000-0000-0000BC110000}"/>
    <cellStyle name="Normal 3 2 3 4 2 2" xfId="7270" xr:uid="{00000000-0005-0000-0000-0000BD110000}"/>
    <cellStyle name="Normal 3 2 3 4 2 2 2" xfId="19931" xr:uid="{1126A996-3F21-47E7-B441-776C1D5950D9}"/>
    <cellStyle name="Normal 3 2 3 4 2 3" xfId="11502" xr:uid="{44FBBE78-242F-4F57-A1F2-CCC7616B52B3}"/>
    <cellStyle name="Normal 3 2 3 4 2 4" xfId="15713" xr:uid="{50EB5BC5-5B76-40E5-8CB9-755EDFE69E6D}"/>
    <cellStyle name="Normal 3 2 3 4 3" xfId="5125" xr:uid="{00000000-0005-0000-0000-0000BE110000}"/>
    <cellStyle name="Normal 3 2 3 4 3 2" xfId="17786" xr:uid="{FAFC1842-1735-4D02-B528-3D56BA136C06}"/>
    <cellStyle name="Normal 3 2 3 4 4" xfId="9357" xr:uid="{3390523A-15CA-494B-A2C8-932F056D8E8E}"/>
    <cellStyle name="Normal 3 2 3 4 5" xfId="13568" xr:uid="{7C571E6A-A2E7-4481-8C43-2F885DB060E5}"/>
    <cellStyle name="Normal 3 2 3 5" xfId="1231" xr:uid="{00000000-0005-0000-0000-0000BF110000}"/>
    <cellStyle name="Normal 3 2 3 5 2" xfId="3461" xr:uid="{00000000-0005-0000-0000-0000C0110000}"/>
    <cellStyle name="Normal 3 2 3 5 2 2" xfId="7683" xr:uid="{00000000-0005-0000-0000-0000C1110000}"/>
    <cellStyle name="Normal 3 2 3 5 2 2 2" xfId="20344" xr:uid="{5FE9BA12-684A-47E7-AFE7-0C4571BA360A}"/>
    <cellStyle name="Normal 3 2 3 5 2 3" xfId="11915" xr:uid="{A0D12AE2-1C4F-41E6-A072-2A1D6DC44E05}"/>
    <cellStyle name="Normal 3 2 3 5 2 4" xfId="16126" xr:uid="{6FA67B10-6F3B-44E4-907D-B2EE0A4A0127}"/>
    <cellStyle name="Normal 3 2 3 5 3" xfId="5538" xr:uid="{00000000-0005-0000-0000-0000C2110000}"/>
    <cellStyle name="Normal 3 2 3 5 3 2" xfId="18199" xr:uid="{90DD632A-E53B-4BB9-B4AE-1B40E3519CC1}"/>
    <cellStyle name="Normal 3 2 3 5 4" xfId="9770" xr:uid="{375CFB3D-6ED2-47C0-8300-8BEB51580DA7}"/>
    <cellStyle name="Normal 3 2 3 5 5" xfId="13981" xr:uid="{B625390C-42C8-48B4-9048-788EF1F1212E}"/>
    <cellStyle name="Normal 3 2 3 6" xfId="1644" xr:uid="{00000000-0005-0000-0000-0000C3110000}"/>
    <cellStyle name="Normal 3 2 3 6 2" xfId="3874" xr:uid="{00000000-0005-0000-0000-0000C4110000}"/>
    <cellStyle name="Normal 3 2 3 6 2 2" xfId="8096" xr:uid="{00000000-0005-0000-0000-0000C5110000}"/>
    <cellStyle name="Normal 3 2 3 6 2 2 2" xfId="20757" xr:uid="{3DEF2AAD-A568-45AB-A901-BCA6FF4DD3B7}"/>
    <cellStyle name="Normal 3 2 3 6 2 3" xfId="12328" xr:uid="{C908CA1D-B5B2-48F1-8B87-A3A965DAC30A}"/>
    <cellStyle name="Normal 3 2 3 6 2 4" xfId="16539" xr:uid="{45284BCB-FD39-49E8-9FA0-350261906E80}"/>
    <cellStyle name="Normal 3 2 3 6 3" xfId="5951" xr:uid="{00000000-0005-0000-0000-0000C6110000}"/>
    <cellStyle name="Normal 3 2 3 6 3 2" xfId="18612" xr:uid="{AB822974-68E4-45B7-9AA2-AAA1CE5E6489}"/>
    <cellStyle name="Normal 3 2 3 6 4" xfId="10183" xr:uid="{D2108753-B943-4E6E-B21A-B6431F1D3566}"/>
    <cellStyle name="Normal 3 2 3 6 5" xfId="14394" xr:uid="{F1D3CCB0-B0ED-4A89-A63E-440F1C3F4EB3}"/>
    <cellStyle name="Normal 3 2 3 7" xfId="2058" xr:uid="{00000000-0005-0000-0000-0000C7110000}"/>
    <cellStyle name="Normal 3 2 3 7 2" xfId="4287" xr:uid="{00000000-0005-0000-0000-0000C8110000}"/>
    <cellStyle name="Normal 3 2 3 7 2 2" xfId="8509" xr:uid="{00000000-0005-0000-0000-0000C9110000}"/>
    <cellStyle name="Normal 3 2 3 7 2 2 2" xfId="21170" xr:uid="{B52C4C01-6E50-446B-BB29-50881F8ACCD6}"/>
    <cellStyle name="Normal 3 2 3 7 2 3" xfId="12741" xr:uid="{152C962D-6C9A-4FC6-8BAD-4905E46A9FCF}"/>
    <cellStyle name="Normal 3 2 3 7 2 4" xfId="16952" xr:uid="{CDB20206-881A-4566-A442-D4A08DFDACE7}"/>
    <cellStyle name="Normal 3 2 3 7 3" xfId="6364" xr:uid="{00000000-0005-0000-0000-0000CA110000}"/>
    <cellStyle name="Normal 3 2 3 7 3 2" xfId="19025" xr:uid="{B58F834B-368B-479E-B923-AF098E213AC8}"/>
    <cellStyle name="Normal 3 2 3 7 4" xfId="10596" xr:uid="{FDD1FA16-5A90-4EE3-B30C-3B40BAC8993D}"/>
    <cellStyle name="Normal 3 2 3 7 5" xfId="14807" xr:uid="{EC687AEB-589F-45C8-8F18-789C2F2C85F0}"/>
    <cellStyle name="Normal 3 2 3 8" xfId="2494" xr:uid="{00000000-0005-0000-0000-0000CB110000}"/>
    <cellStyle name="Normal 3 2 3 8 2" xfId="6777" xr:uid="{00000000-0005-0000-0000-0000CC110000}"/>
    <cellStyle name="Normal 3 2 3 8 2 2" xfId="19438" xr:uid="{A939B795-8C89-4E21-A146-C273378609EA}"/>
    <cellStyle name="Normal 3 2 3 8 3" xfId="11009" xr:uid="{BFDBB2B0-9F10-4659-A3B5-BF2B3F55892E}"/>
    <cellStyle name="Normal 3 2 3 8 4" xfId="15220" xr:uid="{1E216730-5107-4C08-90AC-C29776820D02}"/>
    <cellStyle name="Normal 3 2 3 9" xfId="4711" xr:uid="{00000000-0005-0000-0000-0000CD110000}"/>
    <cellStyle name="Normal 3 2 3 9 2" xfId="17372" xr:uid="{2063A9FF-F9AF-4E40-8511-F0C8FE1DC52E}"/>
    <cellStyle name="Normal 3 2 4" xfId="809" xr:uid="{00000000-0005-0000-0000-0000CE110000}"/>
    <cellStyle name="Normal 3 2 4 2" xfId="3047" xr:uid="{00000000-0005-0000-0000-0000CF110000}"/>
    <cellStyle name="Normal 3 2 4 2 2" xfId="7269" xr:uid="{00000000-0005-0000-0000-0000D0110000}"/>
    <cellStyle name="Normal 3 2 4 2 2 2" xfId="19930" xr:uid="{2C809EF0-4AEE-4887-8739-30749F525FBB}"/>
    <cellStyle name="Normal 3 2 4 2 3" xfId="11501" xr:uid="{9A09D96E-305D-4D88-A830-5D893FD79FB9}"/>
    <cellStyle name="Normal 3 2 4 2 4" xfId="15712" xr:uid="{6047447D-E974-4466-BA89-39C834C5BB03}"/>
    <cellStyle name="Normal 3 2 4 3" xfId="5124" xr:uid="{00000000-0005-0000-0000-0000D1110000}"/>
    <cellStyle name="Normal 3 2 4 3 2" xfId="17785" xr:uid="{99BD2CEA-7D61-4BCE-85A9-FF4D2B0F9914}"/>
    <cellStyle name="Normal 3 2 4 4" xfId="9356" xr:uid="{DBAEE752-931D-4B56-8D5B-93EBD34936CF}"/>
    <cellStyle name="Normal 3 2 4 5" xfId="13567" xr:uid="{ED91F9C0-C0D4-4C80-B1D2-1F6BDFEA33C5}"/>
    <cellStyle name="Normal 3 2 5" xfId="1230" xr:uid="{00000000-0005-0000-0000-0000D2110000}"/>
    <cellStyle name="Normal 3 2 5 2" xfId="3460" xr:uid="{00000000-0005-0000-0000-0000D3110000}"/>
    <cellStyle name="Normal 3 2 5 2 2" xfId="7682" xr:uid="{00000000-0005-0000-0000-0000D4110000}"/>
    <cellStyle name="Normal 3 2 5 2 2 2" xfId="20343" xr:uid="{AA00A605-6BBB-408C-A922-DF25B252AF8A}"/>
    <cellStyle name="Normal 3 2 5 2 3" xfId="11914" xr:uid="{E931D8D5-1E57-492F-81A7-0930B3BCEA7B}"/>
    <cellStyle name="Normal 3 2 5 2 4" xfId="16125" xr:uid="{EE8E9E36-9201-4C85-B8AF-1F1BD18729F0}"/>
    <cellStyle name="Normal 3 2 5 3" xfId="5537" xr:uid="{00000000-0005-0000-0000-0000D5110000}"/>
    <cellStyle name="Normal 3 2 5 3 2" xfId="18198" xr:uid="{D1819612-C0F9-4417-BBF8-45A93E3B3457}"/>
    <cellStyle name="Normal 3 2 5 4" xfId="9769" xr:uid="{9BEB8081-F89F-4507-ABCF-D60463456E81}"/>
    <cellStyle name="Normal 3 2 5 5" xfId="13980" xr:uid="{E314D376-2034-40CD-8A25-9783FCB1006B}"/>
    <cellStyle name="Normal 3 2 6" xfId="1643" xr:uid="{00000000-0005-0000-0000-0000D6110000}"/>
    <cellStyle name="Normal 3 2 6 2" xfId="3873" xr:uid="{00000000-0005-0000-0000-0000D7110000}"/>
    <cellStyle name="Normal 3 2 6 2 2" xfId="8095" xr:uid="{00000000-0005-0000-0000-0000D8110000}"/>
    <cellStyle name="Normal 3 2 6 2 2 2" xfId="20756" xr:uid="{CF8E5DB4-BE2A-42E8-BECC-D251068B8040}"/>
    <cellStyle name="Normal 3 2 6 2 3" xfId="12327" xr:uid="{B483AEF8-9243-4D55-8651-46C66F2CA820}"/>
    <cellStyle name="Normal 3 2 6 2 4" xfId="16538" xr:uid="{8B18111D-4A86-4929-9C64-64B536944384}"/>
    <cellStyle name="Normal 3 2 6 3" xfId="5950" xr:uid="{00000000-0005-0000-0000-0000D9110000}"/>
    <cellStyle name="Normal 3 2 6 3 2" xfId="18611" xr:uid="{7A210920-C2EE-48CD-A9F1-217AD18908C0}"/>
    <cellStyle name="Normal 3 2 6 4" xfId="10182" xr:uid="{60C4D243-0108-4F61-8E92-4FADD3255467}"/>
    <cellStyle name="Normal 3 2 6 5" xfId="14393" xr:uid="{4D96E6F3-B15A-41B3-831D-5DEA34811963}"/>
    <cellStyle name="Normal 3 2 7" xfId="2057" xr:uid="{00000000-0005-0000-0000-0000DA110000}"/>
    <cellStyle name="Normal 3 2 7 2" xfId="4286" xr:uid="{00000000-0005-0000-0000-0000DB110000}"/>
    <cellStyle name="Normal 3 2 7 2 2" xfId="8508" xr:uid="{00000000-0005-0000-0000-0000DC110000}"/>
    <cellStyle name="Normal 3 2 7 2 2 2" xfId="21169" xr:uid="{4463C1CF-4232-4EA4-81D2-A747C5D9EAC6}"/>
    <cellStyle name="Normal 3 2 7 2 3" xfId="12740" xr:uid="{47E2C06E-15C9-489C-A5E2-01740B5B8A09}"/>
    <cellStyle name="Normal 3 2 7 2 4" xfId="16951" xr:uid="{6A4E2CA4-DADC-4BE7-B1F3-C29CCC42371A}"/>
    <cellStyle name="Normal 3 2 7 3" xfId="6363" xr:uid="{00000000-0005-0000-0000-0000DD110000}"/>
    <cellStyle name="Normal 3 2 7 3 2" xfId="19024" xr:uid="{0317C833-81B4-4284-8C94-2971B1EBFCDD}"/>
    <cellStyle name="Normal 3 2 7 4" xfId="10595" xr:uid="{ABDD81DD-95E3-4983-91C2-2241DD1CD102}"/>
    <cellStyle name="Normal 3 2 7 5" xfId="14806" xr:uid="{EE14A93E-F311-49B2-BFFF-E3296304EBD5}"/>
    <cellStyle name="Normal 3 2 8" xfId="2493" xr:uid="{00000000-0005-0000-0000-0000DE110000}"/>
    <cellStyle name="Normal 3 2 8 2" xfId="6776" xr:uid="{00000000-0005-0000-0000-0000DF110000}"/>
    <cellStyle name="Normal 3 2 8 2 2" xfId="19437" xr:uid="{EA655D2B-8F82-48FF-9160-7705E23C3A88}"/>
    <cellStyle name="Normal 3 2 8 3" xfId="11008" xr:uid="{1C76A1B6-54A6-4C36-9EA9-C6828D15B818}"/>
    <cellStyle name="Normal 3 2 8 4" xfId="15219" xr:uid="{7B5E1D81-561F-42CD-B665-F19CDEE6C0DA}"/>
    <cellStyle name="Normal 3 2 9" xfId="4710" xr:uid="{00000000-0005-0000-0000-0000E0110000}"/>
    <cellStyle name="Normal 3 2 9 2" xfId="17371" xr:uid="{3C047002-31DF-45EC-9C10-72981BB0340F}"/>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9EB6B9C6-3266-41FF-99C5-30601654B263}"/>
    <cellStyle name="Normal 4 11" xfId="13158" xr:uid="{C251790A-14FD-4414-910B-01A3A3CCD25E}"/>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21174" xr:uid="{808B38D3-E76E-46BB-93FE-7284D112F0C2}"/>
    <cellStyle name="Normal 4 2 2 10 2 3" xfId="12745" xr:uid="{3D7522C5-4BA6-4C3C-ACAF-B8C8EA1F067D}"/>
    <cellStyle name="Normal 4 2 2 10 2 4" xfId="16956" xr:uid="{929AD44A-2856-4E70-9215-1AE6082490D6}"/>
    <cellStyle name="Normal 4 2 2 10 3" xfId="6368" xr:uid="{00000000-0005-0000-0000-0000ED110000}"/>
    <cellStyle name="Normal 4 2 2 10 3 2" xfId="19029" xr:uid="{D88CAD5B-7654-4D05-A795-46665A6FE8DB}"/>
    <cellStyle name="Normal 4 2 2 10 4" xfId="10600" xr:uid="{31DE0EB5-C373-4EEE-8896-67341958477A}"/>
    <cellStyle name="Normal 4 2 2 10 5" xfId="14811" xr:uid="{3468F7DF-EB97-41FD-9EE4-AA4E05CF0B6B}"/>
    <cellStyle name="Normal 4 2 2 11" xfId="2498" xr:uid="{00000000-0005-0000-0000-0000EE110000}"/>
    <cellStyle name="Normal 4 2 2 11 2" xfId="6781" xr:uid="{00000000-0005-0000-0000-0000EF110000}"/>
    <cellStyle name="Normal 4 2 2 11 2 2" xfId="19442" xr:uid="{21C839D7-1521-4354-804A-E46816FE3E69}"/>
    <cellStyle name="Normal 4 2 2 11 3" xfId="11013" xr:uid="{930F564B-5CD8-41DA-A866-14949202CFA3}"/>
    <cellStyle name="Normal 4 2 2 11 4" xfId="15224" xr:uid="{0B1ECCA1-1AB0-487A-8F2F-7F43B86A480E}"/>
    <cellStyle name="Normal 4 2 2 12" xfId="4716" xr:uid="{00000000-0005-0000-0000-0000F0110000}"/>
    <cellStyle name="Normal 4 2 2 12 2" xfId="17377" xr:uid="{4A83EE6A-FF51-4460-A5B0-DA84C7244B3B}"/>
    <cellStyle name="Normal 4 2 2 13" xfId="8948" xr:uid="{3F1A4842-123D-47E4-A473-5BB527D8B956}"/>
    <cellStyle name="Normal 4 2 2 14" xfId="13159" xr:uid="{1797150D-0756-4EC3-B9AC-A646EC8BC6F6}"/>
    <cellStyle name="Normal 4 2 2 2" xfId="338" xr:uid="{00000000-0005-0000-0000-0000F1110000}"/>
    <cellStyle name="Normal 4 2 2 3" xfId="339" xr:uid="{00000000-0005-0000-0000-0000F2110000}"/>
    <cellStyle name="Normal 4 2 2 3 10" xfId="4717" xr:uid="{00000000-0005-0000-0000-0000F3110000}"/>
    <cellStyle name="Normal 4 2 2 3 10 2" xfId="17378" xr:uid="{4FD0F40D-1521-461D-8A2C-AD39D0D0F23C}"/>
    <cellStyle name="Normal 4 2 2 3 11" xfId="8949" xr:uid="{BE441892-079C-4F45-9E0E-60D47272DE13}"/>
    <cellStyle name="Normal 4 2 2 3 12" xfId="13160" xr:uid="{70AAA96A-3F1F-4699-8FFF-C6828E2FB271}"/>
    <cellStyle name="Normal 4 2 2 3 2" xfId="340" xr:uid="{00000000-0005-0000-0000-0000F4110000}"/>
    <cellStyle name="Normal 4 2 2 3 2 10" xfId="8950" xr:uid="{E35DB626-7FA9-4CC2-B9FE-D60ECF3AC3D3}"/>
    <cellStyle name="Normal 4 2 2 3 2 11" xfId="13161" xr:uid="{6BFAD55F-2B28-41C2-BF01-88E9E40EDBB4}"/>
    <cellStyle name="Normal 4 2 2 3 2 2" xfId="341" xr:uid="{00000000-0005-0000-0000-0000F5110000}"/>
    <cellStyle name="Normal 4 2 2 3 2 2 10" xfId="13162" xr:uid="{62EE926F-FE4D-4ADB-A944-1889DF6AFB55}"/>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9939" xr:uid="{411AA39C-667A-4435-917A-1DC954CB3762}"/>
    <cellStyle name="Normal 4 2 2 3 2 2 2 2 2 3" xfId="11510" xr:uid="{792BB3FC-4663-4EB1-A788-7360E7A99C92}"/>
    <cellStyle name="Normal 4 2 2 3 2 2 2 2 2 4" xfId="15721" xr:uid="{633ECD70-5880-475B-A3DB-6392E4B387A1}"/>
    <cellStyle name="Normal 4 2 2 3 2 2 2 2 3" xfId="5133" xr:uid="{00000000-0005-0000-0000-0000FA110000}"/>
    <cellStyle name="Normal 4 2 2 3 2 2 2 2 3 2" xfId="17794" xr:uid="{22A90355-DD7F-4753-BF36-80E014717BF9}"/>
    <cellStyle name="Normal 4 2 2 3 2 2 2 2 4" xfId="9365" xr:uid="{AD1DF0A7-2CB9-40E4-A26D-925A6A1E8648}"/>
    <cellStyle name="Normal 4 2 2 3 2 2 2 2 5" xfId="13576" xr:uid="{4EC96675-E0B2-4D2F-A221-6181A068226D}"/>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20352" xr:uid="{4BA7A9A2-1735-4F4E-AC10-F35395F21D0A}"/>
    <cellStyle name="Normal 4 2 2 3 2 2 2 3 2 3" xfId="11923" xr:uid="{FA4C4B4F-26D0-4837-B009-ADA0EB7471E8}"/>
    <cellStyle name="Normal 4 2 2 3 2 2 2 3 2 4" xfId="16134" xr:uid="{60453AFC-9EB6-4755-AD88-FC9F78ABBFFC}"/>
    <cellStyle name="Normal 4 2 2 3 2 2 2 3 3" xfId="5546" xr:uid="{00000000-0005-0000-0000-0000FE110000}"/>
    <cellStyle name="Normal 4 2 2 3 2 2 2 3 3 2" xfId="18207" xr:uid="{DBBCB473-8431-4D2F-95EC-2FA0308962B6}"/>
    <cellStyle name="Normal 4 2 2 3 2 2 2 3 4" xfId="9778" xr:uid="{A739DC13-E0A1-4D7B-A0C2-FBBC529DA381}"/>
    <cellStyle name="Normal 4 2 2 3 2 2 2 3 5" xfId="13989" xr:uid="{E885BAE6-21C4-4889-8D42-804EAA990849}"/>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20765" xr:uid="{EF900B6A-973C-4C05-9990-F1F1E7B502F8}"/>
    <cellStyle name="Normal 4 2 2 3 2 2 2 4 2 3" xfId="12336" xr:uid="{8C8264B2-2EA6-4DC0-9A94-31A13242E9A6}"/>
    <cellStyle name="Normal 4 2 2 3 2 2 2 4 2 4" xfId="16547" xr:uid="{109E1859-E671-4BE1-BA2D-1C7A2F9D2BFB}"/>
    <cellStyle name="Normal 4 2 2 3 2 2 2 4 3" xfId="5959" xr:uid="{00000000-0005-0000-0000-000002120000}"/>
    <cellStyle name="Normal 4 2 2 3 2 2 2 4 3 2" xfId="18620" xr:uid="{29288A63-E8A0-4791-876E-91DA85DB06B5}"/>
    <cellStyle name="Normal 4 2 2 3 2 2 2 4 4" xfId="10191" xr:uid="{2D3B3F90-1F2E-4DA3-86BB-B8A0B3D83F80}"/>
    <cellStyle name="Normal 4 2 2 3 2 2 2 4 5" xfId="14402" xr:uid="{2F19BA54-758E-46EF-8324-9E28865EB56C}"/>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21178" xr:uid="{DF1FC8DD-5AD3-4C0F-A465-A2AE7BB1E6AD}"/>
    <cellStyle name="Normal 4 2 2 3 2 2 2 5 2 3" xfId="12749" xr:uid="{CA18472F-9CC7-48E9-B63F-6F511E53322F}"/>
    <cellStyle name="Normal 4 2 2 3 2 2 2 5 2 4" xfId="16960" xr:uid="{F1F7D1F8-16D2-46B4-BA23-AAACA351F608}"/>
    <cellStyle name="Normal 4 2 2 3 2 2 2 5 3" xfId="6372" xr:uid="{00000000-0005-0000-0000-000006120000}"/>
    <cellStyle name="Normal 4 2 2 3 2 2 2 5 3 2" xfId="19033" xr:uid="{1E936B07-3AAA-4FB7-A3A9-B5F92870D697}"/>
    <cellStyle name="Normal 4 2 2 3 2 2 2 5 4" xfId="10604" xr:uid="{A81AEE17-F731-4FD2-A5FD-0FB165E50952}"/>
    <cellStyle name="Normal 4 2 2 3 2 2 2 5 5" xfId="14815" xr:uid="{0543DDDD-61B3-40D5-99A0-D424B45F989F}"/>
    <cellStyle name="Normal 4 2 2 3 2 2 2 6" xfId="2502" xr:uid="{00000000-0005-0000-0000-000007120000}"/>
    <cellStyle name="Normal 4 2 2 3 2 2 2 6 2" xfId="6785" xr:uid="{00000000-0005-0000-0000-000008120000}"/>
    <cellStyle name="Normal 4 2 2 3 2 2 2 6 2 2" xfId="19446" xr:uid="{06B821A9-FDD5-4580-B649-98548F25523A}"/>
    <cellStyle name="Normal 4 2 2 3 2 2 2 6 3" xfId="11017" xr:uid="{5C4A73B4-0329-489B-BAAA-F410F9697E2D}"/>
    <cellStyle name="Normal 4 2 2 3 2 2 2 6 4" xfId="15228" xr:uid="{B78347A1-D14E-4C31-B7BF-9A3115116758}"/>
    <cellStyle name="Normal 4 2 2 3 2 2 2 7" xfId="4720" xr:uid="{00000000-0005-0000-0000-000009120000}"/>
    <cellStyle name="Normal 4 2 2 3 2 2 2 7 2" xfId="17381" xr:uid="{49E131BD-4E44-4C1F-9DD4-5964AD2A216C}"/>
    <cellStyle name="Normal 4 2 2 3 2 2 2 8" xfId="8952" xr:uid="{7822FCAF-A68C-4B4A-B7C3-8995AFD69AE8}"/>
    <cellStyle name="Normal 4 2 2 3 2 2 2 9" xfId="13163" xr:uid="{0E3E4F82-F0BB-4DDA-BF7A-5EF6CDA460E8}"/>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9938" xr:uid="{C4E036EB-CC60-4A93-84F1-E45C3160DEB7}"/>
    <cellStyle name="Normal 4 2 2 3 2 2 3 2 3" xfId="11509" xr:uid="{02DFD750-A04D-4741-B85A-EF73B5F334BC}"/>
    <cellStyle name="Normal 4 2 2 3 2 2 3 2 4" xfId="15720" xr:uid="{A29F1F32-221C-49CE-A444-F1DD226D8985}"/>
    <cellStyle name="Normal 4 2 2 3 2 2 3 3" xfId="5132" xr:uid="{00000000-0005-0000-0000-00000D120000}"/>
    <cellStyle name="Normal 4 2 2 3 2 2 3 3 2" xfId="17793" xr:uid="{5BCF5130-87D2-44E8-A46E-14C3B675CD12}"/>
    <cellStyle name="Normal 4 2 2 3 2 2 3 4" xfId="9364" xr:uid="{2713F8DA-1EBE-4008-A1B6-D582DB615D59}"/>
    <cellStyle name="Normal 4 2 2 3 2 2 3 5" xfId="13575" xr:uid="{F6AAE9B9-EA6B-4D26-B4BB-6B96E1D0C01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20351" xr:uid="{BC72ED29-581D-4047-918F-1CA925205000}"/>
    <cellStyle name="Normal 4 2 2 3 2 2 4 2 3" xfId="11922" xr:uid="{223A7824-9ECC-464F-A4AA-044DFF873E2C}"/>
    <cellStyle name="Normal 4 2 2 3 2 2 4 2 4" xfId="16133" xr:uid="{F743CEFA-A402-4984-81E0-28C0DACA8781}"/>
    <cellStyle name="Normal 4 2 2 3 2 2 4 3" xfId="5545" xr:uid="{00000000-0005-0000-0000-000011120000}"/>
    <cellStyle name="Normal 4 2 2 3 2 2 4 3 2" xfId="18206" xr:uid="{1A74FF4B-F219-486A-B276-DAC06A589202}"/>
    <cellStyle name="Normal 4 2 2 3 2 2 4 4" xfId="9777" xr:uid="{E1E32EA0-F0AF-427A-B26D-10A0DA7E987F}"/>
    <cellStyle name="Normal 4 2 2 3 2 2 4 5" xfId="13988" xr:uid="{096B45F9-0D22-41D3-BCB4-3068E3484233}"/>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20764" xr:uid="{07ACBA73-EC72-4E52-98E0-F4A34BF94BD1}"/>
    <cellStyle name="Normal 4 2 2 3 2 2 5 2 3" xfId="12335" xr:uid="{612227D6-8869-4A9C-896D-B00098832F98}"/>
    <cellStyle name="Normal 4 2 2 3 2 2 5 2 4" xfId="16546" xr:uid="{9617C949-E69F-4E1E-9D2F-718C8E9F2B53}"/>
    <cellStyle name="Normal 4 2 2 3 2 2 5 3" xfId="5958" xr:uid="{00000000-0005-0000-0000-000015120000}"/>
    <cellStyle name="Normal 4 2 2 3 2 2 5 3 2" xfId="18619" xr:uid="{58DF3A2A-4790-4B23-A5BA-012683AD738D}"/>
    <cellStyle name="Normal 4 2 2 3 2 2 5 4" xfId="10190" xr:uid="{1C984F68-D591-46A1-A20F-8843CE4170DE}"/>
    <cellStyle name="Normal 4 2 2 3 2 2 5 5" xfId="14401" xr:uid="{1076789E-D4E4-415C-AE75-7D33E9CBC57D}"/>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21177" xr:uid="{EAC72989-55FE-4FE4-9207-53080243DC8A}"/>
    <cellStyle name="Normal 4 2 2 3 2 2 6 2 3" xfId="12748" xr:uid="{FD4FC320-B42F-4221-AB23-C4F8C138F253}"/>
    <cellStyle name="Normal 4 2 2 3 2 2 6 2 4" xfId="16959" xr:uid="{D1C63668-E960-4B7C-8DD0-474A3B36F988}"/>
    <cellStyle name="Normal 4 2 2 3 2 2 6 3" xfId="6371" xr:uid="{00000000-0005-0000-0000-000019120000}"/>
    <cellStyle name="Normal 4 2 2 3 2 2 6 3 2" xfId="19032" xr:uid="{120A71A8-4503-4255-AA3F-323790FA203E}"/>
    <cellStyle name="Normal 4 2 2 3 2 2 6 4" xfId="10603" xr:uid="{60CE5B3C-B767-4291-9707-6A021468DAA4}"/>
    <cellStyle name="Normal 4 2 2 3 2 2 6 5" xfId="14814" xr:uid="{8534F5F2-18B1-4198-B34F-E94BB73D9A7E}"/>
    <cellStyle name="Normal 4 2 2 3 2 2 7" xfId="2501" xr:uid="{00000000-0005-0000-0000-00001A120000}"/>
    <cellStyle name="Normal 4 2 2 3 2 2 7 2" xfId="6784" xr:uid="{00000000-0005-0000-0000-00001B120000}"/>
    <cellStyle name="Normal 4 2 2 3 2 2 7 2 2" xfId="19445" xr:uid="{7608E09A-5893-493D-A64D-20784B7C54B3}"/>
    <cellStyle name="Normal 4 2 2 3 2 2 7 3" xfId="11016" xr:uid="{10ADD7C3-C37D-48B2-A718-D27B49222F39}"/>
    <cellStyle name="Normal 4 2 2 3 2 2 7 4" xfId="15227" xr:uid="{0FC68027-8D07-4978-BCD3-6C444ABC7FA8}"/>
    <cellStyle name="Normal 4 2 2 3 2 2 8" xfId="4719" xr:uid="{00000000-0005-0000-0000-00001C120000}"/>
    <cellStyle name="Normal 4 2 2 3 2 2 8 2" xfId="17380" xr:uid="{9396D38F-1AF9-409E-9E88-ACF9DF47A593}"/>
    <cellStyle name="Normal 4 2 2 3 2 2 9" xfId="8951" xr:uid="{25988740-6629-4800-A71A-D76AE7BF8181}"/>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9940" xr:uid="{823A95E0-EDB8-42EF-B63B-9A95668473A3}"/>
    <cellStyle name="Normal 4 2 2 3 2 3 2 2 3" xfId="11511" xr:uid="{7FFAD7ED-2EC3-48F1-8D9D-867FB1F84926}"/>
    <cellStyle name="Normal 4 2 2 3 2 3 2 2 4" xfId="15722" xr:uid="{71DB9D65-6F31-41C7-8A38-3360F31FD8AB}"/>
    <cellStyle name="Normal 4 2 2 3 2 3 2 3" xfId="5134" xr:uid="{00000000-0005-0000-0000-000021120000}"/>
    <cellStyle name="Normal 4 2 2 3 2 3 2 3 2" xfId="17795" xr:uid="{7826B1BB-DD5C-4F80-A264-BCE400AECF23}"/>
    <cellStyle name="Normal 4 2 2 3 2 3 2 4" xfId="9366" xr:uid="{20BDF94F-5AE4-45E8-B63D-668046379C67}"/>
    <cellStyle name="Normal 4 2 2 3 2 3 2 5" xfId="13577" xr:uid="{03BED823-466A-498B-94A4-F53E271CA931}"/>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20353" xr:uid="{E55178DC-0F91-48C6-B450-EB1F702CC00D}"/>
    <cellStyle name="Normal 4 2 2 3 2 3 3 2 3" xfId="11924" xr:uid="{EFFDA692-1D23-4D95-B987-FA20967AC754}"/>
    <cellStyle name="Normal 4 2 2 3 2 3 3 2 4" xfId="16135" xr:uid="{717100F9-D0E5-42F6-B224-AA856724AEBE}"/>
    <cellStyle name="Normal 4 2 2 3 2 3 3 3" xfId="5547" xr:uid="{00000000-0005-0000-0000-000025120000}"/>
    <cellStyle name="Normal 4 2 2 3 2 3 3 3 2" xfId="18208" xr:uid="{1B35700D-18E6-44E7-A193-800CFFC14635}"/>
    <cellStyle name="Normal 4 2 2 3 2 3 3 4" xfId="9779" xr:uid="{2EF431BF-8B54-4A2A-8CC7-DCB2AEA811B7}"/>
    <cellStyle name="Normal 4 2 2 3 2 3 3 5" xfId="13990" xr:uid="{03925806-1C51-4A37-AAFA-DE1AE07F7CD5}"/>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20766" xr:uid="{E41C61B0-CACB-4043-AD8E-F586645DF6C4}"/>
    <cellStyle name="Normal 4 2 2 3 2 3 4 2 3" xfId="12337" xr:uid="{3BCA54EA-0AEB-43C1-B64F-2ADB690DACD5}"/>
    <cellStyle name="Normal 4 2 2 3 2 3 4 2 4" xfId="16548" xr:uid="{88553800-0B76-44E5-9D0C-FFAC3865545F}"/>
    <cellStyle name="Normal 4 2 2 3 2 3 4 3" xfId="5960" xr:uid="{00000000-0005-0000-0000-000029120000}"/>
    <cellStyle name="Normal 4 2 2 3 2 3 4 3 2" xfId="18621" xr:uid="{C3FE9EE0-E583-4D68-A39B-48413CC71025}"/>
    <cellStyle name="Normal 4 2 2 3 2 3 4 4" xfId="10192" xr:uid="{541231A5-5F0B-4A80-A589-857CF328CE59}"/>
    <cellStyle name="Normal 4 2 2 3 2 3 4 5" xfId="14403" xr:uid="{4C99AFD4-85C5-43A8-9D1A-22CC39E884DC}"/>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21179" xr:uid="{87290C25-7E61-4299-AC8B-142CF17325A6}"/>
    <cellStyle name="Normal 4 2 2 3 2 3 5 2 3" xfId="12750" xr:uid="{02692989-B26D-4F8E-91B7-704DCFF437E3}"/>
    <cellStyle name="Normal 4 2 2 3 2 3 5 2 4" xfId="16961" xr:uid="{24648123-915B-44FE-9431-B55F49561B78}"/>
    <cellStyle name="Normal 4 2 2 3 2 3 5 3" xfId="6373" xr:uid="{00000000-0005-0000-0000-00002D120000}"/>
    <cellStyle name="Normal 4 2 2 3 2 3 5 3 2" xfId="19034" xr:uid="{27FB4ACE-ADAF-427D-AFB3-B397615EDC0A}"/>
    <cellStyle name="Normal 4 2 2 3 2 3 5 4" xfId="10605" xr:uid="{AF9FC05E-7546-408E-8C10-C559251BFF6C}"/>
    <cellStyle name="Normal 4 2 2 3 2 3 5 5" xfId="14816" xr:uid="{E123AB76-09ED-450D-98C3-17F8DD11D02E}"/>
    <cellStyle name="Normal 4 2 2 3 2 3 6" xfId="2503" xr:uid="{00000000-0005-0000-0000-00002E120000}"/>
    <cellStyle name="Normal 4 2 2 3 2 3 6 2" xfId="6786" xr:uid="{00000000-0005-0000-0000-00002F120000}"/>
    <cellStyle name="Normal 4 2 2 3 2 3 6 2 2" xfId="19447" xr:uid="{A9C25D38-B30E-40C3-89FD-A409E6DDF470}"/>
    <cellStyle name="Normal 4 2 2 3 2 3 6 3" xfId="11018" xr:uid="{7318D7A6-0123-4478-ADBA-961DAF34C857}"/>
    <cellStyle name="Normal 4 2 2 3 2 3 6 4" xfId="15229" xr:uid="{D1EF36FA-9FF6-4B42-BD24-EEDDDBCB0C4F}"/>
    <cellStyle name="Normal 4 2 2 3 2 3 7" xfId="4721" xr:uid="{00000000-0005-0000-0000-000030120000}"/>
    <cellStyle name="Normal 4 2 2 3 2 3 7 2" xfId="17382" xr:uid="{2FA2395B-32AF-4A4F-A4B9-C50EE94094A3}"/>
    <cellStyle name="Normal 4 2 2 3 2 3 8" xfId="8953" xr:uid="{AB376828-14D9-43AF-A0E2-9679A9D0F28D}"/>
    <cellStyle name="Normal 4 2 2 3 2 3 9" xfId="13164" xr:uid="{440CC2C1-E48B-4573-A188-F09263D92603}"/>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9937" xr:uid="{21F0BA2D-3DF7-4A76-BCB9-6A8CF0512F55}"/>
    <cellStyle name="Normal 4 2 2 3 2 4 2 3" xfId="11508" xr:uid="{C676456A-DEFC-4202-A625-965208AA946A}"/>
    <cellStyle name="Normal 4 2 2 3 2 4 2 4" xfId="15719" xr:uid="{8C116B56-A32B-4B0C-80BE-D55AEC6F66E3}"/>
    <cellStyle name="Normal 4 2 2 3 2 4 3" xfId="5131" xr:uid="{00000000-0005-0000-0000-000034120000}"/>
    <cellStyle name="Normal 4 2 2 3 2 4 3 2" xfId="17792" xr:uid="{A72006C8-5A28-41C6-8A0E-D4A377D44891}"/>
    <cellStyle name="Normal 4 2 2 3 2 4 4" xfId="9363" xr:uid="{1A8EE50F-E281-4A7C-A1E0-0AB5D2D2892D}"/>
    <cellStyle name="Normal 4 2 2 3 2 4 5" xfId="13574" xr:uid="{ADCE3210-C182-4BEE-B52A-42817174D703}"/>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20350" xr:uid="{CE443EEB-21AC-43A2-84F5-D0401056A4C3}"/>
    <cellStyle name="Normal 4 2 2 3 2 5 2 3" xfId="11921" xr:uid="{2012275C-897F-4333-9AF2-350087F11F1B}"/>
    <cellStyle name="Normal 4 2 2 3 2 5 2 4" xfId="16132" xr:uid="{2AA16F72-C71C-4B77-BBE2-7F63DF0F164F}"/>
    <cellStyle name="Normal 4 2 2 3 2 5 3" xfId="5544" xr:uid="{00000000-0005-0000-0000-000038120000}"/>
    <cellStyle name="Normal 4 2 2 3 2 5 3 2" xfId="18205" xr:uid="{B6D30FAA-5665-435A-BE34-E911F80A13D4}"/>
    <cellStyle name="Normal 4 2 2 3 2 5 4" xfId="9776" xr:uid="{625C5CFD-B023-4974-B018-6AEAE0A397AA}"/>
    <cellStyle name="Normal 4 2 2 3 2 5 5" xfId="13987" xr:uid="{EACC6E50-9B00-4468-B3DB-A94448820906}"/>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20763" xr:uid="{093ADF90-03A4-411E-950B-E4C16E288711}"/>
    <cellStyle name="Normal 4 2 2 3 2 6 2 3" xfId="12334" xr:uid="{D3E3D4C2-7FED-4452-BDD8-385DB733A394}"/>
    <cellStyle name="Normal 4 2 2 3 2 6 2 4" xfId="16545" xr:uid="{CD75B2C2-5076-41F2-9027-50BDA975CBB1}"/>
    <cellStyle name="Normal 4 2 2 3 2 6 3" xfId="5957" xr:uid="{00000000-0005-0000-0000-00003C120000}"/>
    <cellStyle name="Normal 4 2 2 3 2 6 3 2" xfId="18618" xr:uid="{BB9957A3-4876-4C30-B44A-5FBCE8D38A8C}"/>
    <cellStyle name="Normal 4 2 2 3 2 6 4" xfId="10189" xr:uid="{0F234A5A-0C87-497B-8499-002ECA95C64E}"/>
    <cellStyle name="Normal 4 2 2 3 2 6 5" xfId="14400" xr:uid="{143FA3CB-092F-4D3B-A265-9D1DB22ED22B}"/>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21176" xr:uid="{235C1877-8752-49BE-AD04-B5D95233FC07}"/>
    <cellStyle name="Normal 4 2 2 3 2 7 2 3" xfId="12747" xr:uid="{F5E054E7-3C17-470A-BEE5-E06C48E8187C}"/>
    <cellStyle name="Normal 4 2 2 3 2 7 2 4" xfId="16958" xr:uid="{891F9107-7128-49CC-B330-166C95960C1D}"/>
    <cellStyle name="Normal 4 2 2 3 2 7 3" xfId="6370" xr:uid="{00000000-0005-0000-0000-000040120000}"/>
    <cellStyle name="Normal 4 2 2 3 2 7 3 2" xfId="19031" xr:uid="{A0137AD7-795D-4A27-A564-D22D7FD281C7}"/>
    <cellStyle name="Normal 4 2 2 3 2 7 4" xfId="10602" xr:uid="{717C6600-FA58-41C6-B432-45FC6CB1DE20}"/>
    <cellStyle name="Normal 4 2 2 3 2 7 5" xfId="14813" xr:uid="{706B94FA-E1C6-4B6D-BE3A-3E3F9D759DAD}"/>
    <cellStyle name="Normal 4 2 2 3 2 8" xfId="2500" xr:uid="{00000000-0005-0000-0000-000041120000}"/>
    <cellStyle name="Normal 4 2 2 3 2 8 2" xfId="6783" xr:uid="{00000000-0005-0000-0000-000042120000}"/>
    <cellStyle name="Normal 4 2 2 3 2 8 2 2" xfId="19444" xr:uid="{7A6B0C2A-CA9E-4F47-B52F-197F534CF7BF}"/>
    <cellStyle name="Normal 4 2 2 3 2 8 3" xfId="11015" xr:uid="{3D5A681F-0666-4032-95F3-798C713B59A5}"/>
    <cellStyle name="Normal 4 2 2 3 2 8 4" xfId="15226" xr:uid="{801B5C60-AA7F-4520-8A46-E7AA6EFA895E}"/>
    <cellStyle name="Normal 4 2 2 3 2 9" xfId="4718" xr:uid="{00000000-0005-0000-0000-000043120000}"/>
    <cellStyle name="Normal 4 2 2 3 2 9 2" xfId="17379" xr:uid="{368FDEDD-169A-42F4-8D78-0DC777FD5F0E}"/>
    <cellStyle name="Normal 4 2 2 3 3" xfId="344" xr:uid="{00000000-0005-0000-0000-000044120000}"/>
    <cellStyle name="Normal 4 2 2 3 3 10" xfId="13165" xr:uid="{BCC68237-1495-4A19-8109-7B73033BC85E}"/>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9942" xr:uid="{A9C48393-8375-446F-B356-7959D761999B}"/>
    <cellStyle name="Normal 4 2 2 3 3 2 2 2 3" xfId="11513" xr:uid="{765D7DF2-0986-457B-962D-AF6B90FADAA7}"/>
    <cellStyle name="Normal 4 2 2 3 3 2 2 2 4" xfId="15724" xr:uid="{9D1BE833-1590-4D91-9AFB-A11228A36CBD}"/>
    <cellStyle name="Normal 4 2 2 3 3 2 2 3" xfId="5136" xr:uid="{00000000-0005-0000-0000-000049120000}"/>
    <cellStyle name="Normal 4 2 2 3 3 2 2 3 2" xfId="17797" xr:uid="{6152A59F-126D-48E1-8642-3E4F55885F3B}"/>
    <cellStyle name="Normal 4 2 2 3 3 2 2 4" xfId="9368" xr:uid="{ABAA7519-FF16-4206-B135-9F52A80E4383}"/>
    <cellStyle name="Normal 4 2 2 3 3 2 2 5" xfId="13579" xr:uid="{F4831C27-5671-467A-9279-C81BC7F7FB7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20355" xr:uid="{9AFB29B6-8D28-4E0B-8999-A358D1DDD5AC}"/>
    <cellStyle name="Normal 4 2 2 3 3 2 3 2 3" xfId="11926" xr:uid="{58D9C046-5B35-4A2F-B8C8-1966FDCFF41F}"/>
    <cellStyle name="Normal 4 2 2 3 3 2 3 2 4" xfId="16137" xr:uid="{4A534C58-F5D1-4307-A954-922CFC5047EF}"/>
    <cellStyle name="Normal 4 2 2 3 3 2 3 3" xfId="5549" xr:uid="{00000000-0005-0000-0000-00004D120000}"/>
    <cellStyle name="Normal 4 2 2 3 3 2 3 3 2" xfId="18210" xr:uid="{B21B17E8-6A29-4B62-ADA6-52E69B3DF211}"/>
    <cellStyle name="Normal 4 2 2 3 3 2 3 4" xfId="9781" xr:uid="{9891DCC1-B7CA-4B06-9541-226946ACB9A4}"/>
    <cellStyle name="Normal 4 2 2 3 3 2 3 5" xfId="13992" xr:uid="{4F72267C-1E2F-4C37-8EC8-E464F706B86B}"/>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20768" xr:uid="{C2A435E2-6AF2-48C8-9CFD-EC56E5C5E3B6}"/>
    <cellStyle name="Normal 4 2 2 3 3 2 4 2 3" xfId="12339" xr:uid="{8C8FCD83-901C-4CF6-9291-CE0BCDB738A2}"/>
    <cellStyle name="Normal 4 2 2 3 3 2 4 2 4" xfId="16550" xr:uid="{8A9F4125-015A-4508-BC4B-97D2B238169E}"/>
    <cellStyle name="Normal 4 2 2 3 3 2 4 3" xfId="5962" xr:uid="{00000000-0005-0000-0000-000051120000}"/>
    <cellStyle name="Normal 4 2 2 3 3 2 4 3 2" xfId="18623" xr:uid="{4853277C-D33B-4960-84C6-080821B8FD06}"/>
    <cellStyle name="Normal 4 2 2 3 3 2 4 4" xfId="10194" xr:uid="{8ABDE3F3-A412-4D7D-8DD7-94FE5241E5D0}"/>
    <cellStyle name="Normal 4 2 2 3 3 2 4 5" xfId="14405" xr:uid="{67AB43A4-5A1E-4092-B2EF-9E5B81D573F7}"/>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21181" xr:uid="{4160FF9E-776C-40D2-817A-657C6A0ED88B}"/>
    <cellStyle name="Normal 4 2 2 3 3 2 5 2 3" xfId="12752" xr:uid="{098FBC8A-4FBB-4492-A3A6-3E1670DCBCB7}"/>
    <cellStyle name="Normal 4 2 2 3 3 2 5 2 4" xfId="16963" xr:uid="{918A9BFC-6AA8-496C-8C44-D6E9A71CF772}"/>
    <cellStyle name="Normal 4 2 2 3 3 2 5 3" xfId="6375" xr:uid="{00000000-0005-0000-0000-000055120000}"/>
    <cellStyle name="Normal 4 2 2 3 3 2 5 3 2" xfId="19036" xr:uid="{5E6BB391-8093-454A-AE3C-9736B89BB337}"/>
    <cellStyle name="Normal 4 2 2 3 3 2 5 4" xfId="10607" xr:uid="{37B0D0CD-7671-4799-A6C1-A470AC9903F9}"/>
    <cellStyle name="Normal 4 2 2 3 3 2 5 5" xfId="14818" xr:uid="{5EE36DAF-1242-44D0-A8B9-291350E492BE}"/>
    <cellStyle name="Normal 4 2 2 3 3 2 6" xfId="2505" xr:uid="{00000000-0005-0000-0000-000056120000}"/>
    <cellStyle name="Normal 4 2 2 3 3 2 6 2" xfId="6788" xr:uid="{00000000-0005-0000-0000-000057120000}"/>
    <cellStyle name="Normal 4 2 2 3 3 2 6 2 2" xfId="19449" xr:uid="{B30ABCCD-45F9-4144-B989-67A13922A4B4}"/>
    <cellStyle name="Normal 4 2 2 3 3 2 6 3" xfId="11020" xr:uid="{21987837-B085-4719-B6EA-439B1264ADC8}"/>
    <cellStyle name="Normal 4 2 2 3 3 2 6 4" xfId="15231" xr:uid="{4C34D689-50C8-47A9-A0A9-561B3B865181}"/>
    <cellStyle name="Normal 4 2 2 3 3 2 7" xfId="4723" xr:uid="{00000000-0005-0000-0000-000058120000}"/>
    <cellStyle name="Normal 4 2 2 3 3 2 7 2" xfId="17384" xr:uid="{AEF3B69F-A349-4BC1-B0CC-A9174914015C}"/>
    <cellStyle name="Normal 4 2 2 3 3 2 8" xfId="8955" xr:uid="{639B96E3-0285-4C2E-9D9C-EE6D18887399}"/>
    <cellStyle name="Normal 4 2 2 3 3 2 9" xfId="13166" xr:uid="{73C453BA-13FC-4A32-9379-E763EC420E2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9941" xr:uid="{1293489A-C3AF-44F8-90A0-45B946C76B81}"/>
    <cellStyle name="Normal 4 2 2 3 3 3 2 3" xfId="11512" xr:uid="{8D2E0D35-48E9-41BC-A289-258CDCD4ADD1}"/>
    <cellStyle name="Normal 4 2 2 3 3 3 2 4" xfId="15723" xr:uid="{1E4D66F0-6B99-4F1C-B37A-BF2FE509E3A5}"/>
    <cellStyle name="Normal 4 2 2 3 3 3 3" xfId="5135" xr:uid="{00000000-0005-0000-0000-00005C120000}"/>
    <cellStyle name="Normal 4 2 2 3 3 3 3 2" xfId="17796" xr:uid="{5E6B928A-431A-46AB-845A-CB819AEA8D9B}"/>
    <cellStyle name="Normal 4 2 2 3 3 3 4" xfId="9367" xr:uid="{20B50050-6980-451B-8A4B-129B17648A17}"/>
    <cellStyle name="Normal 4 2 2 3 3 3 5" xfId="13578" xr:uid="{542E97AB-4203-40B1-B66A-66982FB7F62D}"/>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20354" xr:uid="{13733595-6AD8-4190-9EBE-C6632EA1A83E}"/>
    <cellStyle name="Normal 4 2 2 3 3 4 2 3" xfId="11925" xr:uid="{AD00697F-EC15-4A88-8E76-7B2FDBABE43C}"/>
    <cellStyle name="Normal 4 2 2 3 3 4 2 4" xfId="16136" xr:uid="{9DEEF091-0057-463A-A831-9AD14C2DD354}"/>
    <cellStyle name="Normal 4 2 2 3 3 4 3" xfId="5548" xr:uid="{00000000-0005-0000-0000-000060120000}"/>
    <cellStyle name="Normal 4 2 2 3 3 4 3 2" xfId="18209" xr:uid="{48328170-9682-4B24-9D00-99F499839174}"/>
    <cellStyle name="Normal 4 2 2 3 3 4 4" xfId="9780" xr:uid="{A3C2ECC1-6BD3-4274-B31B-EA1FD7F78ADC}"/>
    <cellStyle name="Normal 4 2 2 3 3 4 5" xfId="13991" xr:uid="{F9066DBD-78BE-4CA0-B6B7-761EDF76FAE9}"/>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20767" xr:uid="{22E8DF1F-370E-4D31-8847-2E0A8E167941}"/>
    <cellStyle name="Normal 4 2 2 3 3 5 2 3" xfId="12338" xr:uid="{5061799D-18F9-4B14-8FB1-63F5AE5943FE}"/>
    <cellStyle name="Normal 4 2 2 3 3 5 2 4" xfId="16549" xr:uid="{F1D15FC5-F3B1-4F82-8D45-0F117167E01A}"/>
    <cellStyle name="Normal 4 2 2 3 3 5 3" xfId="5961" xr:uid="{00000000-0005-0000-0000-000064120000}"/>
    <cellStyle name="Normal 4 2 2 3 3 5 3 2" xfId="18622" xr:uid="{FF2C9900-77C9-4A76-A0DF-D20F7318CCD4}"/>
    <cellStyle name="Normal 4 2 2 3 3 5 4" xfId="10193" xr:uid="{21BE031A-A963-4951-8B3D-D1DDA97559F7}"/>
    <cellStyle name="Normal 4 2 2 3 3 5 5" xfId="14404" xr:uid="{646349A2-A539-42ED-AD97-D71C8D4DDBF3}"/>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21180" xr:uid="{582346AD-28BF-46AD-80EF-F79F94E6C61A}"/>
    <cellStyle name="Normal 4 2 2 3 3 6 2 3" xfId="12751" xr:uid="{991E4D64-175F-47CE-BFC0-EACABA5CD286}"/>
    <cellStyle name="Normal 4 2 2 3 3 6 2 4" xfId="16962" xr:uid="{E8B851D4-2EFB-446F-AFAB-4D7969D5B04D}"/>
    <cellStyle name="Normal 4 2 2 3 3 6 3" xfId="6374" xr:uid="{00000000-0005-0000-0000-000068120000}"/>
    <cellStyle name="Normal 4 2 2 3 3 6 3 2" xfId="19035" xr:uid="{F9DBBDB6-4C25-41A6-8973-A79C94947469}"/>
    <cellStyle name="Normal 4 2 2 3 3 6 4" xfId="10606" xr:uid="{06B8EBE0-BC0E-4D5B-BBF9-3B62CFD136A1}"/>
    <cellStyle name="Normal 4 2 2 3 3 6 5" xfId="14817" xr:uid="{17C707FA-CEC3-4712-BA31-2EDEC2F36863}"/>
    <cellStyle name="Normal 4 2 2 3 3 7" xfId="2504" xr:uid="{00000000-0005-0000-0000-000069120000}"/>
    <cellStyle name="Normal 4 2 2 3 3 7 2" xfId="6787" xr:uid="{00000000-0005-0000-0000-00006A120000}"/>
    <cellStyle name="Normal 4 2 2 3 3 7 2 2" xfId="19448" xr:uid="{C453EA36-7D02-455B-BF36-7D41CADF6931}"/>
    <cellStyle name="Normal 4 2 2 3 3 7 3" xfId="11019" xr:uid="{9E0CF78A-E2D1-44DC-ACE3-EB9EDDC8BA14}"/>
    <cellStyle name="Normal 4 2 2 3 3 7 4" xfId="15230" xr:uid="{AB7FB707-92D8-48CA-BFD8-4BB9FB67736D}"/>
    <cellStyle name="Normal 4 2 2 3 3 8" xfId="4722" xr:uid="{00000000-0005-0000-0000-00006B120000}"/>
    <cellStyle name="Normal 4 2 2 3 3 8 2" xfId="17383" xr:uid="{0C9A1FCF-3DEB-4F47-8F79-C190A5A026EC}"/>
    <cellStyle name="Normal 4 2 2 3 3 9" xfId="8954" xr:uid="{B0C64BF4-5CD9-44E3-8D76-19D1C3C69F39}"/>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9943" xr:uid="{1747460B-20D1-4376-A055-12D040868D3C}"/>
    <cellStyle name="Normal 4 2 2 3 4 2 2 3" xfId="11514" xr:uid="{28C931DC-47E4-4FCC-8404-0EC079650175}"/>
    <cellStyle name="Normal 4 2 2 3 4 2 2 4" xfId="15725" xr:uid="{E3DFA75C-B4EC-4598-AE8F-91C0DC19E651}"/>
    <cellStyle name="Normal 4 2 2 3 4 2 3" xfId="5137" xr:uid="{00000000-0005-0000-0000-000070120000}"/>
    <cellStyle name="Normal 4 2 2 3 4 2 3 2" xfId="17798" xr:uid="{7A6C66E2-A155-48BF-8447-FBA9D4F2D24F}"/>
    <cellStyle name="Normal 4 2 2 3 4 2 4" xfId="9369" xr:uid="{261C82DD-0B38-4EB0-B9A1-01CCDF9EAD0F}"/>
    <cellStyle name="Normal 4 2 2 3 4 2 5" xfId="13580" xr:uid="{88A0ACF5-2ACE-4B1B-B608-102BB603A1C1}"/>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20356" xr:uid="{5044EDB5-5AD9-4932-8978-D79A2E8302D7}"/>
    <cellStyle name="Normal 4 2 2 3 4 3 2 3" xfId="11927" xr:uid="{E546FDB5-5A91-4210-8E93-21859DE84055}"/>
    <cellStyle name="Normal 4 2 2 3 4 3 2 4" xfId="16138" xr:uid="{8E134AB4-073C-4EC3-A0CF-437E45F775F0}"/>
    <cellStyle name="Normal 4 2 2 3 4 3 3" xfId="5550" xr:uid="{00000000-0005-0000-0000-000074120000}"/>
    <cellStyle name="Normal 4 2 2 3 4 3 3 2" xfId="18211" xr:uid="{DF163938-BBF3-40D4-954B-1B109512AEA8}"/>
    <cellStyle name="Normal 4 2 2 3 4 3 4" xfId="9782" xr:uid="{EB3E2566-6CF2-49F0-9DEF-0D30C9ED24DC}"/>
    <cellStyle name="Normal 4 2 2 3 4 3 5" xfId="13993" xr:uid="{0A948C2E-F0CD-4EAD-8429-26457358BECC}"/>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20769" xr:uid="{DEA7E96A-C9F6-4C2B-884A-DD1BBFAFF7D1}"/>
    <cellStyle name="Normal 4 2 2 3 4 4 2 3" xfId="12340" xr:uid="{25A0B9BA-7C8D-441F-A6E5-E3273DB501C0}"/>
    <cellStyle name="Normal 4 2 2 3 4 4 2 4" xfId="16551" xr:uid="{5CDDDF36-2E53-4D8D-BC37-9C92E2EDAAFE}"/>
    <cellStyle name="Normal 4 2 2 3 4 4 3" xfId="5963" xr:uid="{00000000-0005-0000-0000-000078120000}"/>
    <cellStyle name="Normal 4 2 2 3 4 4 3 2" xfId="18624" xr:uid="{9A1D5F54-6A8B-4BEE-BFE0-563E5D500D6E}"/>
    <cellStyle name="Normal 4 2 2 3 4 4 4" xfId="10195" xr:uid="{DA9F24A2-B5C8-45C4-9A9F-40866914741D}"/>
    <cellStyle name="Normal 4 2 2 3 4 4 5" xfId="14406" xr:uid="{8EDAAE0D-A0AA-43CA-B394-24E9FD3F7611}"/>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21182" xr:uid="{F483D4E0-7192-44BC-A3F4-8675427E955F}"/>
    <cellStyle name="Normal 4 2 2 3 4 5 2 3" xfId="12753" xr:uid="{540112AC-FB8E-474E-B802-E2AB91CA900E}"/>
    <cellStyle name="Normal 4 2 2 3 4 5 2 4" xfId="16964" xr:uid="{726FABB2-690A-4F2F-B7C4-58F698B07175}"/>
    <cellStyle name="Normal 4 2 2 3 4 5 3" xfId="6376" xr:uid="{00000000-0005-0000-0000-00007C120000}"/>
    <cellStyle name="Normal 4 2 2 3 4 5 3 2" xfId="19037" xr:uid="{FDAF8D94-551B-40F4-89D4-C874879557B6}"/>
    <cellStyle name="Normal 4 2 2 3 4 5 4" xfId="10608" xr:uid="{D9BFFAF9-79A9-4ABD-A50A-C88E1FBEC736}"/>
    <cellStyle name="Normal 4 2 2 3 4 5 5" xfId="14819" xr:uid="{3A2A4F68-5F13-4B52-8142-714E9F6E78CD}"/>
    <cellStyle name="Normal 4 2 2 3 4 6" xfId="2506" xr:uid="{00000000-0005-0000-0000-00007D120000}"/>
    <cellStyle name="Normal 4 2 2 3 4 6 2" xfId="6789" xr:uid="{00000000-0005-0000-0000-00007E120000}"/>
    <cellStyle name="Normal 4 2 2 3 4 6 2 2" xfId="19450" xr:uid="{EC67C985-2D77-4007-9280-A313308335EF}"/>
    <cellStyle name="Normal 4 2 2 3 4 6 3" xfId="11021" xr:uid="{FDC9554E-34A4-4CD9-B533-93F30C99A09B}"/>
    <cellStyle name="Normal 4 2 2 3 4 6 4" xfId="15232" xr:uid="{5C2313F5-34BC-4FCD-8EAC-0D1B1791CB69}"/>
    <cellStyle name="Normal 4 2 2 3 4 7" xfId="4724" xr:uid="{00000000-0005-0000-0000-00007F120000}"/>
    <cellStyle name="Normal 4 2 2 3 4 7 2" xfId="17385" xr:uid="{17673475-D1F3-43DE-8C98-5C5F681EC039}"/>
    <cellStyle name="Normal 4 2 2 3 4 8" xfId="8956" xr:uid="{7B76F020-0206-4445-B353-DA0A06C4134B}"/>
    <cellStyle name="Normal 4 2 2 3 4 9" xfId="13167" xr:uid="{41E0D3C4-BA06-484F-B03F-1B67BDD5C745}"/>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9936" xr:uid="{F8CB09DB-043C-42EE-8B6D-95B76D052A91}"/>
    <cellStyle name="Normal 4 2 2 3 5 2 3" xfId="11507" xr:uid="{4E3D5045-657C-435D-BC16-1A834677F124}"/>
    <cellStyle name="Normal 4 2 2 3 5 2 4" xfId="15718" xr:uid="{2DB1DE6B-2E73-4370-8DB0-9909795DA308}"/>
    <cellStyle name="Normal 4 2 2 3 5 3" xfId="5130" xr:uid="{00000000-0005-0000-0000-000083120000}"/>
    <cellStyle name="Normal 4 2 2 3 5 3 2" xfId="17791" xr:uid="{8D620299-3FE7-4284-8F63-AF90F90AA939}"/>
    <cellStyle name="Normal 4 2 2 3 5 4" xfId="9362" xr:uid="{B864F5A0-831C-4E29-9AC6-F64CDE50C7DA}"/>
    <cellStyle name="Normal 4 2 2 3 5 5" xfId="13573" xr:uid="{B23F2429-6B66-4B9C-BDCF-0C6E5E54BFBB}"/>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20349" xr:uid="{20C2545D-CB19-47C7-B92C-9B9418CE33ED}"/>
    <cellStyle name="Normal 4 2 2 3 6 2 3" xfId="11920" xr:uid="{DDEAA779-F527-4CFE-B826-7ACDE508FAB2}"/>
    <cellStyle name="Normal 4 2 2 3 6 2 4" xfId="16131" xr:uid="{F3AB06BC-5792-424D-A42D-A94909C1ED47}"/>
    <cellStyle name="Normal 4 2 2 3 6 3" xfId="5543" xr:uid="{00000000-0005-0000-0000-000087120000}"/>
    <cellStyle name="Normal 4 2 2 3 6 3 2" xfId="18204" xr:uid="{5C5BDD13-6A08-48B0-8AE5-6AEE11C442C7}"/>
    <cellStyle name="Normal 4 2 2 3 6 4" xfId="9775" xr:uid="{28597007-1AD1-4C8B-B2EE-9063DDCA0738}"/>
    <cellStyle name="Normal 4 2 2 3 6 5" xfId="13986" xr:uid="{F91A3ABD-17DF-4808-BF85-620A30B577C2}"/>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20762" xr:uid="{04DE14A3-D8F7-437A-9E5C-75EACAC0BA51}"/>
    <cellStyle name="Normal 4 2 2 3 7 2 3" xfId="12333" xr:uid="{F5CE492E-AEA8-4601-9291-474A6ED20CA0}"/>
    <cellStyle name="Normal 4 2 2 3 7 2 4" xfId="16544" xr:uid="{A8A8299B-EA3D-4BF4-AAF0-01574C36A4FD}"/>
    <cellStyle name="Normal 4 2 2 3 7 3" xfId="5956" xr:uid="{00000000-0005-0000-0000-00008B120000}"/>
    <cellStyle name="Normal 4 2 2 3 7 3 2" xfId="18617" xr:uid="{E580A1A8-8704-4067-BEE6-4EF2FE3D8D5C}"/>
    <cellStyle name="Normal 4 2 2 3 7 4" xfId="10188" xr:uid="{3029C3EF-BBF3-4668-AAE6-764F42BD9A9F}"/>
    <cellStyle name="Normal 4 2 2 3 7 5" xfId="14399" xr:uid="{3ADBC1A4-A804-4FE9-9145-75DB55FE6189}"/>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21175" xr:uid="{FC4F1535-4030-4E19-8D00-74CCA3C1389F}"/>
    <cellStyle name="Normal 4 2 2 3 8 2 3" xfId="12746" xr:uid="{DD592DD1-B3C4-4311-BAB9-71273DE19BF9}"/>
    <cellStyle name="Normal 4 2 2 3 8 2 4" xfId="16957" xr:uid="{A5D83F60-6165-47E6-8D65-D74748F1289B}"/>
    <cellStyle name="Normal 4 2 2 3 8 3" xfId="6369" xr:uid="{00000000-0005-0000-0000-00008F120000}"/>
    <cellStyle name="Normal 4 2 2 3 8 3 2" xfId="19030" xr:uid="{4A3BADA3-BE85-4E74-8867-D8B973B96878}"/>
    <cellStyle name="Normal 4 2 2 3 8 4" xfId="10601" xr:uid="{8AB4D381-DCCC-421C-A2B2-CBB1C1010993}"/>
    <cellStyle name="Normal 4 2 2 3 8 5" xfId="14812" xr:uid="{E988DB44-F327-4624-BF04-442441B31DC1}"/>
    <cellStyle name="Normal 4 2 2 3 9" xfId="2499" xr:uid="{00000000-0005-0000-0000-000090120000}"/>
    <cellStyle name="Normal 4 2 2 3 9 2" xfId="6782" xr:uid="{00000000-0005-0000-0000-000091120000}"/>
    <cellStyle name="Normal 4 2 2 3 9 2 2" xfId="19443" xr:uid="{B96FF8C9-8814-4E4A-8F8D-75044D416A24}"/>
    <cellStyle name="Normal 4 2 2 3 9 3" xfId="11014" xr:uid="{11F4F594-6357-40E0-ACFA-E3C32D8208EE}"/>
    <cellStyle name="Normal 4 2 2 3 9 4" xfId="15225" xr:uid="{9E6CF1FD-54DE-4C10-8E0A-35F9040BC3B8}"/>
    <cellStyle name="Normal 4 2 2 4" xfId="347" xr:uid="{00000000-0005-0000-0000-000092120000}"/>
    <cellStyle name="Normal 4 2 2 4 10" xfId="8957" xr:uid="{79779229-5E50-46B7-BAFF-D6CE75FA395C}"/>
    <cellStyle name="Normal 4 2 2 4 11" xfId="13168" xr:uid="{D250EF8B-EE9A-4325-8F58-69018BCBA523}"/>
    <cellStyle name="Normal 4 2 2 4 2" xfId="348" xr:uid="{00000000-0005-0000-0000-000093120000}"/>
    <cellStyle name="Normal 4 2 2 4 2 10" xfId="13169" xr:uid="{63746808-F50A-48A6-861E-E1CB787E804B}"/>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9946" xr:uid="{F6CC6DD5-E22D-40FD-9D33-889AB9AEFB80}"/>
    <cellStyle name="Normal 4 2 2 4 2 2 2 2 3" xfId="11517" xr:uid="{EF6A27B8-6871-45EE-A3E2-BB1AA29B3870}"/>
    <cellStyle name="Normal 4 2 2 4 2 2 2 2 4" xfId="15728" xr:uid="{038DF10D-41C1-4A4B-A369-A5DCAC652712}"/>
    <cellStyle name="Normal 4 2 2 4 2 2 2 3" xfId="5140" xr:uid="{00000000-0005-0000-0000-000098120000}"/>
    <cellStyle name="Normal 4 2 2 4 2 2 2 3 2" xfId="17801" xr:uid="{B81E6B5E-781F-45E7-B1B7-D72AB0FF900C}"/>
    <cellStyle name="Normal 4 2 2 4 2 2 2 4" xfId="9372" xr:uid="{ACCEB425-B2A3-4CD9-BF37-9143D807E28D}"/>
    <cellStyle name="Normal 4 2 2 4 2 2 2 5" xfId="13583" xr:uid="{ED5ABA45-1396-44C9-86A5-769FC9180B79}"/>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20359" xr:uid="{B391D760-E3C4-4A5C-B108-2B4F920EC4CA}"/>
    <cellStyle name="Normal 4 2 2 4 2 2 3 2 3" xfId="11930" xr:uid="{4D0810F5-373B-4BFC-8278-8A611DF8130D}"/>
    <cellStyle name="Normal 4 2 2 4 2 2 3 2 4" xfId="16141" xr:uid="{5BEB77D6-2AD9-4204-BA72-7395273B4FC9}"/>
    <cellStyle name="Normal 4 2 2 4 2 2 3 3" xfId="5553" xr:uid="{00000000-0005-0000-0000-00009C120000}"/>
    <cellStyle name="Normal 4 2 2 4 2 2 3 3 2" xfId="18214" xr:uid="{0E36E04B-AF67-4C77-AFB1-F69134D8D209}"/>
    <cellStyle name="Normal 4 2 2 4 2 2 3 4" xfId="9785" xr:uid="{1613AF63-2D2F-4ABF-9DA4-5AA8CB553B69}"/>
    <cellStyle name="Normal 4 2 2 4 2 2 3 5" xfId="13996" xr:uid="{3DFE12FA-90DB-42BC-AE11-3C00BFCE3737}"/>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20772" xr:uid="{D02AFE4D-297E-49CC-A33E-603E6FE6CB33}"/>
    <cellStyle name="Normal 4 2 2 4 2 2 4 2 3" xfId="12343" xr:uid="{5A4B7B7F-AF7A-49DE-B772-6DCA5EE4F663}"/>
    <cellStyle name="Normal 4 2 2 4 2 2 4 2 4" xfId="16554" xr:uid="{E63A8115-EF5B-459E-9C99-F64636CF7D7F}"/>
    <cellStyle name="Normal 4 2 2 4 2 2 4 3" xfId="5966" xr:uid="{00000000-0005-0000-0000-0000A0120000}"/>
    <cellStyle name="Normal 4 2 2 4 2 2 4 3 2" xfId="18627" xr:uid="{4F3B0A03-9DEE-482B-B34C-55FE6BC6D25E}"/>
    <cellStyle name="Normal 4 2 2 4 2 2 4 4" xfId="10198" xr:uid="{18807DB8-E1B6-431F-B74A-80C07AC74E49}"/>
    <cellStyle name="Normal 4 2 2 4 2 2 4 5" xfId="14409" xr:uid="{2EF5C57C-FB27-4463-904A-486AC9D2F77E}"/>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21185" xr:uid="{6B8EE401-3DAC-4B60-A994-F31369A87581}"/>
    <cellStyle name="Normal 4 2 2 4 2 2 5 2 3" xfId="12756" xr:uid="{AF36BA15-959B-41BB-A707-CFA5C4FD3DA3}"/>
    <cellStyle name="Normal 4 2 2 4 2 2 5 2 4" xfId="16967" xr:uid="{A38D5CE8-FB58-4874-915A-468B2051D7ED}"/>
    <cellStyle name="Normal 4 2 2 4 2 2 5 3" xfId="6379" xr:uid="{00000000-0005-0000-0000-0000A4120000}"/>
    <cellStyle name="Normal 4 2 2 4 2 2 5 3 2" xfId="19040" xr:uid="{B67EF879-FA0A-4BF6-A46D-DC77DAD5A300}"/>
    <cellStyle name="Normal 4 2 2 4 2 2 5 4" xfId="10611" xr:uid="{36361B69-4FB0-4C01-B1DD-421B14E4ACE3}"/>
    <cellStyle name="Normal 4 2 2 4 2 2 5 5" xfId="14822" xr:uid="{5E06126D-9958-4F8D-906E-983608BA8F07}"/>
    <cellStyle name="Normal 4 2 2 4 2 2 6" xfId="2509" xr:uid="{00000000-0005-0000-0000-0000A5120000}"/>
    <cellStyle name="Normal 4 2 2 4 2 2 6 2" xfId="6792" xr:uid="{00000000-0005-0000-0000-0000A6120000}"/>
    <cellStyle name="Normal 4 2 2 4 2 2 6 2 2" xfId="19453" xr:uid="{543B98C1-6CB9-4EC3-B27F-977B11F55583}"/>
    <cellStyle name="Normal 4 2 2 4 2 2 6 3" xfId="11024" xr:uid="{046C1B95-99C3-429A-8BF4-31ADA66CE13D}"/>
    <cellStyle name="Normal 4 2 2 4 2 2 6 4" xfId="15235" xr:uid="{A795A0F0-54A8-45EE-9CD1-298E01CCFFE9}"/>
    <cellStyle name="Normal 4 2 2 4 2 2 7" xfId="4727" xr:uid="{00000000-0005-0000-0000-0000A7120000}"/>
    <cellStyle name="Normal 4 2 2 4 2 2 7 2" xfId="17388" xr:uid="{2B70F8C1-1828-49D2-A976-D4937CCEED68}"/>
    <cellStyle name="Normal 4 2 2 4 2 2 8" xfId="8959" xr:uid="{AF16B997-CE75-4678-AB72-2C33BA3250F1}"/>
    <cellStyle name="Normal 4 2 2 4 2 2 9" xfId="13170" xr:uid="{575B26BA-AD47-44AF-A984-E4089C582B3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9945" xr:uid="{5D73AE86-27C3-465D-912B-80782A7CF40E}"/>
    <cellStyle name="Normal 4 2 2 4 2 3 2 3" xfId="11516" xr:uid="{C594A4A0-5051-4BC2-BB58-F1E2C42B32EE}"/>
    <cellStyle name="Normal 4 2 2 4 2 3 2 4" xfId="15727" xr:uid="{2EC45DFA-8B38-484D-9BC7-87D2607F4067}"/>
    <cellStyle name="Normal 4 2 2 4 2 3 3" xfId="5139" xr:uid="{00000000-0005-0000-0000-0000AB120000}"/>
    <cellStyle name="Normal 4 2 2 4 2 3 3 2" xfId="17800" xr:uid="{B3159B24-D0A2-4C2E-BB94-7ACA9FCD2B95}"/>
    <cellStyle name="Normal 4 2 2 4 2 3 4" xfId="9371" xr:uid="{685F81FD-ED9B-4D1D-9DFF-54066886B4FB}"/>
    <cellStyle name="Normal 4 2 2 4 2 3 5" xfId="13582" xr:uid="{1553D706-7EB1-4A64-8E5F-0BFFA40C068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20358" xr:uid="{89B090BB-5C9D-451B-A0CF-3E5555B6400F}"/>
    <cellStyle name="Normal 4 2 2 4 2 4 2 3" xfId="11929" xr:uid="{80B30A97-4D02-4089-85A5-CA977DBB3BC4}"/>
    <cellStyle name="Normal 4 2 2 4 2 4 2 4" xfId="16140" xr:uid="{F34D03D0-E9EB-40BF-A604-3D2C1E3FD92D}"/>
    <cellStyle name="Normal 4 2 2 4 2 4 3" xfId="5552" xr:uid="{00000000-0005-0000-0000-0000AF120000}"/>
    <cellStyle name="Normal 4 2 2 4 2 4 3 2" xfId="18213" xr:uid="{0EE3103E-67B8-4C80-8591-CC45AFD9D7E7}"/>
    <cellStyle name="Normal 4 2 2 4 2 4 4" xfId="9784" xr:uid="{222BC818-1C95-4BBA-8D4C-55BACA2F87B9}"/>
    <cellStyle name="Normal 4 2 2 4 2 4 5" xfId="13995" xr:uid="{4DA5CA5E-F7FB-40AC-8AC6-B1694FE9C55D}"/>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20771" xr:uid="{910E9C3E-ECD1-4305-94CE-30630B41046E}"/>
    <cellStyle name="Normal 4 2 2 4 2 5 2 3" xfId="12342" xr:uid="{5DF10169-597F-4DA9-910E-F0ED43EA89E6}"/>
    <cellStyle name="Normal 4 2 2 4 2 5 2 4" xfId="16553" xr:uid="{1BAE5204-6635-4D1E-B1F4-EFC996C45ACD}"/>
    <cellStyle name="Normal 4 2 2 4 2 5 3" xfId="5965" xr:uid="{00000000-0005-0000-0000-0000B3120000}"/>
    <cellStyle name="Normal 4 2 2 4 2 5 3 2" xfId="18626" xr:uid="{7B4ECAE5-ABB2-484F-A21D-32622D673FA6}"/>
    <cellStyle name="Normal 4 2 2 4 2 5 4" xfId="10197" xr:uid="{2799978E-3271-43AB-BBC3-E874C1DE69B5}"/>
    <cellStyle name="Normal 4 2 2 4 2 5 5" xfId="14408" xr:uid="{6884A14F-856B-4822-BAFC-2E422ABF6AD5}"/>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21184" xr:uid="{4786F865-1825-45B7-A261-EE925C438CED}"/>
    <cellStyle name="Normal 4 2 2 4 2 6 2 3" xfId="12755" xr:uid="{E0E5FBFE-C517-4953-89E6-DB04F314D645}"/>
    <cellStyle name="Normal 4 2 2 4 2 6 2 4" xfId="16966" xr:uid="{47FCC66F-267A-4B62-9BFF-9A5214EA3501}"/>
    <cellStyle name="Normal 4 2 2 4 2 6 3" xfId="6378" xr:uid="{00000000-0005-0000-0000-0000B7120000}"/>
    <cellStyle name="Normal 4 2 2 4 2 6 3 2" xfId="19039" xr:uid="{B3FBC9BD-CBEE-40D2-993D-A18D8D0FBB3F}"/>
    <cellStyle name="Normal 4 2 2 4 2 6 4" xfId="10610" xr:uid="{9BF8E592-B1B5-40B6-AFC0-227C9CD83E88}"/>
    <cellStyle name="Normal 4 2 2 4 2 6 5" xfId="14821" xr:uid="{F78E4D45-E374-4799-9255-C88E29D4787C}"/>
    <cellStyle name="Normal 4 2 2 4 2 7" xfId="2508" xr:uid="{00000000-0005-0000-0000-0000B8120000}"/>
    <cellStyle name="Normal 4 2 2 4 2 7 2" xfId="6791" xr:uid="{00000000-0005-0000-0000-0000B9120000}"/>
    <cellStyle name="Normal 4 2 2 4 2 7 2 2" xfId="19452" xr:uid="{1E3A0F02-035D-426E-81F4-7647688CCAB9}"/>
    <cellStyle name="Normal 4 2 2 4 2 7 3" xfId="11023" xr:uid="{EDE8F484-D3E0-4C2E-AE8F-09A9C291ADC2}"/>
    <cellStyle name="Normal 4 2 2 4 2 7 4" xfId="15234" xr:uid="{0994DE45-FD51-407F-811D-71A9275A8D0B}"/>
    <cellStyle name="Normal 4 2 2 4 2 8" xfId="4726" xr:uid="{00000000-0005-0000-0000-0000BA120000}"/>
    <cellStyle name="Normal 4 2 2 4 2 8 2" xfId="17387" xr:uid="{29DA43DA-D0BB-4D6A-8BFE-EB5373A06201}"/>
    <cellStyle name="Normal 4 2 2 4 2 9" xfId="8958" xr:uid="{E90A6C82-2B72-46C8-A43C-109D842F911D}"/>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9947" xr:uid="{5BE74D5A-1A0F-49E9-BBA7-FABBE3D3D56F}"/>
    <cellStyle name="Normal 4 2 2 4 3 2 2 3" xfId="11518" xr:uid="{4FEF4225-1867-4110-B2DD-316CCDADD522}"/>
    <cellStyle name="Normal 4 2 2 4 3 2 2 4" xfId="15729" xr:uid="{CB5A2508-3F06-44A7-99E3-6DC556D85C15}"/>
    <cellStyle name="Normal 4 2 2 4 3 2 3" xfId="5141" xr:uid="{00000000-0005-0000-0000-0000BF120000}"/>
    <cellStyle name="Normal 4 2 2 4 3 2 3 2" xfId="17802" xr:uid="{0FBF9AE7-70FB-4F50-8F14-839A1EE15F64}"/>
    <cellStyle name="Normal 4 2 2 4 3 2 4" xfId="9373" xr:uid="{09D74D5E-9BFC-4C36-BAE5-A4CBDDCC000D}"/>
    <cellStyle name="Normal 4 2 2 4 3 2 5" xfId="13584" xr:uid="{9126A10C-669F-483D-86E7-FBD6629CCA76}"/>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20360" xr:uid="{90EAF0BF-881E-4D36-B8B7-E1BD0632F639}"/>
    <cellStyle name="Normal 4 2 2 4 3 3 2 3" xfId="11931" xr:uid="{07EC646F-5E0D-409F-9609-E53D36CBEBAB}"/>
    <cellStyle name="Normal 4 2 2 4 3 3 2 4" xfId="16142" xr:uid="{2743DF71-0A1C-41F4-BA2E-84032A4F82FF}"/>
    <cellStyle name="Normal 4 2 2 4 3 3 3" xfId="5554" xr:uid="{00000000-0005-0000-0000-0000C3120000}"/>
    <cellStyle name="Normal 4 2 2 4 3 3 3 2" xfId="18215" xr:uid="{7A79BD51-1CE9-4BB0-917C-073D1B2211F5}"/>
    <cellStyle name="Normal 4 2 2 4 3 3 4" xfId="9786" xr:uid="{E6F4C698-BBCF-48C1-B02D-8B181519781D}"/>
    <cellStyle name="Normal 4 2 2 4 3 3 5" xfId="13997" xr:uid="{39FBCCA0-A4DF-47F9-90A8-F13712DF2ADE}"/>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20773" xr:uid="{6008D074-02E5-4D8F-93EA-676B6F031E43}"/>
    <cellStyle name="Normal 4 2 2 4 3 4 2 3" xfId="12344" xr:uid="{CC8F1EBB-3201-4D41-A51B-05DAB7576B12}"/>
    <cellStyle name="Normal 4 2 2 4 3 4 2 4" xfId="16555" xr:uid="{1173DEEE-6BC8-4DF1-BF8B-EA29CB7FF5D7}"/>
    <cellStyle name="Normal 4 2 2 4 3 4 3" xfId="5967" xr:uid="{00000000-0005-0000-0000-0000C7120000}"/>
    <cellStyle name="Normal 4 2 2 4 3 4 3 2" xfId="18628" xr:uid="{7F40CD9C-1614-43A9-937F-E95373E3E604}"/>
    <cellStyle name="Normal 4 2 2 4 3 4 4" xfId="10199" xr:uid="{E323C0DF-1CA9-439B-9E65-87F0A84E13BD}"/>
    <cellStyle name="Normal 4 2 2 4 3 4 5" xfId="14410" xr:uid="{F9617A73-8EFB-4FF7-8915-4E87DCCEA259}"/>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21186" xr:uid="{9A8EDC37-FAC9-432A-ABE3-1E6F866F6238}"/>
    <cellStyle name="Normal 4 2 2 4 3 5 2 3" xfId="12757" xr:uid="{5AD63E8C-02CC-48B9-BB5D-DB09AE5A6A4B}"/>
    <cellStyle name="Normal 4 2 2 4 3 5 2 4" xfId="16968" xr:uid="{6D60CDB5-069B-4B5F-A371-2B452A611010}"/>
    <cellStyle name="Normal 4 2 2 4 3 5 3" xfId="6380" xr:uid="{00000000-0005-0000-0000-0000CB120000}"/>
    <cellStyle name="Normal 4 2 2 4 3 5 3 2" xfId="19041" xr:uid="{B5D82581-91E8-4C77-A86D-DC4FBFE85852}"/>
    <cellStyle name="Normal 4 2 2 4 3 5 4" xfId="10612" xr:uid="{7655C43B-FE72-4862-861A-5AFC7597115A}"/>
    <cellStyle name="Normal 4 2 2 4 3 5 5" xfId="14823" xr:uid="{73A6229E-86AE-4D59-B1FE-78893191C2F1}"/>
    <cellStyle name="Normal 4 2 2 4 3 6" xfId="2510" xr:uid="{00000000-0005-0000-0000-0000CC120000}"/>
    <cellStyle name="Normal 4 2 2 4 3 6 2" xfId="6793" xr:uid="{00000000-0005-0000-0000-0000CD120000}"/>
    <cellStyle name="Normal 4 2 2 4 3 6 2 2" xfId="19454" xr:uid="{768F5F50-C8F8-4855-90D8-676069AE09BE}"/>
    <cellStyle name="Normal 4 2 2 4 3 6 3" xfId="11025" xr:uid="{CAC2D4A8-207A-4083-BE8E-F64B74219482}"/>
    <cellStyle name="Normal 4 2 2 4 3 6 4" xfId="15236" xr:uid="{AA70AC85-8B06-4749-A051-F7C0C2A6897F}"/>
    <cellStyle name="Normal 4 2 2 4 3 7" xfId="4728" xr:uid="{00000000-0005-0000-0000-0000CE120000}"/>
    <cellStyle name="Normal 4 2 2 4 3 7 2" xfId="17389" xr:uid="{0B476542-4F44-45DB-9FE8-394DC75BE035}"/>
    <cellStyle name="Normal 4 2 2 4 3 8" xfId="8960" xr:uid="{784E4FEA-9FB9-40C2-BCF3-6B3B10255C11}"/>
    <cellStyle name="Normal 4 2 2 4 3 9" xfId="13171" xr:uid="{F2D88A20-513A-4D7C-94B0-E6BC42E0DC0E}"/>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9944" xr:uid="{F85686E8-8815-45F1-AD5E-0327986C62E2}"/>
    <cellStyle name="Normal 4 2 2 4 4 2 3" xfId="11515" xr:uid="{F29E4915-5CB1-41C3-960E-096B1C8EBBE4}"/>
    <cellStyle name="Normal 4 2 2 4 4 2 4" xfId="15726" xr:uid="{FABE8040-130A-4112-AD2B-94A4565BC0F5}"/>
    <cellStyle name="Normal 4 2 2 4 4 3" xfId="5138" xr:uid="{00000000-0005-0000-0000-0000D2120000}"/>
    <cellStyle name="Normal 4 2 2 4 4 3 2" xfId="17799" xr:uid="{ABF1542B-24FE-4319-8A8A-1AA0C156CEB0}"/>
    <cellStyle name="Normal 4 2 2 4 4 4" xfId="9370" xr:uid="{F0F2A33A-EF6E-4824-8375-2FFC7E9C2B87}"/>
    <cellStyle name="Normal 4 2 2 4 4 5" xfId="13581" xr:uid="{DDA856D0-C274-496D-BD25-707919AFA32A}"/>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20357" xr:uid="{978A2CED-1AC8-4D53-9E8F-365C4758A3AD}"/>
    <cellStyle name="Normal 4 2 2 4 5 2 3" xfId="11928" xr:uid="{E458B961-DD1F-4630-8A7B-B9652DD62C80}"/>
    <cellStyle name="Normal 4 2 2 4 5 2 4" xfId="16139" xr:uid="{9F7ED762-40FE-46D6-8862-3B0BD80B13E8}"/>
    <cellStyle name="Normal 4 2 2 4 5 3" xfId="5551" xr:uid="{00000000-0005-0000-0000-0000D6120000}"/>
    <cellStyle name="Normal 4 2 2 4 5 3 2" xfId="18212" xr:uid="{7E65F336-8541-4AF2-93F8-636353515BCD}"/>
    <cellStyle name="Normal 4 2 2 4 5 4" xfId="9783" xr:uid="{0F962639-A44C-4329-91D4-BAEC1E581825}"/>
    <cellStyle name="Normal 4 2 2 4 5 5" xfId="13994" xr:uid="{D40BE7AA-235F-4CB9-A784-7D3AC60BC2F8}"/>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20770" xr:uid="{66F655EB-2C0D-4FCC-9972-937263E775CE}"/>
    <cellStyle name="Normal 4 2 2 4 6 2 3" xfId="12341" xr:uid="{8C107E6C-1252-49A9-B3FF-CBE5A4ACD4E4}"/>
    <cellStyle name="Normal 4 2 2 4 6 2 4" xfId="16552" xr:uid="{BC4EE09D-22A5-4D57-B493-A8F97A9163F9}"/>
    <cellStyle name="Normal 4 2 2 4 6 3" xfId="5964" xr:uid="{00000000-0005-0000-0000-0000DA120000}"/>
    <cellStyle name="Normal 4 2 2 4 6 3 2" xfId="18625" xr:uid="{A1B80847-EB3A-4BBE-BB0D-BB7AFECDA194}"/>
    <cellStyle name="Normal 4 2 2 4 6 4" xfId="10196" xr:uid="{AB56345A-DF8E-4222-ADEF-568CA8475E3A}"/>
    <cellStyle name="Normal 4 2 2 4 6 5" xfId="14407" xr:uid="{9326689A-D75A-48EB-B3C0-702E530E1B2E}"/>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21183" xr:uid="{287B7780-EA23-4472-AB21-5470D63AE227}"/>
    <cellStyle name="Normal 4 2 2 4 7 2 3" xfId="12754" xr:uid="{DFE75E74-F5D3-4ECE-9EB5-C07511970909}"/>
    <cellStyle name="Normal 4 2 2 4 7 2 4" xfId="16965" xr:uid="{1CA2FB62-8B38-4812-A487-8193642DE01B}"/>
    <cellStyle name="Normal 4 2 2 4 7 3" xfId="6377" xr:uid="{00000000-0005-0000-0000-0000DE120000}"/>
    <cellStyle name="Normal 4 2 2 4 7 3 2" xfId="19038" xr:uid="{188052AC-A765-4285-B975-4331F3D103F3}"/>
    <cellStyle name="Normal 4 2 2 4 7 4" xfId="10609" xr:uid="{60DFFF57-3A62-4747-8686-9C0510FDEBB8}"/>
    <cellStyle name="Normal 4 2 2 4 7 5" xfId="14820" xr:uid="{D21F2778-0B3E-40B1-99B1-EBEFF46CA702}"/>
    <cellStyle name="Normal 4 2 2 4 8" xfId="2507" xr:uid="{00000000-0005-0000-0000-0000DF120000}"/>
    <cellStyle name="Normal 4 2 2 4 8 2" xfId="6790" xr:uid="{00000000-0005-0000-0000-0000E0120000}"/>
    <cellStyle name="Normal 4 2 2 4 8 2 2" xfId="19451" xr:uid="{BA0D5404-89A9-49F3-A1C1-78FADAA8F850}"/>
    <cellStyle name="Normal 4 2 2 4 8 3" xfId="11022" xr:uid="{9F466D29-C2C4-469A-B337-0FBB91178FE4}"/>
    <cellStyle name="Normal 4 2 2 4 8 4" xfId="15233" xr:uid="{DBD2A2A9-D172-41D3-933A-68A1B421E011}"/>
    <cellStyle name="Normal 4 2 2 4 9" xfId="4725" xr:uid="{00000000-0005-0000-0000-0000E1120000}"/>
    <cellStyle name="Normal 4 2 2 4 9 2" xfId="17386" xr:uid="{C2391A7B-DB51-4E74-834C-FF4D71CDB4C9}"/>
    <cellStyle name="Normal 4 2 2 5" xfId="351" xr:uid="{00000000-0005-0000-0000-0000E2120000}"/>
    <cellStyle name="Normal 4 2 2 5 10" xfId="13172" xr:uid="{7D209BEE-71FF-4030-8E92-56700B86CCED}"/>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9949" xr:uid="{EF99F3AA-4D75-4BDF-9DC9-DDC9CE993102}"/>
    <cellStyle name="Normal 4 2 2 5 2 2 2 3" xfId="11520" xr:uid="{71A40907-EC50-43FB-8EE0-E093CF9B6CBB}"/>
    <cellStyle name="Normal 4 2 2 5 2 2 2 4" xfId="15731" xr:uid="{5ECFC3BC-326B-4AE2-90D6-AE305C73CABF}"/>
    <cellStyle name="Normal 4 2 2 5 2 2 3" xfId="5143" xr:uid="{00000000-0005-0000-0000-0000E7120000}"/>
    <cellStyle name="Normal 4 2 2 5 2 2 3 2" xfId="17804" xr:uid="{80CF99A8-B07E-4B63-A375-84200DE1D3E8}"/>
    <cellStyle name="Normal 4 2 2 5 2 2 4" xfId="9375" xr:uid="{96C5A159-52A1-4033-B77D-7901B171B3FD}"/>
    <cellStyle name="Normal 4 2 2 5 2 2 5" xfId="13586" xr:uid="{94589734-6731-4D16-A36A-9F24E8B20EB5}"/>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20362" xr:uid="{CD8272A1-3886-4484-821F-78DE4665A35E}"/>
    <cellStyle name="Normal 4 2 2 5 2 3 2 3" xfId="11933" xr:uid="{AF717010-D86F-480A-BF16-39605A6A2766}"/>
    <cellStyle name="Normal 4 2 2 5 2 3 2 4" xfId="16144" xr:uid="{38D58528-FE03-453B-A957-D5C90209A269}"/>
    <cellStyle name="Normal 4 2 2 5 2 3 3" xfId="5556" xr:uid="{00000000-0005-0000-0000-0000EB120000}"/>
    <cellStyle name="Normal 4 2 2 5 2 3 3 2" xfId="18217" xr:uid="{B1D403F9-F5C2-41C4-B94B-EEE6C35B6A04}"/>
    <cellStyle name="Normal 4 2 2 5 2 3 4" xfId="9788" xr:uid="{3F6F5332-A68D-42FE-9C0F-571D04FCF0D1}"/>
    <cellStyle name="Normal 4 2 2 5 2 3 5" xfId="13999" xr:uid="{8745CD84-6667-416E-96F8-7320365A2928}"/>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20775" xr:uid="{0A4F3F71-E957-4658-A994-CDAD6142D46E}"/>
    <cellStyle name="Normal 4 2 2 5 2 4 2 3" xfId="12346" xr:uid="{0B3AFF25-C160-4CFB-9724-F86F30150D0E}"/>
    <cellStyle name="Normal 4 2 2 5 2 4 2 4" xfId="16557" xr:uid="{3C62224E-6E01-40FC-8946-1D54085AC454}"/>
    <cellStyle name="Normal 4 2 2 5 2 4 3" xfId="5969" xr:uid="{00000000-0005-0000-0000-0000EF120000}"/>
    <cellStyle name="Normal 4 2 2 5 2 4 3 2" xfId="18630" xr:uid="{713C790A-DBC9-41CF-8259-9E1F682B0F65}"/>
    <cellStyle name="Normal 4 2 2 5 2 4 4" xfId="10201" xr:uid="{46F70DB2-A1D0-4B53-96AC-870B00BD88C1}"/>
    <cellStyle name="Normal 4 2 2 5 2 4 5" xfId="14412" xr:uid="{0D12FE66-5C7C-4AC7-B144-5E5155E73C0E}"/>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21188" xr:uid="{A42F6617-B949-45E8-9B0C-E1411C5A3037}"/>
    <cellStyle name="Normal 4 2 2 5 2 5 2 3" xfId="12759" xr:uid="{EF6A6059-56B9-4FE0-9216-2AE41F3C427A}"/>
    <cellStyle name="Normal 4 2 2 5 2 5 2 4" xfId="16970" xr:uid="{72849361-D35A-4BE7-8BD9-7B0E22BC453B}"/>
    <cellStyle name="Normal 4 2 2 5 2 5 3" xfId="6382" xr:uid="{00000000-0005-0000-0000-0000F3120000}"/>
    <cellStyle name="Normal 4 2 2 5 2 5 3 2" xfId="19043" xr:uid="{CB0B6516-E76B-4A0C-90C4-A9CA679AF46E}"/>
    <cellStyle name="Normal 4 2 2 5 2 5 4" xfId="10614" xr:uid="{7A8462A8-5CF0-4529-9988-BC3286EF1203}"/>
    <cellStyle name="Normal 4 2 2 5 2 5 5" xfId="14825" xr:uid="{43AF49DB-9F8A-471C-9A3F-C6161A3BF5EF}"/>
    <cellStyle name="Normal 4 2 2 5 2 6" xfId="2512" xr:uid="{00000000-0005-0000-0000-0000F4120000}"/>
    <cellStyle name="Normal 4 2 2 5 2 6 2" xfId="6795" xr:uid="{00000000-0005-0000-0000-0000F5120000}"/>
    <cellStyle name="Normal 4 2 2 5 2 6 2 2" xfId="19456" xr:uid="{5B58678E-7906-43E1-8DA3-14B2874E3539}"/>
    <cellStyle name="Normal 4 2 2 5 2 6 3" xfId="11027" xr:uid="{68BC411A-2A95-4982-961E-F929ABF288CF}"/>
    <cellStyle name="Normal 4 2 2 5 2 6 4" xfId="15238" xr:uid="{F6C0135C-8A84-4047-81C6-D0F0985E971A}"/>
    <cellStyle name="Normal 4 2 2 5 2 7" xfId="4730" xr:uid="{00000000-0005-0000-0000-0000F6120000}"/>
    <cellStyle name="Normal 4 2 2 5 2 7 2" xfId="17391" xr:uid="{892A983C-96F9-49A0-A955-336F952D89B6}"/>
    <cellStyle name="Normal 4 2 2 5 2 8" xfId="8962" xr:uid="{4DFE151F-E221-4B51-9634-E8B3ED9F33EE}"/>
    <cellStyle name="Normal 4 2 2 5 2 9" xfId="13173" xr:uid="{18441239-4C4C-418F-9176-1F9306B4932C}"/>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9948" xr:uid="{F45346A6-5590-4179-A814-5D5502BFF333}"/>
    <cellStyle name="Normal 4 2 2 5 3 2 3" xfId="11519" xr:uid="{0E9B3F66-C466-4957-BA82-E1724AD80CCD}"/>
    <cellStyle name="Normal 4 2 2 5 3 2 4" xfId="15730" xr:uid="{6E4A40C0-1542-4300-854D-7AE5A77FBB8F}"/>
    <cellStyle name="Normal 4 2 2 5 3 3" xfId="5142" xr:uid="{00000000-0005-0000-0000-0000FA120000}"/>
    <cellStyle name="Normal 4 2 2 5 3 3 2" xfId="17803" xr:uid="{D4770D0C-D6B4-463C-8A0C-20F1DD21CFA6}"/>
    <cellStyle name="Normal 4 2 2 5 3 4" xfId="9374" xr:uid="{B7D8B618-3845-404B-A9C2-B4AE96274B23}"/>
    <cellStyle name="Normal 4 2 2 5 3 5" xfId="13585" xr:uid="{2655DE0F-7195-4C62-BD1A-907593FAD703}"/>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20361" xr:uid="{96D7232C-BFC0-493E-B1AF-5F6CC1CEBC1D}"/>
    <cellStyle name="Normal 4 2 2 5 4 2 3" xfId="11932" xr:uid="{8AEB875C-F901-4553-8369-F1F4995C0220}"/>
    <cellStyle name="Normal 4 2 2 5 4 2 4" xfId="16143" xr:uid="{648E9D09-CD88-4451-9562-96072AF7696C}"/>
    <cellStyle name="Normal 4 2 2 5 4 3" xfId="5555" xr:uid="{00000000-0005-0000-0000-0000FE120000}"/>
    <cellStyle name="Normal 4 2 2 5 4 3 2" xfId="18216" xr:uid="{605FF737-09A3-432D-9D13-4BCDFDEBEB90}"/>
    <cellStyle name="Normal 4 2 2 5 4 4" xfId="9787" xr:uid="{6A7C71C6-1A75-44A2-8378-1A8B1B1F3E3F}"/>
    <cellStyle name="Normal 4 2 2 5 4 5" xfId="13998" xr:uid="{09C4AF1B-E6F2-4E25-8D5F-E22A424DC45F}"/>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20774" xr:uid="{53B3BDB9-9378-466B-860B-70DF8212D244}"/>
    <cellStyle name="Normal 4 2 2 5 5 2 3" xfId="12345" xr:uid="{EC051A78-8D14-4894-AE3B-C008987B175D}"/>
    <cellStyle name="Normal 4 2 2 5 5 2 4" xfId="16556" xr:uid="{53AAF761-0C12-402E-AF7A-FD80EDBB6E6C}"/>
    <cellStyle name="Normal 4 2 2 5 5 3" xfId="5968" xr:uid="{00000000-0005-0000-0000-000002130000}"/>
    <cellStyle name="Normal 4 2 2 5 5 3 2" xfId="18629" xr:uid="{BB09D7AB-DD10-4225-AD30-227AF6E8B1B1}"/>
    <cellStyle name="Normal 4 2 2 5 5 4" xfId="10200" xr:uid="{11999D26-AA0E-4D26-94E6-D318EE9B3D7C}"/>
    <cellStyle name="Normal 4 2 2 5 5 5" xfId="14411" xr:uid="{6F8A4F26-DBF7-4A2B-A1B4-C297E9EC9DD4}"/>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21187" xr:uid="{5242F131-EE7E-4D67-9B78-2753305D3128}"/>
    <cellStyle name="Normal 4 2 2 5 6 2 3" xfId="12758" xr:uid="{AA325016-0A27-4B46-B6CA-CB57DEE4B4AC}"/>
    <cellStyle name="Normal 4 2 2 5 6 2 4" xfId="16969" xr:uid="{2E9CEB4F-0289-4F46-99A4-B8308851B1A0}"/>
    <cellStyle name="Normal 4 2 2 5 6 3" xfId="6381" xr:uid="{00000000-0005-0000-0000-000006130000}"/>
    <cellStyle name="Normal 4 2 2 5 6 3 2" xfId="19042" xr:uid="{B3560D65-78AE-49CD-8AB5-9C1127C2D3F7}"/>
    <cellStyle name="Normal 4 2 2 5 6 4" xfId="10613" xr:uid="{E6646AA1-B2B2-4B50-BB9B-0A1A441D6174}"/>
    <cellStyle name="Normal 4 2 2 5 6 5" xfId="14824" xr:uid="{CD1E42A7-4A3F-4855-89AA-02ADE5C3A41B}"/>
    <cellStyle name="Normal 4 2 2 5 7" xfId="2511" xr:uid="{00000000-0005-0000-0000-000007130000}"/>
    <cellStyle name="Normal 4 2 2 5 7 2" xfId="6794" xr:uid="{00000000-0005-0000-0000-000008130000}"/>
    <cellStyle name="Normal 4 2 2 5 7 2 2" xfId="19455" xr:uid="{730C1490-0321-49F4-B17B-EAF5042D1962}"/>
    <cellStyle name="Normal 4 2 2 5 7 3" xfId="11026" xr:uid="{0E27E93A-AAA4-43CF-A3AD-4B9DDF4339BC}"/>
    <cellStyle name="Normal 4 2 2 5 7 4" xfId="15237" xr:uid="{2DE5F771-7328-4B42-8FE8-C86899C05F5A}"/>
    <cellStyle name="Normal 4 2 2 5 8" xfId="4729" xr:uid="{00000000-0005-0000-0000-000009130000}"/>
    <cellStyle name="Normal 4 2 2 5 8 2" xfId="17390" xr:uid="{297D0F0E-7E49-42DD-B578-55BA6E867157}"/>
    <cellStyle name="Normal 4 2 2 5 9" xfId="8961" xr:uid="{C4F0C15E-A17A-4BA0-A4EF-3F095920BC9F}"/>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9950" xr:uid="{307F2460-6402-4EA1-839E-768F2E4097ED}"/>
    <cellStyle name="Normal 4 2 2 6 2 2 3" xfId="11521" xr:uid="{76A8E09F-EDE7-45E1-A102-65B43BC153CB}"/>
    <cellStyle name="Normal 4 2 2 6 2 2 4" xfId="15732" xr:uid="{5C707734-E199-4996-BBBA-EAD6F0B07183}"/>
    <cellStyle name="Normal 4 2 2 6 2 3" xfId="5144" xr:uid="{00000000-0005-0000-0000-00000E130000}"/>
    <cellStyle name="Normal 4 2 2 6 2 3 2" xfId="17805" xr:uid="{A1F7A31E-D94B-4E8C-A7A9-192E186CF904}"/>
    <cellStyle name="Normal 4 2 2 6 2 4" xfId="9376" xr:uid="{58BBC3D7-E673-491C-95FD-0A4667043E50}"/>
    <cellStyle name="Normal 4 2 2 6 2 5" xfId="13587" xr:uid="{E877BD09-A716-46E1-9216-713A7498EF77}"/>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20363" xr:uid="{099A959A-E94C-4276-9831-2F9835BB0D8C}"/>
    <cellStyle name="Normal 4 2 2 6 3 2 3" xfId="11934" xr:uid="{1E1AD410-BF35-48F2-8496-123265E24B6A}"/>
    <cellStyle name="Normal 4 2 2 6 3 2 4" xfId="16145" xr:uid="{209E1591-B9DC-4D31-A094-B15F890A8D9D}"/>
    <cellStyle name="Normal 4 2 2 6 3 3" xfId="5557" xr:uid="{00000000-0005-0000-0000-000012130000}"/>
    <cellStyle name="Normal 4 2 2 6 3 3 2" xfId="18218" xr:uid="{F2F1B2E9-76AA-4453-8643-F2B1CB858178}"/>
    <cellStyle name="Normal 4 2 2 6 3 4" xfId="9789" xr:uid="{04788C94-0605-46EE-A738-F782DE12703C}"/>
    <cellStyle name="Normal 4 2 2 6 3 5" xfId="14000" xr:uid="{EA90D1B4-A17F-4D89-A946-6043461C7BDD}"/>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20776" xr:uid="{BC773E90-AF63-40AB-A18B-DC22FF41A724}"/>
    <cellStyle name="Normal 4 2 2 6 4 2 3" xfId="12347" xr:uid="{5C14EECB-577C-41B6-902F-44517611A65D}"/>
    <cellStyle name="Normal 4 2 2 6 4 2 4" xfId="16558" xr:uid="{393FDA97-A6E0-4421-8F1B-4CD838FA4DC0}"/>
    <cellStyle name="Normal 4 2 2 6 4 3" xfId="5970" xr:uid="{00000000-0005-0000-0000-000016130000}"/>
    <cellStyle name="Normal 4 2 2 6 4 3 2" xfId="18631" xr:uid="{246DF5C3-A1B1-43AC-AC59-E1E7640D0D01}"/>
    <cellStyle name="Normal 4 2 2 6 4 4" xfId="10202" xr:uid="{35FB0E99-E90C-48E4-86FE-40BF6BB4A9B8}"/>
    <cellStyle name="Normal 4 2 2 6 4 5" xfId="14413" xr:uid="{66312566-C1D9-4864-B234-409BC47FB95C}"/>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21189" xr:uid="{34E6B66E-3872-4C24-8BDB-5B413357CD60}"/>
    <cellStyle name="Normal 4 2 2 6 5 2 3" xfId="12760" xr:uid="{272525F5-B330-40F8-9F3F-F1BF222F3C28}"/>
    <cellStyle name="Normal 4 2 2 6 5 2 4" xfId="16971" xr:uid="{F6C0B1E6-C73C-49B5-93B6-7E91632D92C3}"/>
    <cellStyle name="Normal 4 2 2 6 5 3" xfId="6383" xr:uid="{00000000-0005-0000-0000-00001A130000}"/>
    <cellStyle name="Normal 4 2 2 6 5 3 2" xfId="19044" xr:uid="{44D74796-7FE1-4F57-93EE-88171202D6F5}"/>
    <cellStyle name="Normal 4 2 2 6 5 4" xfId="10615" xr:uid="{304686CE-872A-47E8-B960-A36B9CA6729B}"/>
    <cellStyle name="Normal 4 2 2 6 5 5" xfId="14826" xr:uid="{EA4AE735-3CD2-45D4-A600-78CFE1EF5AD8}"/>
    <cellStyle name="Normal 4 2 2 6 6" xfId="2513" xr:uid="{00000000-0005-0000-0000-00001B130000}"/>
    <cellStyle name="Normal 4 2 2 6 6 2" xfId="6796" xr:uid="{00000000-0005-0000-0000-00001C130000}"/>
    <cellStyle name="Normal 4 2 2 6 6 2 2" xfId="19457" xr:uid="{A891CD34-8EB6-4A5B-9665-6B5BEDF26454}"/>
    <cellStyle name="Normal 4 2 2 6 6 3" xfId="11028" xr:uid="{DA54BF22-4CF9-4D6A-9C2F-345D4E1E2CCB}"/>
    <cellStyle name="Normal 4 2 2 6 6 4" xfId="15239" xr:uid="{E7005CD9-54AD-4344-88F1-4AC8D9752C25}"/>
    <cellStyle name="Normal 4 2 2 6 7" xfId="4731" xr:uid="{00000000-0005-0000-0000-00001D130000}"/>
    <cellStyle name="Normal 4 2 2 6 7 2" xfId="17392" xr:uid="{84A9463A-0570-475D-954A-3A31A934589E}"/>
    <cellStyle name="Normal 4 2 2 6 8" xfId="8963" xr:uid="{0B0D8CB0-72B9-47FF-8B67-230256784905}"/>
    <cellStyle name="Normal 4 2 2 6 9" xfId="13174" xr:uid="{7F276057-FE5B-4B84-8F12-8B0048812F1A}"/>
    <cellStyle name="Normal 4 2 2 7" xfId="815" xr:uid="{00000000-0005-0000-0000-00001E130000}"/>
    <cellStyle name="Normal 4 2 2 7 2" xfId="3052" xr:uid="{00000000-0005-0000-0000-00001F130000}"/>
    <cellStyle name="Normal 4 2 2 7 2 2" xfId="7274" xr:uid="{00000000-0005-0000-0000-000020130000}"/>
    <cellStyle name="Normal 4 2 2 7 2 2 2" xfId="19935" xr:uid="{FA1F01A7-C372-4460-9861-F12A575B7C2D}"/>
    <cellStyle name="Normal 4 2 2 7 2 3" xfId="11506" xr:uid="{3C0D2578-A9AA-497A-AB54-B61032901AB1}"/>
    <cellStyle name="Normal 4 2 2 7 2 4" xfId="15717" xr:uid="{4F09071D-1D62-48DC-BC7D-F20F5B8A654F}"/>
    <cellStyle name="Normal 4 2 2 7 3" xfId="5129" xr:uid="{00000000-0005-0000-0000-000021130000}"/>
    <cellStyle name="Normal 4 2 2 7 3 2" xfId="17790" xr:uid="{B7DE337D-8CF5-475B-BCD8-903663F4316A}"/>
    <cellStyle name="Normal 4 2 2 7 4" xfId="9361" xr:uid="{704068B0-F269-49ED-A310-BE3684B947EC}"/>
    <cellStyle name="Normal 4 2 2 7 5" xfId="13572" xr:uid="{331E982A-8756-4A40-819E-119253A3E796}"/>
    <cellStyle name="Normal 4 2 2 8" xfId="1235" xr:uid="{00000000-0005-0000-0000-000022130000}"/>
    <cellStyle name="Normal 4 2 2 8 2" xfId="3465" xr:uid="{00000000-0005-0000-0000-000023130000}"/>
    <cellStyle name="Normal 4 2 2 8 2 2" xfId="7687" xr:uid="{00000000-0005-0000-0000-000024130000}"/>
    <cellStyle name="Normal 4 2 2 8 2 2 2" xfId="20348" xr:uid="{CF657A10-2218-408B-B2D5-3E246B8759AF}"/>
    <cellStyle name="Normal 4 2 2 8 2 3" xfId="11919" xr:uid="{2E9DE149-06FC-474E-BA14-B8FFAD00CFF4}"/>
    <cellStyle name="Normal 4 2 2 8 2 4" xfId="16130" xr:uid="{B0124CA8-2537-4075-98CA-167BF1C2E1CD}"/>
    <cellStyle name="Normal 4 2 2 8 3" xfId="5542" xr:uid="{00000000-0005-0000-0000-000025130000}"/>
    <cellStyle name="Normal 4 2 2 8 3 2" xfId="18203" xr:uid="{375CF374-080C-4637-85BC-DB3081C53A0A}"/>
    <cellStyle name="Normal 4 2 2 8 4" xfId="9774" xr:uid="{2C6D4F60-CE93-4F39-83DB-9A9F66354156}"/>
    <cellStyle name="Normal 4 2 2 8 5" xfId="13985" xr:uid="{5AA08436-5B34-466F-9AD0-EC3E0F0341D9}"/>
    <cellStyle name="Normal 4 2 2 9" xfId="1648" xr:uid="{00000000-0005-0000-0000-000026130000}"/>
    <cellStyle name="Normal 4 2 2 9 2" xfId="3878" xr:uid="{00000000-0005-0000-0000-000027130000}"/>
    <cellStyle name="Normal 4 2 2 9 2 2" xfId="8100" xr:uid="{00000000-0005-0000-0000-000028130000}"/>
    <cellStyle name="Normal 4 2 2 9 2 2 2" xfId="20761" xr:uid="{C5ABC653-71D2-4649-B20B-C170AFAB5F60}"/>
    <cellStyle name="Normal 4 2 2 9 2 3" xfId="12332" xr:uid="{852B0357-1F97-445D-B045-86EE3892D2DC}"/>
    <cellStyle name="Normal 4 2 2 9 2 4" xfId="16543" xr:uid="{A64E75B1-A652-46DE-95A3-95FB77CE7156}"/>
    <cellStyle name="Normal 4 2 2 9 3" xfId="5955" xr:uid="{00000000-0005-0000-0000-000029130000}"/>
    <cellStyle name="Normal 4 2 2 9 3 2" xfId="18616" xr:uid="{577015BF-F1C4-4E32-82AD-9A98D3EE403D}"/>
    <cellStyle name="Normal 4 2 2 9 4" xfId="10187" xr:uid="{A50F7939-203A-4636-AF88-13FB3848765A}"/>
    <cellStyle name="Normal 4 2 2 9 5" xfId="14398" xr:uid="{ADE1B04E-F9FE-41E5-9BA6-15E036D22A03}"/>
    <cellStyle name="Normal 4 2 3" xfId="354" xr:uid="{00000000-0005-0000-0000-00002A130000}"/>
    <cellStyle name="Normal 4 2 4" xfId="355" xr:uid="{00000000-0005-0000-0000-00002B130000}"/>
    <cellStyle name="Normal 4 2 4 10" xfId="4732" xr:uid="{00000000-0005-0000-0000-00002C130000}"/>
    <cellStyle name="Normal 4 2 4 10 2" xfId="17393" xr:uid="{0A665236-9769-4E14-97FE-FAF0CAA66FC1}"/>
    <cellStyle name="Normal 4 2 4 11" xfId="8964" xr:uid="{56C3EA1A-9869-43FD-86E2-198C8E388978}"/>
    <cellStyle name="Normal 4 2 4 12" xfId="13175" xr:uid="{CE79B0BB-67A0-4534-89B5-768179BFC11B}"/>
    <cellStyle name="Normal 4 2 4 2" xfId="356" xr:uid="{00000000-0005-0000-0000-00002D130000}"/>
    <cellStyle name="Normal 4 2 4 2 10" xfId="8965" xr:uid="{796255A5-2FA2-479A-9F7E-D742EA5DDBD3}"/>
    <cellStyle name="Normal 4 2 4 2 11" xfId="13176" xr:uid="{6178DE55-DFD8-492D-A3F4-78FCFAE0E596}"/>
    <cellStyle name="Normal 4 2 4 2 2" xfId="357" xr:uid="{00000000-0005-0000-0000-00002E130000}"/>
    <cellStyle name="Normal 4 2 4 2 2 10" xfId="13177" xr:uid="{9298B62A-5419-4B68-B4AD-7344B911E486}"/>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9954" xr:uid="{79547FD3-FD22-4FDA-AF31-57653624FF1A}"/>
    <cellStyle name="Normal 4 2 4 2 2 2 2 2 3" xfId="11525" xr:uid="{DB928BD5-D6BA-44D8-B14F-DFDC6CD089E3}"/>
    <cellStyle name="Normal 4 2 4 2 2 2 2 2 4" xfId="15736" xr:uid="{559C5851-B5D9-4463-82F2-4988D0022638}"/>
    <cellStyle name="Normal 4 2 4 2 2 2 2 3" xfId="5148" xr:uid="{00000000-0005-0000-0000-000033130000}"/>
    <cellStyle name="Normal 4 2 4 2 2 2 2 3 2" xfId="17809" xr:uid="{61999513-5A6A-4230-B5B7-58B94503BDBE}"/>
    <cellStyle name="Normal 4 2 4 2 2 2 2 4" xfId="9380" xr:uid="{202953DA-94E2-4CA6-869C-6307AC811CF9}"/>
    <cellStyle name="Normal 4 2 4 2 2 2 2 5" xfId="13591" xr:uid="{399EDF61-C384-4C6D-8336-E449912D4744}"/>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20367" xr:uid="{62EEC3F2-378A-4397-B215-1C7C2362E8E7}"/>
    <cellStyle name="Normal 4 2 4 2 2 2 3 2 3" xfId="11938" xr:uid="{255C59BD-ABFE-445C-B7C3-87668A44622F}"/>
    <cellStyle name="Normal 4 2 4 2 2 2 3 2 4" xfId="16149" xr:uid="{E3A2C77D-CAE7-4D68-B389-92906BABFCC9}"/>
    <cellStyle name="Normal 4 2 4 2 2 2 3 3" xfId="5561" xr:uid="{00000000-0005-0000-0000-000037130000}"/>
    <cellStyle name="Normal 4 2 4 2 2 2 3 3 2" xfId="18222" xr:uid="{C0A19898-25BA-4DBC-8204-B620D79DA899}"/>
    <cellStyle name="Normal 4 2 4 2 2 2 3 4" xfId="9793" xr:uid="{855AE7B5-1D7F-4191-A1A6-D95CAFE4D4D4}"/>
    <cellStyle name="Normal 4 2 4 2 2 2 3 5" xfId="14004" xr:uid="{5114CD84-80C0-4E42-A7E0-5CB20EAA1F91}"/>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20780" xr:uid="{39548032-EF11-4926-A56B-C654E60E0147}"/>
    <cellStyle name="Normal 4 2 4 2 2 2 4 2 3" xfId="12351" xr:uid="{09A2F5B0-446A-4879-83A0-DFA1C19897E6}"/>
    <cellStyle name="Normal 4 2 4 2 2 2 4 2 4" xfId="16562" xr:uid="{C1C081A2-9A5F-4909-AF95-209CA1D6DA17}"/>
    <cellStyle name="Normal 4 2 4 2 2 2 4 3" xfId="5974" xr:uid="{00000000-0005-0000-0000-00003B130000}"/>
    <cellStyle name="Normal 4 2 4 2 2 2 4 3 2" xfId="18635" xr:uid="{A1DB17EC-051D-4182-A12D-D51621671394}"/>
    <cellStyle name="Normal 4 2 4 2 2 2 4 4" xfId="10206" xr:uid="{709F8F18-8EA2-4A96-8826-17D4E43FF5D8}"/>
    <cellStyle name="Normal 4 2 4 2 2 2 4 5" xfId="14417" xr:uid="{7EB17F5A-DF85-4C90-BDB6-A1D0AFB3F546}"/>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21193" xr:uid="{CCB716C0-E8BC-4822-99FC-35E219D31FE7}"/>
    <cellStyle name="Normal 4 2 4 2 2 2 5 2 3" xfId="12764" xr:uid="{90283C9B-12C5-4ED5-B4D4-FB2F973DAE0C}"/>
    <cellStyle name="Normal 4 2 4 2 2 2 5 2 4" xfId="16975" xr:uid="{39A71888-81DB-4890-B3F3-901FD77CDFE3}"/>
    <cellStyle name="Normal 4 2 4 2 2 2 5 3" xfId="6387" xr:uid="{00000000-0005-0000-0000-00003F130000}"/>
    <cellStyle name="Normal 4 2 4 2 2 2 5 3 2" xfId="19048" xr:uid="{8EE1E567-E46F-4898-9FD6-062E2104A133}"/>
    <cellStyle name="Normal 4 2 4 2 2 2 5 4" xfId="10619" xr:uid="{8F82925F-45DC-48A3-9064-40F5BFE4AB14}"/>
    <cellStyle name="Normal 4 2 4 2 2 2 5 5" xfId="14830" xr:uid="{E33A488A-DC1B-40FD-AF87-F6026FC1C463}"/>
    <cellStyle name="Normal 4 2 4 2 2 2 6" xfId="2517" xr:uid="{00000000-0005-0000-0000-000040130000}"/>
    <cellStyle name="Normal 4 2 4 2 2 2 6 2" xfId="6800" xr:uid="{00000000-0005-0000-0000-000041130000}"/>
    <cellStyle name="Normal 4 2 4 2 2 2 6 2 2" xfId="19461" xr:uid="{C1A8E7DC-0328-4A3A-91D0-0ABAD3ACBEB8}"/>
    <cellStyle name="Normal 4 2 4 2 2 2 6 3" xfId="11032" xr:uid="{4E9DF7F5-1B8C-42C2-978C-AC2500F80200}"/>
    <cellStyle name="Normal 4 2 4 2 2 2 6 4" xfId="15243" xr:uid="{6A89A33E-52B4-46EC-AF97-44BE4122160A}"/>
    <cellStyle name="Normal 4 2 4 2 2 2 7" xfId="4735" xr:uid="{00000000-0005-0000-0000-000042130000}"/>
    <cellStyle name="Normal 4 2 4 2 2 2 7 2" xfId="17396" xr:uid="{EAAC4E5D-4E34-4E07-BAF4-53B13752C72A}"/>
    <cellStyle name="Normal 4 2 4 2 2 2 8" xfId="8967" xr:uid="{960AC302-03DD-4352-8B3E-07AE40514645}"/>
    <cellStyle name="Normal 4 2 4 2 2 2 9" xfId="13178" xr:uid="{1DD6FF56-6766-494D-B02C-8C7E97FE15E8}"/>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9953" xr:uid="{B73D7E2D-571D-442D-9BB9-14B80C91513E}"/>
    <cellStyle name="Normal 4 2 4 2 2 3 2 3" xfId="11524" xr:uid="{0952D227-C683-4190-AB1A-95238456F238}"/>
    <cellStyle name="Normal 4 2 4 2 2 3 2 4" xfId="15735" xr:uid="{C842716A-5334-4D90-9224-E24FD9FA30D8}"/>
    <cellStyle name="Normal 4 2 4 2 2 3 3" xfId="5147" xr:uid="{00000000-0005-0000-0000-000046130000}"/>
    <cellStyle name="Normal 4 2 4 2 2 3 3 2" xfId="17808" xr:uid="{252441E8-43CB-4DF0-8E6C-614BD8AA7E91}"/>
    <cellStyle name="Normal 4 2 4 2 2 3 4" xfId="9379" xr:uid="{EBBD31F2-D5EE-4FD9-8A0D-6BF327219B0B}"/>
    <cellStyle name="Normal 4 2 4 2 2 3 5" xfId="13590" xr:uid="{F6BE2150-2C85-4D32-A4E6-7687BBC4A056}"/>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20366" xr:uid="{A0DCBFB8-E7E3-473F-B4AD-4A9011A999D5}"/>
    <cellStyle name="Normal 4 2 4 2 2 4 2 3" xfId="11937" xr:uid="{B4FCDB5C-C81C-4A7B-ACF3-ED5957300776}"/>
    <cellStyle name="Normal 4 2 4 2 2 4 2 4" xfId="16148" xr:uid="{73DBB1C0-B5A9-4F37-90D4-C1FD71C02AA9}"/>
    <cellStyle name="Normal 4 2 4 2 2 4 3" xfId="5560" xr:uid="{00000000-0005-0000-0000-00004A130000}"/>
    <cellStyle name="Normal 4 2 4 2 2 4 3 2" xfId="18221" xr:uid="{2C0C3199-F69C-4ABA-A089-EE4DE0538D7C}"/>
    <cellStyle name="Normal 4 2 4 2 2 4 4" xfId="9792" xr:uid="{31EEE049-8C79-4C90-B829-1E453DEC49F1}"/>
    <cellStyle name="Normal 4 2 4 2 2 4 5" xfId="14003" xr:uid="{7B4987E6-E84F-431B-A64E-AC99B85D24B6}"/>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20779" xr:uid="{6580EF09-7542-4356-BB97-276D78F3834D}"/>
    <cellStyle name="Normal 4 2 4 2 2 5 2 3" xfId="12350" xr:uid="{9EF4C56A-6EAB-4A65-8FC7-F2F174FDE90D}"/>
    <cellStyle name="Normal 4 2 4 2 2 5 2 4" xfId="16561" xr:uid="{9E58BC8D-F472-45C7-9314-7355F1592A91}"/>
    <cellStyle name="Normal 4 2 4 2 2 5 3" xfId="5973" xr:uid="{00000000-0005-0000-0000-00004E130000}"/>
    <cellStyle name="Normal 4 2 4 2 2 5 3 2" xfId="18634" xr:uid="{BF028805-5E6E-4C12-8C42-6C9A9AE89617}"/>
    <cellStyle name="Normal 4 2 4 2 2 5 4" xfId="10205" xr:uid="{2E40A460-B3FB-491B-8246-A3954277BBB8}"/>
    <cellStyle name="Normal 4 2 4 2 2 5 5" xfId="14416" xr:uid="{492299C9-82A5-4766-B6A0-F9371947D13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21192" xr:uid="{14799E64-462E-4C4C-8954-BB5C5DE1C5DD}"/>
    <cellStyle name="Normal 4 2 4 2 2 6 2 3" xfId="12763" xr:uid="{960DDAC4-E36A-4EB2-BEDD-DE3A3D0E04DF}"/>
    <cellStyle name="Normal 4 2 4 2 2 6 2 4" xfId="16974" xr:uid="{E8838DFC-18CE-4AA7-89E1-F130CB7DF428}"/>
    <cellStyle name="Normal 4 2 4 2 2 6 3" xfId="6386" xr:uid="{00000000-0005-0000-0000-000052130000}"/>
    <cellStyle name="Normal 4 2 4 2 2 6 3 2" xfId="19047" xr:uid="{1193F6C7-37A8-41D1-BA37-3204386AA4F3}"/>
    <cellStyle name="Normal 4 2 4 2 2 6 4" xfId="10618" xr:uid="{66038CC5-3F79-4EB5-A45C-CB198AA340F6}"/>
    <cellStyle name="Normal 4 2 4 2 2 6 5" xfId="14829" xr:uid="{1689F4F7-D8C7-4D12-89F2-D0EAE0651F54}"/>
    <cellStyle name="Normal 4 2 4 2 2 7" xfId="2516" xr:uid="{00000000-0005-0000-0000-000053130000}"/>
    <cellStyle name="Normal 4 2 4 2 2 7 2" xfId="6799" xr:uid="{00000000-0005-0000-0000-000054130000}"/>
    <cellStyle name="Normal 4 2 4 2 2 7 2 2" xfId="19460" xr:uid="{AF131A4C-D2E6-419B-8016-52A82425A12A}"/>
    <cellStyle name="Normal 4 2 4 2 2 7 3" xfId="11031" xr:uid="{9A1E4DCA-36C1-4FA7-9CF0-A180B5CFBCE4}"/>
    <cellStyle name="Normal 4 2 4 2 2 7 4" xfId="15242" xr:uid="{3A42918B-7815-4FBD-87DF-0AEF7E8FE546}"/>
    <cellStyle name="Normal 4 2 4 2 2 8" xfId="4734" xr:uid="{00000000-0005-0000-0000-000055130000}"/>
    <cellStyle name="Normal 4 2 4 2 2 8 2" xfId="17395" xr:uid="{CFAD957C-3214-4BA9-8561-D4ED0C5AD817}"/>
    <cellStyle name="Normal 4 2 4 2 2 9" xfId="8966" xr:uid="{FF5FDBF5-464F-4279-A967-B8A3A6924B9F}"/>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9955" xr:uid="{0ACCA4A2-642B-46B1-A005-05F5122CF73B}"/>
    <cellStyle name="Normal 4 2 4 2 3 2 2 3" xfId="11526" xr:uid="{99E3AA55-98B0-4A9E-B4AB-4510CC4E8365}"/>
    <cellStyle name="Normal 4 2 4 2 3 2 2 4" xfId="15737" xr:uid="{6317D231-3E85-4EEA-986B-BF588E3F9432}"/>
    <cellStyle name="Normal 4 2 4 2 3 2 3" xfId="5149" xr:uid="{00000000-0005-0000-0000-00005A130000}"/>
    <cellStyle name="Normal 4 2 4 2 3 2 3 2" xfId="17810" xr:uid="{BE4F9E64-0020-47B5-A65C-51D1C5C78A20}"/>
    <cellStyle name="Normal 4 2 4 2 3 2 4" xfId="9381" xr:uid="{8F7CB2CF-D113-406E-8734-074F8EEF42D9}"/>
    <cellStyle name="Normal 4 2 4 2 3 2 5" xfId="13592" xr:uid="{AC3A6B55-5013-4360-8F86-44ECBD9D2949}"/>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20368" xr:uid="{BDCE18C9-8503-4243-96D9-9079DC9A4A06}"/>
    <cellStyle name="Normal 4 2 4 2 3 3 2 3" xfId="11939" xr:uid="{EC70F583-4B8E-4AD1-95BB-28DFA5C99A15}"/>
    <cellStyle name="Normal 4 2 4 2 3 3 2 4" xfId="16150" xr:uid="{06971DDB-1B6E-42D3-97DD-2C61A95E0A85}"/>
    <cellStyle name="Normal 4 2 4 2 3 3 3" xfId="5562" xr:uid="{00000000-0005-0000-0000-00005E130000}"/>
    <cellStyle name="Normal 4 2 4 2 3 3 3 2" xfId="18223" xr:uid="{795FD126-1E38-48FB-9896-12D87B4261D1}"/>
    <cellStyle name="Normal 4 2 4 2 3 3 4" xfId="9794" xr:uid="{F5356F10-9EC3-4B08-B957-6C101A70AFB1}"/>
    <cellStyle name="Normal 4 2 4 2 3 3 5" xfId="14005" xr:uid="{4E6FBC5E-91E2-4302-B600-4BA3D747CC44}"/>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20781" xr:uid="{54A10D80-CD5D-4A1E-A272-F7FDD032A1CD}"/>
    <cellStyle name="Normal 4 2 4 2 3 4 2 3" xfId="12352" xr:uid="{D1FE628D-5544-4137-AC7D-E64365A8FA23}"/>
    <cellStyle name="Normal 4 2 4 2 3 4 2 4" xfId="16563" xr:uid="{A3BAF124-1C40-457B-90DB-4582FFD6C284}"/>
    <cellStyle name="Normal 4 2 4 2 3 4 3" xfId="5975" xr:uid="{00000000-0005-0000-0000-000062130000}"/>
    <cellStyle name="Normal 4 2 4 2 3 4 3 2" xfId="18636" xr:uid="{6E044A50-6483-4E0C-9EB1-FF6B12C0B9ED}"/>
    <cellStyle name="Normal 4 2 4 2 3 4 4" xfId="10207" xr:uid="{9814F5D2-A2D5-4DD0-A740-8E285BB7F393}"/>
    <cellStyle name="Normal 4 2 4 2 3 4 5" xfId="14418" xr:uid="{42D45492-AF91-4F94-B8E7-9599775BC37A}"/>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21194" xr:uid="{FA1AE7C7-368F-432B-A81B-2075C390F62E}"/>
    <cellStyle name="Normal 4 2 4 2 3 5 2 3" xfId="12765" xr:uid="{90740CBE-6408-47EB-9809-CE7CCB8471C3}"/>
    <cellStyle name="Normal 4 2 4 2 3 5 2 4" xfId="16976" xr:uid="{1E159575-DC94-4A87-B0A4-28A73580D5F9}"/>
    <cellStyle name="Normal 4 2 4 2 3 5 3" xfId="6388" xr:uid="{00000000-0005-0000-0000-000066130000}"/>
    <cellStyle name="Normal 4 2 4 2 3 5 3 2" xfId="19049" xr:uid="{558FC5BA-2FEA-4A22-A052-FADDF12BA1D3}"/>
    <cellStyle name="Normal 4 2 4 2 3 5 4" xfId="10620" xr:uid="{E5EA8C12-DD4F-44CC-9502-029CCF35A7C9}"/>
    <cellStyle name="Normal 4 2 4 2 3 5 5" xfId="14831" xr:uid="{42703B38-8649-411E-BA9F-F7746E8D8E79}"/>
    <cellStyle name="Normal 4 2 4 2 3 6" xfId="2518" xr:uid="{00000000-0005-0000-0000-000067130000}"/>
    <cellStyle name="Normal 4 2 4 2 3 6 2" xfId="6801" xr:uid="{00000000-0005-0000-0000-000068130000}"/>
    <cellStyle name="Normal 4 2 4 2 3 6 2 2" xfId="19462" xr:uid="{E2AF53FD-5E70-4C2F-AD96-0AC95C7EA785}"/>
    <cellStyle name="Normal 4 2 4 2 3 6 3" xfId="11033" xr:uid="{8BECB004-8026-4A61-8D74-99C1FAE90FCB}"/>
    <cellStyle name="Normal 4 2 4 2 3 6 4" xfId="15244" xr:uid="{7E61054A-8F59-4254-A3A6-A3F175C8383E}"/>
    <cellStyle name="Normal 4 2 4 2 3 7" xfId="4736" xr:uid="{00000000-0005-0000-0000-000069130000}"/>
    <cellStyle name="Normal 4 2 4 2 3 7 2" xfId="17397" xr:uid="{7EA4C7C0-F621-4CEA-8CA1-FEECFE488ADE}"/>
    <cellStyle name="Normal 4 2 4 2 3 8" xfId="8968" xr:uid="{02AF13A0-6177-4338-AC74-C0203E2F17C1}"/>
    <cellStyle name="Normal 4 2 4 2 3 9" xfId="13179" xr:uid="{4EC77775-05BF-4C19-864E-318532A529C0}"/>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9952" xr:uid="{87B2D3A9-2911-4ED3-9189-0BE72C536757}"/>
    <cellStyle name="Normal 4 2 4 2 4 2 3" xfId="11523" xr:uid="{9A635198-3F9E-44AA-A3C0-B6711F54F101}"/>
    <cellStyle name="Normal 4 2 4 2 4 2 4" xfId="15734" xr:uid="{F2722496-08EF-4839-A7A0-679AC4412AB8}"/>
    <cellStyle name="Normal 4 2 4 2 4 3" xfId="5146" xr:uid="{00000000-0005-0000-0000-00006D130000}"/>
    <cellStyle name="Normal 4 2 4 2 4 3 2" xfId="17807" xr:uid="{C57B1372-C5D1-4D72-8D4F-F2628E9846D4}"/>
    <cellStyle name="Normal 4 2 4 2 4 4" xfId="9378" xr:uid="{B4FC66DB-4D6A-4C5B-B59D-6D99B50EAFE0}"/>
    <cellStyle name="Normal 4 2 4 2 4 5" xfId="13589" xr:uid="{D79A71EC-5B88-4CBA-A5A2-99EE0751912C}"/>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20365" xr:uid="{CF56FF75-662B-4776-8322-4757EF3A667A}"/>
    <cellStyle name="Normal 4 2 4 2 5 2 3" xfId="11936" xr:uid="{00F5E96F-BADD-4AA0-A76C-E0F0039A963E}"/>
    <cellStyle name="Normal 4 2 4 2 5 2 4" xfId="16147" xr:uid="{B1C29AC3-109C-4B0F-B81F-30B1E816EFA7}"/>
    <cellStyle name="Normal 4 2 4 2 5 3" xfId="5559" xr:uid="{00000000-0005-0000-0000-000071130000}"/>
    <cellStyle name="Normal 4 2 4 2 5 3 2" xfId="18220" xr:uid="{06F3FC07-C20E-47EC-8832-80EA7F02A661}"/>
    <cellStyle name="Normal 4 2 4 2 5 4" xfId="9791" xr:uid="{39B1D85A-C450-45F9-86F8-AE0E84B4ECEE}"/>
    <cellStyle name="Normal 4 2 4 2 5 5" xfId="14002" xr:uid="{5C945C54-FD3A-48B1-91A7-56E543CBB79A}"/>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20778" xr:uid="{F0E025EB-0E30-4B25-B9B5-EBC96DEDAE06}"/>
    <cellStyle name="Normal 4 2 4 2 6 2 3" xfId="12349" xr:uid="{6B62E13D-427D-4987-9B9B-41FDC5D591E4}"/>
    <cellStyle name="Normal 4 2 4 2 6 2 4" xfId="16560" xr:uid="{3B15EFCC-9A49-4208-BD55-92C1C6E3FAB0}"/>
    <cellStyle name="Normal 4 2 4 2 6 3" xfId="5972" xr:uid="{00000000-0005-0000-0000-000075130000}"/>
    <cellStyle name="Normal 4 2 4 2 6 3 2" xfId="18633" xr:uid="{EEC5CA12-831E-4E98-9B8B-C60E47E1012D}"/>
    <cellStyle name="Normal 4 2 4 2 6 4" xfId="10204" xr:uid="{6BDBF459-9E92-45EA-8532-9D1E76F8BAA7}"/>
    <cellStyle name="Normal 4 2 4 2 6 5" xfId="14415" xr:uid="{8F3F326C-DAF5-4F98-A2D6-162BA03534B5}"/>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21191" xr:uid="{13DAE676-C420-4265-9629-12DBF29F892B}"/>
    <cellStyle name="Normal 4 2 4 2 7 2 3" xfId="12762" xr:uid="{F2A8339F-DDDB-4742-85E4-16F28342A875}"/>
    <cellStyle name="Normal 4 2 4 2 7 2 4" xfId="16973" xr:uid="{4B9CF034-CC47-46DE-AC3D-28F186BD7FF3}"/>
    <cellStyle name="Normal 4 2 4 2 7 3" xfId="6385" xr:uid="{00000000-0005-0000-0000-000079130000}"/>
    <cellStyle name="Normal 4 2 4 2 7 3 2" xfId="19046" xr:uid="{819BF335-0F9E-49AD-80FD-F1B3F87E74D7}"/>
    <cellStyle name="Normal 4 2 4 2 7 4" xfId="10617" xr:uid="{FED077D3-DD0E-4385-9D6E-1C5F3B82B2FB}"/>
    <cellStyle name="Normal 4 2 4 2 7 5" xfId="14828" xr:uid="{DF70BF5E-79CA-48C0-97F0-BAF6A1F2FB24}"/>
    <cellStyle name="Normal 4 2 4 2 8" xfId="2515" xr:uid="{00000000-0005-0000-0000-00007A130000}"/>
    <cellStyle name="Normal 4 2 4 2 8 2" xfId="6798" xr:uid="{00000000-0005-0000-0000-00007B130000}"/>
    <cellStyle name="Normal 4 2 4 2 8 2 2" xfId="19459" xr:uid="{B0B74BC9-A443-4F05-8DE1-8EA1CB9E5049}"/>
    <cellStyle name="Normal 4 2 4 2 8 3" xfId="11030" xr:uid="{C244A688-EBB6-4B27-B0AF-A5C0573F2F5C}"/>
    <cellStyle name="Normal 4 2 4 2 8 4" xfId="15241" xr:uid="{B216B11F-B118-4F75-9590-08A894B3F98B}"/>
    <cellStyle name="Normal 4 2 4 2 9" xfId="4733" xr:uid="{00000000-0005-0000-0000-00007C130000}"/>
    <cellStyle name="Normal 4 2 4 2 9 2" xfId="17394" xr:uid="{2A1CDC26-1963-4EE9-AC4F-746D17CF2CC5}"/>
    <cellStyle name="Normal 4 2 4 3" xfId="360" xr:uid="{00000000-0005-0000-0000-00007D130000}"/>
    <cellStyle name="Normal 4 2 4 3 10" xfId="13180" xr:uid="{14326513-84F1-46ED-ADB3-2D68CA7CE23E}"/>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9957" xr:uid="{D9EBF395-C090-412B-98B7-97939E6197A5}"/>
    <cellStyle name="Normal 4 2 4 3 2 2 2 3" xfId="11528" xr:uid="{4486D324-34ED-4356-B51C-B5A69649592C}"/>
    <cellStyle name="Normal 4 2 4 3 2 2 2 4" xfId="15739" xr:uid="{1CE2E681-DACE-47C4-8710-16051B550649}"/>
    <cellStyle name="Normal 4 2 4 3 2 2 3" xfId="5151" xr:uid="{00000000-0005-0000-0000-000082130000}"/>
    <cellStyle name="Normal 4 2 4 3 2 2 3 2" xfId="17812" xr:uid="{2CE6486C-9867-412A-B0A0-D6644E5EC9CE}"/>
    <cellStyle name="Normal 4 2 4 3 2 2 4" xfId="9383" xr:uid="{057ABAF5-D98D-4408-BAD1-435B7283EAA6}"/>
    <cellStyle name="Normal 4 2 4 3 2 2 5" xfId="13594" xr:uid="{84AE0CC3-56DB-4BA8-B927-F91E597AC887}"/>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20370" xr:uid="{1B476914-29EF-4279-BEE8-E5E449AE88EC}"/>
    <cellStyle name="Normal 4 2 4 3 2 3 2 3" xfId="11941" xr:uid="{5DB0DE61-2A11-4F3C-A253-33FAC8C2BBC1}"/>
    <cellStyle name="Normal 4 2 4 3 2 3 2 4" xfId="16152" xr:uid="{A284A63B-D872-425E-B2A8-8CFBBE2372CA}"/>
    <cellStyle name="Normal 4 2 4 3 2 3 3" xfId="5564" xr:uid="{00000000-0005-0000-0000-000086130000}"/>
    <cellStyle name="Normal 4 2 4 3 2 3 3 2" xfId="18225" xr:uid="{A103473B-8AA1-4C73-B60A-AB4B5F87D13C}"/>
    <cellStyle name="Normal 4 2 4 3 2 3 4" xfId="9796" xr:uid="{703982B0-1AC9-478B-9616-7CAE1537E34F}"/>
    <cellStyle name="Normal 4 2 4 3 2 3 5" xfId="14007" xr:uid="{AC271E1B-B9D0-49AC-B80C-9BD0272D6BA3}"/>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20783" xr:uid="{F4128315-B43C-4E7A-851A-CA6E34D05B2C}"/>
    <cellStyle name="Normal 4 2 4 3 2 4 2 3" xfId="12354" xr:uid="{775EF8EC-D46D-4B7F-B9C6-DD4153993F0E}"/>
    <cellStyle name="Normal 4 2 4 3 2 4 2 4" xfId="16565" xr:uid="{812EEE2E-D947-4AA5-B821-1DAD372DB29C}"/>
    <cellStyle name="Normal 4 2 4 3 2 4 3" xfId="5977" xr:uid="{00000000-0005-0000-0000-00008A130000}"/>
    <cellStyle name="Normal 4 2 4 3 2 4 3 2" xfId="18638" xr:uid="{BD11C74B-40F4-444A-9D2F-F134697A4FB3}"/>
    <cellStyle name="Normal 4 2 4 3 2 4 4" xfId="10209" xr:uid="{943FD57B-59EA-4DDD-B7DD-B9F4EA0C64B1}"/>
    <cellStyle name="Normal 4 2 4 3 2 4 5" xfId="14420" xr:uid="{67EBA3CC-3123-47BC-A347-2461DF981BC9}"/>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21196" xr:uid="{F87C4BBC-C71A-4F54-97CB-873D127AD6EF}"/>
    <cellStyle name="Normal 4 2 4 3 2 5 2 3" xfId="12767" xr:uid="{A7D399C6-1C7A-4050-911F-CAF80354622C}"/>
    <cellStyle name="Normal 4 2 4 3 2 5 2 4" xfId="16978" xr:uid="{E521F8F4-508D-43D8-8711-D1D77A780CAD}"/>
    <cellStyle name="Normal 4 2 4 3 2 5 3" xfId="6390" xr:uid="{00000000-0005-0000-0000-00008E130000}"/>
    <cellStyle name="Normal 4 2 4 3 2 5 3 2" xfId="19051" xr:uid="{E3EE6806-216A-4A41-8C34-36BA1986EC6A}"/>
    <cellStyle name="Normal 4 2 4 3 2 5 4" xfId="10622" xr:uid="{41B1AA50-85D6-4255-9D10-7B71A4885D16}"/>
    <cellStyle name="Normal 4 2 4 3 2 5 5" xfId="14833" xr:uid="{46281026-CCE6-4003-9DC2-C1F6D1BA4EC6}"/>
    <cellStyle name="Normal 4 2 4 3 2 6" xfId="2520" xr:uid="{00000000-0005-0000-0000-00008F130000}"/>
    <cellStyle name="Normal 4 2 4 3 2 6 2" xfId="6803" xr:uid="{00000000-0005-0000-0000-000090130000}"/>
    <cellStyle name="Normal 4 2 4 3 2 6 2 2" xfId="19464" xr:uid="{993547C9-0F76-4E7B-BB17-DB7D638198FB}"/>
    <cellStyle name="Normal 4 2 4 3 2 6 3" xfId="11035" xr:uid="{47B638A9-63A4-493D-BA56-57EA17742740}"/>
    <cellStyle name="Normal 4 2 4 3 2 6 4" xfId="15246" xr:uid="{96FE3884-3F4E-4818-9A24-B386526A2FB5}"/>
    <cellStyle name="Normal 4 2 4 3 2 7" xfId="4738" xr:uid="{00000000-0005-0000-0000-000091130000}"/>
    <cellStyle name="Normal 4 2 4 3 2 7 2" xfId="17399" xr:uid="{4FFEA4BB-8E10-4DEE-8C70-94F7F4975ABA}"/>
    <cellStyle name="Normal 4 2 4 3 2 8" xfId="8970" xr:uid="{E597CE30-A3D6-4D73-B675-178358F7E183}"/>
    <cellStyle name="Normal 4 2 4 3 2 9" xfId="13181" xr:uid="{B5E09859-63F6-46C7-B20B-0603A953BAAE}"/>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9956" xr:uid="{C5DEC56B-A3F0-45CE-853F-047553B69311}"/>
    <cellStyle name="Normal 4 2 4 3 3 2 3" xfId="11527" xr:uid="{37EFA6AC-BBF4-49B2-9768-738FC151B6B3}"/>
    <cellStyle name="Normal 4 2 4 3 3 2 4" xfId="15738" xr:uid="{A078B104-7A17-4B2B-966F-4E881633EE64}"/>
    <cellStyle name="Normal 4 2 4 3 3 3" xfId="5150" xr:uid="{00000000-0005-0000-0000-000095130000}"/>
    <cellStyle name="Normal 4 2 4 3 3 3 2" xfId="17811" xr:uid="{ABCDE27F-AF47-4685-B89F-973FEBD6665B}"/>
    <cellStyle name="Normal 4 2 4 3 3 4" xfId="9382" xr:uid="{014E79A8-15E8-4E70-8505-034FB9EE231F}"/>
    <cellStyle name="Normal 4 2 4 3 3 5" xfId="13593" xr:uid="{5E468415-8D47-4DEB-B119-D558748AD463}"/>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20369" xr:uid="{47B48C9E-A366-4580-BBBA-04EF72338774}"/>
    <cellStyle name="Normal 4 2 4 3 4 2 3" xfId="11940" xr:uid="{70408980-9231-4930-94A4-9F192BBBA8FD}"/>
    <cellStyle name="Normal 4 2 4 3 4 2 4" xfId="16151" xr:uid="{638FA5E2-4671-4CA4-863B-1861D1126E6C}"/>
    <cellStyle name="Normal 4 2 4 3 4 3" xfId="5563" xr:uid="{00000000-0005-0000-0000-000099130000}"/>
    <cellStyle name="Normal 4 2 4 3 4 3 2" xfId="18224" xr:uid="{ED0DF719-481F-4B2A-9FEC-22492CC03D12}"/>
    <cellStyle name="Normal 4 2 4 3 4 4" xfId="9795" xr:uid="{882F05FF-A875-4B8F-ADB8-462233BC3AB9}"/>
    <cellStyle name="Normal 4 2 4 3 4 5" xfId="14006" xr:uid="{39CC9673-B2D1-4351-B15D-564931DA3188}"/>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20782" xr:uid="{7A18A281-C230-498C-BF30-85A36461946F}"/>
    <cellStyle name="Normal 4 2 4 3 5 2 3" xfId="12353" xr:uid="{8778B89A-E886-4EF4-98B4-32ECD395C274}"/>
    <cellStyle name="Normal 4 2 4 3 5 2 4" xfId="16564" xr:uid="{9CDDAAA2-5B91-4691-92D9-19837EF9FE87}"/>
    <cellStyle name="Normal 4 2 4 3 5 3" xfId="5976" xr:uid="{00000000-0005-0000-0000-00009D130000}"/>
    <cellStyle name="Normal 4 2 4 3 5 3 2" xfId="18637" xr:uid="{5E0B9DE6-3C97-44D1-9F2A-BBEA275877DC}"/>
    <cellStyle name="Normal 4 2 4 3 5 4" xfId="10208" xr:uid="{4EA44DF1-1E70-4659-A524-2F2F073096B6}"/>
    <cellStyle name="Normal 4 2 4 3 5 5" xfId="14419" xr:uid="{9CDBCBAE-0895-4262-A453-00EF3FE54896}"/>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21195" xr:uid="{79A2E78C-D86C-4203-9E3B-E5C47A9A01D6}"/>
    <cellStyle name="Normal 4 2 4 3 6 2 3" xfId="12766" xr:uid="{2547CC2A-035D-4C56-A716-D5607F4BB5AC}"/>
    <cellStyle name="Normal 4 2 4 3 6 2 4" xfId="16977" xr:uid="{0ED7D423-66C7-4799-A56C-8AE6A5893D87}"/>
    <cellStyle name="Normal 4 2 4 3 6 3" xfId="6389" xr:uid="{00000000-0005-0000-0000-0000A1130000}"/>
    <cellStyle name="Normal 4 2 4 3 6 3 2" xfId="19050" xr:uid="{5C55DB1D-8D35-4F0F-9CAC-693F25584682}"/>
    <cellStyle name="Normal 4 2 4 3 6 4" xfId="10621" xr:uid="{88EA3D80-7353-46D8-9B10-E8B4107B4206}"/>
    <cellStyle name="Normal 4 2 4 3 6 5" xfId="14832" xr:uid="{99289764-495A-494F-BC48-B38125FE6E90}"/>
    <cellStyle name="Normal 4 2 4 3 7" xfId="2519" xr:uid="{00000000-0005-0000-0000-0000A2130000}"/>
    <cellStyle name="Normal 4 2 4 3 7 2" xfId="6802" xr:uid="{00000000-0005-0000-0000-0000A3130000}"/>
    <cellStyle name="Normal 4 2 4 3 7 2 2" xfId="19463" xr:uid="{D0C876A7-314E-4B11-9A61-38847CE9A264}"/>
    <cellStyle name="Normal 4 2 4 3 7 3" xfId="11034" xr:uid="{B59FB03A-7CD5-4349-AB95-5CB55966CED5}"/>
    <cellStyle name="Normal 4 2 4 3 7 4" xfId="15245" xr:uid="{F5AF3097-9F64-4198-BF5C-75F009863903}"/>
    <cellStyle name="Normal 4 2 4 3 8" xfId="4737" xr:uid="{00000000-0005-0000-0000-0000A4130000}"/>
    <cellStyle name="Normal 4 2 4 3 8 2" xfId="17398" xr:uid="{920352C5-FD26-47F9-90B5-068027D226C7}"/>
    <cellStyle name="Normal 4 2 4 3 9" xfId="8969" xr:uid="{0DAE72DD-93AB-445C-96EC-9D07129B344A}"/>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9958" xr:uid="{EE10B77F-16BE-4FEF-9A1A-3FF9B40BCBA7}"/>
    <cellStyle name="Normal 4 2 4 4 2 2 3" xfId="11529" xr:uid="{745B91E7-B893-4D2B-A518-B28778256ACF}"/>
    <cellStyle name="Normal 4 2 4 4 2 2 4" xfId="15740" xr:uid="{E6590B59-1332-47B5-AB95-6CBBD6A068BF}"/>
    <cellStyle name="Normal 4 2 4 4 2 3" xfId="5152" xr:uid="{00000000-0005-0000-0000-0000A9130000}"/>
    <cellStyle name="Normal 4 2 4 4 2 3 2" xfId="17813" xr:uid="{D3C0CE71-9770-4CC7-A116-7560F6144AAD}"/>
    <cellStyle name="Normal 4 2 4 4 2 4" xfId="9384" xr:uid="{34D6C46D-806C-411F-A2EE-4F35F9A55234}"/>
    <cellStyle name="Normal 4 2 4 4 2 5" xfId="13595" xr:uid="{CD51FBB1-B25F-45F7-90D9-FBC9528438E8}"/>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20371" xr:uid="{81485E09-D336-47F3-B070-B11707C3AEE8}"/>
    <cellStyle name="Normal 4 2 4 4 3 2 3" xfId="11942" xr:uid="{38775B2C-61C8-4A19-B216-2143248F13F0}"/>
    <cellStyle name="Normal 4 2 4 4 3 2 4" xfId="16153" xr:uid="{D2824C0E-2FA6-46DB-B727-FCF5EB1EE930}"/>
    <cellStyle name="Normal 4 2 4 4 3 3" xfId="5565" xr:uid="{00000000-0005-0000-0000-0000AD130000}"/>
    <cellStyle name="Normal 4 2 4 4 3 3 2" xfId="18226" xr:uid="{93ECA41D-420D-4F11-9675-A639C903743B}"/>
    <cellStyle name="Normal 4 2 4 4 3 4" xfId="9797" xr:uid="{CFCFCFB8-67B8-44BD-A444-A59A095BC6A7}"/>
    <cellStyle name="Normal 4 2 4 4 3 5" xfId="14008" xr:uid="{FB13D98C-448D-4A4C-BE11-AFABC4F10CB0}"/>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20784" xr:uid="{B2AFEF2A-F076-423D-BBEA-57540F2F852E}"/>
    <cellStyle name="Normal 4 2 4 4 4 2 3" xfId="12355" xr:uid="{EB55F33B-47C7-44C6-97EC-E193AE9F9978}"/>
    <cellStyle name="Normal 4 2 4 4 4 2 4" xfId="16566" xr:uid="{5BB679E5-7CE9-4F8A-963C-DB16619575CA}"/>
    <cellStyle name="Normal 4 2 4 4 4 3" xfId="5978" xr:uid="{00000000-0005-0000-0000-0000B1130000}"/>
    <cellStyle name="Normal 4 2 4 4 4 3 2" xfId="18639" xr:uid="{564386C6-0B67-40FF-9D2C-CAF52B265E27}"/>
    <cellStyle name="Normal 4 2 4 4 4 4" xfId="10210" xr:uid="{8E8FC7AF-1471-470E-8812-3E5F22928515}"/>
    <cellStyle name="Normal 4 2 4 4 4 5" xfId="14421" xr:uid="{65AAD3DF-9D64-446C-81E4-EE7BC2D6D25E}"/>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21197" xr:uid="{A23EBD82-5148-43E4-B55D-6450492DB285}"/>
    <cellStyle name="Normal 4 2 4 4 5 2 3" xfId="12768" xr:uid="{7393CD76-3B32-4ED2-803B-78B5E837812E}"/>
    <cellStyle name="Normal 4 2 4 4 5 2 4" xfId="16979" xr:uid="{E8D06D6D-6F38-41F7-B9C1-B066EB57CEF7}"/>
    <cellStyle name="Normal 4 2 4 4 5 3" xfId="6391" xr:uid="{00000000-0005-0000-0000-0000B5130000}"/>
    <cellStyle name="Normal 4 2 4 4 5 3 2" xfId="19052" xr:uid="{FD5184A7-0D26-496E-84B2-CD9A930700E0}"/>
    <cellStyle name="Normal 4 2 4 4 5 4" xfId="10623" xr:uid="{FA023B01-0229-4504-9B1D-88CCF175AA2B}"/>
    <cellStyle name="Normal 4 2 4 4 5 5" xfId="14834" xr:uid="{1C603255-B403-491B-AFAC-C9EE4EEE2440}"/>
    <cellStyle name="Normal 4 2 4 4 6" xfId="2521" xr:uid="{00000000-0005-0000-0000-0000B6130000}"/>
    <cellStyle name="Normal 4 2 4 4 6 2" xfId="6804" xr:uid="{00000000-0005-0000-0000-0000B7130000}"/>
    <cellStyle name="Normal 4 2 4 4 6 2 2" xfId="19465" xr:uid="{7BF134BC-4D91-4F73-85A4-2CFD4CE6A2B1}"/>
    <cellStyle name="Normal 4 2 4 4 6 3" xfId="11036" xr:uid="{AF1C8071-3BC0-4F17-B744-C4D5AD9ADF75}"/>
    <cellStyle name="Normal 4 2 4 4 6 4" xfId="15247" xr:uid="{E0959070-19AA-4462-BE21-3DFA81E1B54B}"/>
    <cellStyle name="Normal 4 2 4 4 7" xfId="4739" xr:uid="{00000000-0005-0000-0000-0000B8130000}"/>
    <cellStyle name="Normal 4 2 4 4 7 2" xfId="17400" xr:uid="{ECDD0C91-7284-4287-BE1F-89D96DD33FA7}"/>
    <cellStyle name="Normal 4 2 4 4 8" xfId="8971" xr:uid="{F0B0531B-9968-4139-A4BD-8184BCA421F3}"/>
    <cellStyle name="Normal 4 2 4 4 9" xfId="13182" xr:uid="{F0EF1951-96BF-424B-BEC5-2EF706747271}"/>
    <cellStyle name="Normal 4 2 4 5" xfId="831" xr:uid="{00000000-0005-0000-0000-0000B9130000}"/>
    <cellStyle name="Normal 4 2 4 5 2" xfId="3068" xr:uid="{00000000-0005-0000-0000-0000BA130000}"/>
    <cellStyle name="Normal 4 2 4 5 2 2" xfId="7290" xr:uid="{00000000-0005-0000-0000-0000BB130000}"/>
    <cellStyle name="Normal 4 2 4 5 2 2 2" xfId="19951" xr:uid="{26DFCA63-505C-4007-A502-8F100DC36846}"/>
    <cellStyle name="Normal 4 2 4 5 2 3" xfId="11522" xr:uid="{0E02BCFA-6620-4271-8218-ACADA0DB3738}"/>
    <cellStyle name="Normal 4 2 4 5 2 4" xfId="15733" xr:uid="{7F32F7C6-5EF8-4C63-8198-483E297AFAE6}"/>
    <cellStyle name="Normal 4 2 4 5 3" xfId="5145" xr:uid="{00000000-0005-0000-0000-0000BC130000}"/>
    <cellStyle name="Normal 4 2 4 5 3 2" xfId="17806" xr:uid="{7DD95276-24AF-4983-937A-C923A6E8EB72}"/>
    <cellStyle name="Normal 4 2 4 5 4" xfId="9377" xr:uid="{2B0A2608-E421-44E5-B7D1-13D8F22C7D53}"/>
    <cellStyle name="Normal 4 2 4 5 5" xfId="13588" xr:uid="{CB92FE06-70DD-45D8-823C-85DAC49D445B}"/>
    <cellStyle name="Normal 4 2 4 6" xfId="1251" xr:uid="{00000000-0005-0000-0000-0000BD130000}"/>
    <cellStyle name="Normal 4 2 4 6 2" xfId="3481" xr:uid="{00000000-0005-0000-0000-0000BE130000}"/>
    <cellStyle name="Normal 4 2 4 6 2 2" xfId="7703" xr:uid="{00000000-0005-0000-0000-0000BF130000}"/>
    <cellStyle name="Normal 4 2 4 6 2 2 2" xfId="20364" xr:uid="{DE4A2F46-C14F-4340-9CAC-09367BDE8D2A}"/>
    <cellStyle name="Normal 4 2 4 6 2 3" xfId="11935" xr:uid="{441899A7-D2C0-410C-B9D9-FFC1F75C462D}"/>
    <cellStyle name="Normal 4 2 4 6 2 4" xfId="16146" xr:uid="{8AD8C2C4-A228-491F-86F1-1F8526618FC2}"/>
    <cellStyle name="Normal 4 2 4 6 3" xfId="5558" xr:uid="{00000000-0005-0000-0000-0000C0130000}"/>
    <cellStyle name="Normal 4 2 4 6 3 2" xfId="18219" xr:uid="{3019B64B-849F-41FA-9B54-41C7AABB9C0A}"/>
    <cellStyle name="Normal 4 2 4 6 4" xfId="9790" xr:uid="{F514AE4F-65D3-41A1-B619-7A79E2904AA3}"/>
    <cellStyle name="Normal 4 2 4 6 5" xfId="14001" xr:uid="{F76A04FB-CF10-45E5-B36F-8CBD91C9B778}"/>
    <cellStyle name="Normal 4 2 4 7" xfId="1664" xr:uid="{00000000-0005-0000-0000-0000C1130000}"/>
    <cellStyle name="Normal 4 2 4 7 2" xfId="3894" xr:uid="{00000000-0005-0000-0000-0000C2130000}"/>
    <cellStyle name="Normal 4 2 4 7 2 2" xfId="8116" xr:uid="{00000000-0005-0000-0000-0000C3130000}"/>
    <cellStyle name="Normal 4 2 4 7 2 2 2" xfId="20777" xr:uid="{A254A51C-DC59-4DB0-9075-9A94661D8B6E}"/>
    <cellStyle name="Normal 4 2 4 7 2 3" xfId="12348" xr:uid="{212B0674-B728-41D6-B2E8-4F39353EFD57}"/>
    <cellStyle name="Normal 4 2 4 7 2 4" xfId="16559" xr:uid="{CCDB00DC-888F-4989-9875-DE41625FA6D6}"/>
    <cellStyle name="Normal 4 2 4 7 3" xfId="5971" xr:uid="{00000000-0005-0000-0000-0000C4130000}"/>
    <cellStyle name="Normal 4 2 4 7 3 2" xfId="18632" xr:uid="{D09D69AD-60CB-434D-9BDD-060E6CD9AAFF}"/>
    <cellStyle name="Normal 4 2 4 7 4" xfId="10203" xr:uid="{20EA7F61-C070-42B1-BB26-1DD656CE5166}"/>
    <cellStyle name="Normal 4 2 4 7 5" xfId="14414" xr:uid="{5322825A-F17A-48A4-AC84-B67FAC98DD63}"/>
    <cellStyle name="Normal 4 2 4 8" xfId="2078" xr:uid="{00000000-0005-0000-0000-0000C5130000}"/>
    <cellStyle name="Normal 4 2 4 8 2" xfId="4307" xr:uid="{00000000-0005-0000-0000-0000C6130000}"/>
    <cellStyle name="Normal 4 2 4 8 2 2" xfId="8529" xr:uid="{00000000-0005-0000-0000-0000C7130000}"/>
    <cellStyle name="Normal 4 2 4 8 2 2 2" xfId="21190" xr:uid="{B85D265B-1AF7-4214-BE72-C99437457F0C}"/>
    <cellStyle name="Normal 4 2 4 8 2 3" xfId="12761" xr:uid="{FDBFEB29-597F-4903-ADF3-1B22C3F87810}"/>
    <cellStyle name="Normal 4 2 4 8 2 4" xfId="16972" xr:uid="{A1C4156F-94BC-4F54-B8B8-32305C16795D}"/>
    <cellStyle name="Normal 4 2 4 8 3" xfId="6384" xr:uid="{00000000-0005-0000-0000-0000C8130000}"/>
    <cellStyle name="Normal 4 2 4 8 3 2" xfId="19045" xr:uid="{672925B0-B305-4D25-A091-1C77F32A2604}"/>
    <cellStyle name="Normal 4 2 4 8 4" xfId="10616" xr:uid="{217BF23D-492F-49CC-A7BC-EC67E6D8EBAB}"/>
    <cellStyle name="Normal 4 2 4 8 5" xfId="14827" xr:uid="{9F66D9C8-8249-4F7A-A9C6-3615C67EA76B}"/>
    <cellStyle name="Normal 4 2 4 9" xfId="2514" xr:uid="{00000000-0005-0000-0000-0000C9130000}"/>
    <cellStyle name="Normal 4 2 4 9 2" xfId="6797" xr:uid="{00000000-0005-0000-0000-0000CA130000}"/>
    <cellStyle name="Normal 4 2 4 9 2 2" xfId="19458" xr:uid="{2F407110-54B0-49C5-97DC-68E5CC35A1C8}"/>
    <cellStyle name="Normal 4 2 4 9 3" xfId="11029" xr:uid="{F4438A00-62E8-478A-988C-98F1429F59C1}"/>
    <cellStyle name="Normal 4 2 4 9 4" xfId="15240" xr:uid="{5E281CE8-EE1A-4558-ACE6-ADB5FE2496C2}"/>
    <cellStyle name="Normal 4 2 5" xfId="363" xr:uid="{00000000-0005-0000-0000-0000CB130000}"/>
    <cellStyle name="Normal 4 2 5 10" xfId="13183" xr:uid="{F1CBA2C2-530E-4CFD-9C79-A32C38DEF8EA}"/>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9960" xr:uid="{9DF59716-BA3D-4C06-8FB6-08CC8C723890}"/>
    <cellStyle name="Normal 4 2 5 2 2 2 3" xfId="11531" xr:uid="{189D8271-B49A-4331-8A7D-46DD8AC93403}"/>
    <cellStyle name="Normal 4 2 5 2 2 2 4" xfId="15742" xr:uid="{B33992AE-0336-4231-9DD7-D0862E31273C}"/>
    <cellStyle name="Normal 4 2 5 2 2 3" xfId="5154" xr:uid="{00000000-0005-0000-0000-0000D0130000}"/>
    <cellStyle name="Normal 4 2 5 2 2 3 2" xfId="17815" xr:uid="{526AEE6A-C665-4716-BEEF-B653E3EDA071}"/>
    <cellStyle name="Normal 4 2 5 2 2 4" xfId="9386" xr:uid="{47D8C0D5-1D7D-4D86-A915-8C733EE851A1}"/>
    <cellStyle name="Normal 4 2 5 2 2 5" xfId="13597" xr:uid="{80D256FB-944D-423C-9E40-EC466EB23EE0}"/>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20373" xr:uid="{A2984DA9-2AC8-4F3B-B223-22038AAF797A}"/>
    <cellStyle name="Normal 4 2 5 2 3 2 3" xfId="11944" xr:uid="{91923481-D951-4C11-8583-2489319E054D}"/>
    <cellStyle name="Normal 4 2 5 2 3 2 4" xfId="16155" xr:uid="{9C488534-9842-4EDB-B206-90338E463905}"/>
    <cellStyle name="Normal 4 2 5 2 3 3" xfId="5567" xr:uid="{00000000-0005-0000-0000-0000D4130000}"/>
    <cellStyle name="Normal 4 2 5 2 3 3 2" xfId="18228" xr:uid="{4CBF50C3-E614-4822-A49C-71B198B41582}"/>
    <cellStyle name="Normal 4 2 5 2 3 4" xfId="9799" xr:uid="{751E93BF-E502-48D1-84D0-56C664748762}"/>
    <cellStyle name="Normal 4 2 5 2 3 5" xfId="14010" xr:uid="{E3BF0A8C-BF82-44B0-BD62-358B1B502671}"/>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20786" xr:uid="{9FB52FE5-2791-48DC-AA61-0E4F705FAA1F}"/>
    <cellStyle name="Normal 4 2 5 2 4 2 3" xfId="12357" xr:uid="{7E3438FA-2B0B-4E85-90C5-E73F763C9CE2}"/>
    <cellStyle name="Normal 4 2 5 2 4 2 4" xfId="16568" xr:uid="{7B6434D2-9CD2-40B6-964F-87E16F6A956F}"/>
    <cellStyle name="Normal 4 2 5 2 4 3" xfId="5980" xr:uid="{00000000-0005-0000-0000-0000D8130000}"/>
    <cellStyle name="Normal 4 2 5 2 4 3 2" xfId="18641" xr:uid="{A62B26E7-4521-491F-BE0F-6A73E8BB079D}"/>
    <cellStyle name="Normal 4 2 5 2 4 4" xfId="10212" xr:uid="{F23F4EE0-C2DA-401B-BFD0-3B08F127284C}"/>
    <cellStyle name="Normal 4 2 5 2 4 5" xfId="14423" xr:uid="{3A4934ED-0945-4744-A142-9445CFB90861}"/>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21199" xr:uid="{33EC3D48-08EB-4A7B-B37C-17B9A8642120}"/>
    <cellStyle name="Normal 4 2 5 2 5 2 3" xfId="12770" xr:uid="{1CB17F13-7B6C-4A49-AEA2-8F3CACD81C39}"/>
    <cellStyle name="Normal 4 2 5 2 5 2 4" xfId="16981" xr:uid="{0EE571FD-4A2B-4433-B161-902AA9CED2EC}"/>
    <cellStyle name="Normal 4 2 5 2 5 3" xfId="6393" xr:uid="{00000000-0005-0000-0000-0000DC130000}"/>
    <cellStyle name="Normal 4 2 5 2 5 3 2" xfId="19054" xr:uid="{18FDED6F-8512-4D22-8070-AD0D76643724}"/>
    <cellStyle name="Normal 4 2 5 2 5 4" xfId="10625" xr:uid="{62FF1F36-D551-4553-8C0A-16E66A844CF8}"/>
    <cellStyle name="Normal 4 2 5 2 5 5" xfId="14836" xr:uid="{18931D30-FE1C-4D0E-B534-602875F86891}"/>
    <cellStyle name="Normal 4 2 5 2 6" xfId="2523" xr:uid="{00000000-0005-0000-0000-0000DD130000}"/>
    <cellStyle name="Normal 4 2 5 2 6 2" xfId="6806" xr:uid="{00000000-0005-0000-0000-0000DE130000}"/>
    <cellStyle name="Normal 4 2 5 2 6 2 2" xfId="19467" xr:uid="{A05A52E9-127E-4F19-BE54-0FCB42DE10EF}"/>
    <cellStyle name="Normal 4 2 5 2 6 3" xfId="11038" xr:uid="{95CE160C-D297-4C8B-9CD5-3466990D3527}"/>
    <cellStyle name="Normal 4 2 5 2 6 4" xfId="15249" xr:uid="{D2E4D795-D728-46F9-8E91-6C0B39F70F23}"/>
    <cellStyle name="Normal 4 2 5 2 7" xfId="4741" xr:uid="{00000000-0005-0000-0000-0000DF130000}"/>
    <cellStyle name="Normal 4 2 5 2 7 2" xfId="17402" xr:uid="{172724DD-6B7F-42CC-9A2F-F1C3A3F73A8D}"/>
    <cellStyle name="Normal 4 2 5 2 8" xfId="8973" xr:uid="{F06005C8-8AD3-40DE-BECE-CEB5CF829254}"/>
    <cellStyle name="Normal 4 2 5 2 9" xfId="13184" xr:uid="{9FD64372-C0D9-4F77-9AEE-76256FC39E27}"/>
    <cellStyle name="Normal 4 2 5 3" xfId="839" xr:uid="{00000000-0005-0000-0000-0000E0130000}"/>
    <cellStyle name="Normal 4 2 5 3 2" xfId="3076" xr:uid="{00000000-0005-0000-0000-0000E1130000}"/>
    <cellStyle name="Normal 4 2 5 3 2 2" xfId="7298" xr:uid="{00000000-0005-0000-0000-0000E2130000}"/>
    <cellStyle name="Normal 4 2 5 3 2 2 2" xfId="19959" xr:uid="{6DCBC479-80DF-4032-8D83-0BBE8E3F06C9}"/>
    <cellStyle name="Normal 4 2 5 3 2 3" xfId="11530" xr:uid="{0B0B5CDD-5024-4CD5-B86E-7F4EC842A182}"/>
    <cellStyle name="Normal 4 2 5 3 2 4" xfId="15741" xr:uid="{1887E4BF-A584-4B0B-8B85-A2F999C32341}"/>
    <cellStyle name="Normal 4 2 5 3 3" xfId="5153" xr:uid="{00000000-0005-0000-0000-0000E3130000}"/>
    <cellStyle name="Normal 4 2 5 3 3 2" xfId="17814" xr:uid="{0824A541-9CE5-41DE-A135-4017F4C3167A}"/>
    <cellStyle name="Normal 4 2 5 3 4" xfId="9385" xr:uid="{7E667072-3E4C-4B20-B7BC-12FCEE48DB17}"/>
    <cellStyle name="Normal 4 2 5 3 5" xfId="13596" xr:uid="{F9CC7AD6-B58A-4E8C-9F8E-6A41277E901A}"/>
    <cellStyle name="Normal 4 2 5 4" xfId="1259" xr:uid="{00000000-0005-0000-0000-0000E4130000}"/>
    <cellStyle name="Normal 4 2 5 4 2" xfId="3489" xr:uid="{00000000-0005-0000-0000-0000E5130000}"/>
    <cellStyle name="Normal 4 2 5 4 2 2" xfId="7711" xr:uid="{00000000-0005-0000-0000-0000E6130000}"/>
    <cellStyle name="Normal 4 2 5 4 2 2 2" xfId="20372" xr:uid="{280260AD-8B21-483F-9792-0EFAE2150D50}"/>
    <cellStyle name="Normal 4 2 5 4 2 3" xfId="11943" xr:uid="{280F90AC-FDEF-404F-B37B-FB9FC578B38C}"/>
    <cellStyle name="Normal 4 2 5 4 2 4" xfId="16154" xr:uid="{F855DDFF-AEFA-4E40-A57C-C88998751DF3}"/>
    <cellStyle name="Normal 4 2 5 4 3" xfId="5566" xr:uid="{00000000-0005-0000-0000-0000E7130000}"/>
    <cellStyle name="Normal 4 2 5 4 3 2" xfId="18227" xr:uid="{6CE285D4-AC0E-49C7-834F-D9724A45A1E4}"/>
    <cellStyle name="Normal 4 2 5 4 4" xfId="9798" xr:uid="{345881A5-9356-41C3-BF68-A5CB47AA20A2}"/>
    <cellStyle name="Normal 4 2 5 4 5" xfId="14009" xr:uid="{42C85709-7723-4056-B604-412D1C0475E1}"/>
    <cellStyle name="Normal 4 2 5 5" xfId="1672" xr:uid="{00000000-0005-0000-0000-0000E8130000}"/>
    <cellStyle name="Normal 4 2 5 5 2" xfId="3902" xr:uid="{00000000-0005-0000-0000-0000E9130000}"/>
    <cellStyle name="Normal 4 2 5 5 2 2" xfId="8124" xr:uid="{00000000-0005-0000-0000-0000EA130000}"/>
    <cellStyle name="Normal 4 2 5 5 2 2 2" xfId="20785" xr:uid="{5B8E0418-F378-48CE-9E77-8684D675B005}"/>
    <cellStyle name="Normal 4 2 5 5 2 3" xfId="12356" xr:uid="{31EF1E83-0080-4B07-9781-EB9911953876}"/>
    <cellStyle name="Normal 4 2 5 5 2 4" xfId="16567" xr:uid="{A9AC73C0-AA6F-466F-8CC0-D4E0F5332B4B}"/>
    <cellStyle name="Normal 4 2 5 5 3" xfId="5979" xr:uid="{00000000-0005-0000-0000-0000EB130000}"/>
    <cellStyle name="Normal 4 2 5 5 3 2" xfId="18640" xr:uid="{EFD3D783-35DF-499D-AB03-79CD6E328A12}"/>
    <cellStyle name="Normal 4 2 5 5 4" xfId="10211" xr:uid="{C0537ECE-F25E-4285-A080-30AC087E7C54}"/>
    <cellStyle name="Normal 4 2 5 5 5" xfId="14422" xr:uid="{878F32FB-B246-4861-9F92-DCED2E3DCE1B}"/>
    <cellStyle name="Normal 4 2 5 6" xfId="2086" xr:uid="{00000000-0005-0000-0000-0000EC130000}"/>
    <cellStyle name="Normal 4 2 5 6 2" xfId="4315" xr:uid="{00000000-0005-0000-0000-0000ED130000}"/>
    <cellStyle name="Normal 4 2 5 6 2 2" xfId="8537" xr:uid="{00000000-0005-0000-0000-0000EE130000}"/>
    <cellStyle name="Normal 4 2 5 6 2 2 2" xfId="21198" xr:uid="{4E232272-52ED-48FD-A080-3699D97EA188}"/>
    <cellStyle name="Normal 4 2 5 6 2 3" xfId="12769" xr:uid="{D6E10350-CEE5-47FD-9D24-D540F28989CB}"/>
    <cellStyle name="Normal 4 2 5 6 2 4" xfId="16980" xr:uid="{3280E3FE-240F-4E45-960B-98B3E07C1AF6}"/>
    <cellStyle name="Normal 4 2 5 6 3" xfId="6392" xr:uid="{00000000-0005-0000-0000-0000EF130000}"/>
    <cellStyle name="Normal 4 2 5 6 3 2" xfId="19053" xr:uid="{5F20E46D-CD57-4888-A13E-8042F017248D}"/>
    <cellStyle name="Normal 4 2 5 6 4" xfId="10624" xr:uid="{8B67D4D0-884D-4F97-AA5D-A4775202B2FF}"/>
    <cellStyle name="Normal 4 2 5 6 5" xfId="14835" xr:uid="{31F63447-562C-4FB4-ACC7-FBD18B3E6B93}"/>
    <cellStyle name="Normal 4 2 5 7" xfId="2522" xr:uid="{00000000-0005-0000-0000-0000F0130000}"/>
    <cellStyle name="Normal 4 2 5 7 2" xfId="6805" xr:uid="{00000000-0005-0000-0000-0000F1130000}"/>
    <cellStyle name="Normal 4 2 5 7 2 2" xfId="19466" xr:uid="{2876F47C-BF59-4FB4-9940-0627B09C806B}"/>
    <cellStyle name="Normal 4 2 5 7 3" xfId="11037" xr:uid="{0BAF7398-0F8B-440F-9740-7B860AB3EA83}"/>
    <cellStyle name="Normal 4 2 5 7 4" xfId="15248" xr:uid="{5134A027-5CB1-421E-BA11-B5771CD9B50C}"/>
    <cellStyle name="Normal 4 2 5 8" xfId="4740" xr:uid="{00000000-0005-0000-0000-0000F2130000}"/>
    <cellStyle name="Normal 4 2 5 8 2" xfId="17401" xr:uid="{0D14EBD1-DEBF-45F8-A76C-66997F28CF1C}"/>
    <cellStyle name="Normal 4 2 5 9" xfId="8972" xr:uid="{118D36B7-0A48-442F-9248-4EAE666ED63D}"/>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9961" xr:uid="{536D155E-F200-4FE5-8ECD-07C9D9CB614B}"/>
    <cellStyle name="Normal 4 2 6 2 2 3" xfId="11532" xr:uid="{EE55BC86-98B5-4011-BBFD-F5C1413C1A57}"/>
    <cellStyle name="Normal 4 2 6 2 2 4" xfId="15743" xr:uid="{A2B0F49E-65EC-480F-8A3D-EC2F4B1AA564}"/>
    <cellStyle name="Normal 4 2 6 2 3" xfId="5155" xr:uid="{00000000-0005-0000-0000-0000F7130000}"/>
    <cellStyle name="Normal 4 2 6 2 3 2" xfId="17816" xr:uid="{1D2C696D-31CB-479A-B507-6E149AB601BB}"/>
    <cellStyle name="Normal 4 2 6 2 4" xfId="9387" xr:uid="{F488EA7C-584E-41D7-A2D4-CAB3884B21F7}"/>
    <cellStyle name="Normal 4 2 6 2 5" xfId="13598" xr:uid="{F478A55E-D80F-4D21-83E2-9E9F6BB76378}"/>
    <cellStyle name="Normal 4 2 6 3" xfId="1261" xr:uid="{00000000-0005-0000-0000-0000F8130000}"/>
    <cellStyle name="Normal 4 2 6 3 2" xfId="3491" xr:uid="{00000000-0005-0000-0000-0000F9130000}"/>
    <cellStyle name="Normal 4 2 6 3 2 2" xfId="7713" xr:uid="{00000000-0005-0000-0000-0000FA130000}"/>
    <cellStyle name="Normal 4 2 6 3 2 2 2" xfId="20374" xr:uid="{E866118E-295B-4460-84C1-EF813C865281}"/>
    <cellStyle name="Normal 4 2 6 3 2 3" xfId="11945" xr:uid="{48743337-3221-4852-8DE0-ED2993DDC4E3}"/>
    <cellStyle name="Normal 4 2 6 3 2 4" xfId="16156" xr:uid="{0D82B6BD-1C0B-45FB-A5D1-8E394AB8CDB8}"/>
    <cellStyle name="Normal 4 2 6 3 3" xfId="5568" xr:uid="{00000000-0005-0000-0000-0000FB130000}"/>
    <cellStyle name="Normal 4 2 6 3 3 2" xfId="18229" xr:uid="{4D5F445C-77DF-4255-B0DE-4706A7D77446}"/>
    <cellStyle name="Normal 4 2 6 3 4" xfId="9800" xr:uid="{3C7A8934-96C4-45FC-8859-5F92414BF2DC}"/>
    <cellStyle name="Normal 4 2 6 3 5" xfId="14011" xr:uid="{E9A7520E-F208-4B85-A659-DCB6A26AADBE}"/>
    <cellStyle name="Normal 4 2 6 4" xfId="1674" xr:uid="{00000000-0005-0000-0000-0000FC130000}"/>
    <cellStyle name="Normal 4 2 6 4 2" xfId="3904" xr:uid="{00000000-0005-0000-0000-0000FD130000}"/>
    <cellStyle name="Normal 4 2 6 4 2 2" xfId="8126" xr:uid="{00000000-0005-0000-0000-0000FE130000}"/>
    <cellStyle name="Normal 4 2 6 4 2 2 2" xfId="20787" xr:uid="{95E279BA-D9E9-441F-9A58-1DF344F9197A}"/>
    <cellStyle name="Normal 4 2 6 4 2 3" xfId="12358" xr:uid="{686B6F9E-D349-400C-880D-43217A9DEF2E}"/>
    <cellStyle name="Normal 4 2 6 4 2 4" xfId="16569" xr:uid="{A0F0CA62-3FC4-431A-83D3-A1E3F9349922}"/>
    <cellStyle name="Normal 4 2 6 4 3" xfId="5981" xr:uid="{00000000-0005-0000-0000-0000FF130000}"/>
    <cellStyle name="Normal 4 2 6 4 3 2" xfId="18642" xr:uid="{59430421-2AFD-49FD-BF2F-FA4427425D92}"/>
    <cellStyle name="Normal 4 2 6 4 4" xfId="10213" xr:uid="{0525D5F9-0465-4B0F-A362-251EA8F90152}"/>
    <cellStyle name="Normal 4 2 6 4 5" xfId="14424" xr:uid="{D8141ABC-F5EB-46B4-A6F6-EFFC8BF0F81D}"/>
    <cellStyle name="Normal 4 2 6 5" xfId="2088" xr:uid="{00000000-0005-0000-0000-000000140000}"/>
    <cellStyle name="Normal 4 2 6 5 2" xfId="4317" xr:uid="{00000000-0005-0000-0000-000001140000}"/>
    <cellStyle name="Normal 4 2 6 5 2 2" xfId="8539" xr:uid="{00000000-0005-0000-0000-000002140000}"/>
    <cellStyle name="Normal 4 2 6 5 2 2 2" xfId="21200" xr:uid="{C3F85B23-E359-4CA1-8F2D-C6BB91C0343C}"/>
    <cellStyle name="Normal 4 2 6 5 2 3" xfId="12771" xr:uid="{141D6964-C50D-489D-805C-4A1BC9ADE8E0}"/>
    <cellStyle name="Normal 4 2 6 5 2 4" xfId="16982" xr:uid="{3DAD6235-561F-4AAA-A58D-3FCE6F44B238}"/>
    <cellStyle name="Normal 4 2 6 5 3" xfId="6394" xr:uid="{00000000-0005-0000-0000-000003140000}"/>
    <cellStyle name="Normal 4 2 6 5 3 2" xfId="19055" xr:uid="{C106CB87-6949-46F2-8BC2-1526EEEF1AE0}"/>
    <cellStyle name="Normal 4 2 6 5 4" xfId="10626" xr:uid="{81BDA807-8503-4056-993F-2A9DB2C0E639}"/>
    <cellStyle name="Normal 4 2 6 5 5" xfId="14837" xr:uid="{42530C36-9471-4E72-9B5F-589E5B221E6E}"/>
    <cellStyle name="Normal 4 2 6 6" xfId="2524" xr:uid="{00000000-0005-0000-0000-000004140000}"/>
    <cellStyle name="Normal 4 2 6 6 2" xfId="6807" xr:uid="{00000000-0005-0000-0000-000005140000}"/>
    <cellStyle name="Normal 4 2 6 6 2 2" xfId="19468" xr:uid="{B395DBAA-85E4-475A-AE34-4B8C525AB7DA}"/>
    <cellStyle name="Normal 4 2 6 6 3" xfId="11039" xr:uid="{52607DB8-8F2A-4F14-8FB9-BBA515A6C8F0}"/>
    <cellStyle name="Normal 4 2 6 6 4" xfId="15250" xr:uid="{D7BC3B05-EAE4-4116-9DE1-2D9918C347CF}"/>
    <cellStyle name="Normal 4 2 6 7" xfId="4742" xr:uid="{00000000-0005-0000-0000-000006140000}"/>
    <cellStyle name="Normal 4 2 6 7 2" xfId="17403" xr:uid="{E22785EA-AF2B-41E6-893F-ABBD8999AA92}"/>
    <cellStyle name="Normal 4 2 6 8" xfId="8974" xr:uid="{A1FA162F-4E73-4A07-B2B6-9DFECACA17B4}"/>
    <cellStyle name="Normal 4 2 6 9" xfId="13185" xr:uid="{55801842-2E1B-4C28-9B2C-80A3B295EDA7}"/>
    <cellStyle name="Normal 4 3" xfId="366" xr:uid="{00000000-0005-0000-0000-000007140000}"/>
    <cellStyle name="Normal 4 3 10" xfId="8975" xr:uid="{9D5CB3A9-9F38-4CFC-8B7A-DF20EE3B9931}"/>
    <cellStyle name="Normal 4 3 11" xfId="13186" xr:uid="{5BB720B4-F166-41A6-B582-A3A12535CD04}"/>
    <cellStyle name="Normal 4 3 2" xfId="367" xr:uid="{00000000-0005-0000-0000-000008140000}"/>
    <cellStyle name="Normal 4 3 2 2" xfId="368" xr:uid="{00000000-0005-0000-0000-000009140000}"/>
    <cellStyle name="Normal 4 3 2 2 2" xfId="369" xr:uid="{00000000-0005-0000-0000-00000A140000}"/>
    <cellStyle name="Normal 4 3 2 2 2 10" xfId="8976" xr:uid="{86BFF16B-B9C7-48FC-A407-E27FE74A513D}"/>
    <cellStyle name="Normal 4 3 2 2 2 11" xfId="13187" xr:uid="{055063B2-8533-4146-AB39-728DCC3CB39A}"/>
    <cellStyle name="Normal 4 3 2 2 2 2" xfId="370" xr:uid="{00000000-0005-0000-0000-00000B140000}"/>
    <cellStyle name="Normal 4 3 2 2 2 2 10" xfId="13188" xr:uid="{114546E4-157A-484B-A0FC-B0D082377192}"/>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9965" xr:uid="{545E9B8C-0292-41BB-9EDE-C6611CE1395F}"/>
    <cellStyle name="Normal 4 3 2 2 2 2 2 2 2 3" xfId="11536" xr:uid="{BEB3F816-4509-477D-8B1E-95A72883D0ED}"/>
    <cellStyle name="Normal 4 3 2 2 2 2 2 2 2 4" xfId="15747" xr:uid="{A3A7F00B-947D-4163-8BC9-D69285FB6AE7}"/>
    <cellStyle name="Normal 4 3 2 2 2 2 2 2 3" xfId="5159" xr:uid="{00000000-0005-0000-0000-000010140000}"/>
    <cellStyle name="Normal 4 3 2 2 2 2 2 2 3 2" xfId="17820" xr:uid="{B3260F73-DE4B-4CAE-B536-EB4404C4F64C}"/>
    <cellStyle name="Normal 4 3 2 2 2 2 2 2 4" xfId="9391" xr:uid="{689CE84D-4ED7-4758-8162-0A4A764586E3}"/>
    <cellStyle name="Normal 4 3 2 2 2 2 2 2 5" xfId="13602" xr:uid="{10C2D2EA-74E5-4797-99FD-9D885755A227}"/>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20378" xr:uid="{EA89A171-E721-432C-98C4-319F9FE99F7E}"/>
    <cellStyle name="Normal 4 3 2 2 2 2 2 3 2 3" xfId="11949" xr:uid="{E4E8A6FB-C1A1-48FD-8221-68A9B26F6229}"/>
    <cellStyle name="Normal 4 3 2 2 2 2 2 3 2 4" xfId="16160" xr:uid="{678AABEA-6A7B-46A1-8B32-FB04EE03539D}"/>
    <cellStyle name="Normal 4 3 2 2 2 2 2 3 3" xfId="5572" xr:uid="{00000000-0005-0000-0000-000014140000}"/>
    <cellStyle name="Normal 4 3 2 2 2 2 2 3 3 2" xfId="18233" xr:uid="{81DFF5F7-7AAB-4D92-B2D3-79600A9B8B3C}"/>
    <cellStyle name="Normal 4 3 2 2 2 2 2 3 4" xfId="9804" xr:uid="{49A04237-697D-46EF-9105-4F2C3A5BEC5A}"/>
    <cellStyle name="Normal 4 3 2 2 2 2 2 3 5" xfId="14015" xr:uid="{14BA15E8-77FA-442D-8928-55D3A6267F24}"/>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20791" xr:uid="{E1C34D3B-F5A9-4506-880B-87BBB1218B61}"/>
    <cellStyle name="Normal 4 3 2 2 2 2 2 4 2 3" xfId="12362" xr:uid="{E9679DE2-92A0-4ADE-A379-6D72E2071B41}"/>
    <cellStyle name="Normal 4 3 2 2 2 2 2 4 2 4" xfId="16573" xr:uid="{8E3E0487-8FB5-4468-94E5-AF1D5A7E9D37}"/>
    <cellStyle name="Normal 4 3 2 2 2 2 2 4 3" xfId="5985" xr:uid="{00000000-0005-0000-0000-000018140000}"/>
    <cellStyle name="Normal 4 3 2 2 2 2 2 4 3 2" xfId="18646" xr:uid="{0AEDCF17-0E71-483E-9F84-C17246FED9B9}"/>
    <cellStyle name="Normal 4 3 2 2 2 2 2 4 4" xfId="10217" xr:uid="{133CF518-20F8-433B-9AF9-79E3A37E3FD0}"/>
    <cellStyle name="Normal 4 3 2 2 2 2 2 4 5" xfId="14428" xr:uid="{24756E76-8DCD-4984-9EDE-6CB3D3D8AEFD}"/>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21204" xr:uid="{255689F1-B946-4D73-80A2-26DDC5BD0E03}"/>
    <cellStyle name="Normal 4 3 2 2 2 2 2 5 2 3" xfId="12775" xr:uid="{CC7FA530-4894-4F6D-BDD0-5528E11255DA}"/>
    <cellStyle name="Normal 4 3 2 2 2 2 2 5 2 4" xfId="16986" xr:uid="{AE686F48-2982-4917-8A78-B7D2F1F6FFA6}"/>
    <cellStyle name="Normal 4 3 2 2 2 2 2 5 3" xfId="6398" xr:uid="{00000000-0005-0000-0000-00001C140000}"/>
    <cellStyle name="Normal 4 3 2 2 2 2 2 5 3 2" xfId="19059" xr:uid="{897867D8-35A5-494C-BF4D-A28ADDA8F110}"/>
    <cellStyle name="Normal 4 3 2 2 2 2 2 5 4" xfId="10630" xr:uid="{A888F053-EDF8-4321-86C3-B3926E80F291}"/>
    <cellStyle name="Normal 4 3 2 2 2 2 2 5 5" xfId="14841" xr:uid="{608355FE-E366-471D-BA94-465843EF4184}"/>
    <cellStyle name="Normal 4 3 2 2 2 2 2 6" xfId="2528" xr:uid="{00000000-0005-0000-0000-00001D140000}"/>
    <cellStyle name="Normal 4 3 2 2 2 2 2 6 2" xfId="6811" xr:uid="{00000000-0005-0000-0000-00001E140000}"/>
    <cellStyle name="Normal 4 3 2 2 2 2 2 6 2 2" xfId="19472" xr:uid="{4D47B3EE-7E5C-4E52-B957-77B7A71ACF04}"/>
    <cellStyle name="Normal 4 3 2 2 2 2 2 6 3" xfId="11043" xr:uid="{8A8C3596-13CE-4232-A5E1-98A7C0E1CC49}"/>
    <cellStyle name="Normal 4 3 2 2 2 2 2 6 4" xfId="15254" xr:uid="{D4585276-6AC8-4F9C-B3F1-87056529A73F}"/>
    <cellStyle name="Normal 4 3 2 2 2 2 2 7" xfId="4746" xr:uid="{00000000-0005-0000-0000-00001F140000}"/>
    <cellStyle name="Normal 4 3 2 2 2 2 2 7 2" xfId="17407" xr:uid="{F99798F8-F08C-4A13-A2B6-7121A4F3DD41}"/>
    <cellStyle name="Normal 4 3 2 2 2 2 2 8" xfId="8978" xr:uid="{8AC7C62B-243D-4B29-A45F-19E94EF6F236}"/>
    <cellStyle name="Normal 4 3 2 2 2 2 2 9" xfId="13189" xr:uid="{FD2D5315-2557-4A07-99BA-9B5AE64E2E8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9964" xr:uid="{81A0ECD3-BFA2-4CEE-8CB3-B15538589DFB}"/>
    <cellStyle name="Normal 4 3 2 2 2 2 3 2 3" xfId="11535" xr:uid="{F9720523-8936-4DDC-98C3-B929F773D69B}"/>
    <cellStyle name="Normal 4 3 2 2 2 2 3 2 4" xfId="15746" xr:uid="{853852C8-1DCB-41ED-8AA0-FD77B226EB00}"/>
    <cellStyle name="Normal 4 3 2 2 2 2 3 3" xfId="5158" xr:uid="{00000000-0005-0000-0000-000023140000}"/>
    <cellStyle name="Normal 4 3 2 2 2 2 3 3 2" xfId="17819" xr:uid="{7C30A62E-2ECC-466F-A120-C51C03FF5611}"/>
    <cellStyle name="Normal 4 3 2 2 2 2 3 4" xfId="9390" xr:uid="{8AFE3910-D75B-4ED1-BA6E-79CEACAADB9D}"/>
    <cellStyle name="Normal 4 3 2 2 2 2 3 5" xfId="13601" xr:uid="{D94DF5E2-33C7-42AC-BA7E-643029A9AB14}"/>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20377" xr:uid="{174837A6-18BE-4349-B2A0-5D4DBAA06665}"/>
    <cellStyle name="Normal 4 3 2 2 2 2 4 2 3" xfId="11948" xr:uid="{6381602C-B1FF-4818-82DC-9687CC5C0DA5}"/>
    <cellStyle name="Normal 4 3 2 2 2 2 4 2 4" xfId="16159" xr:uid="{7CDB9579-99D0-4B87-B2D0-37EC9D8DC617}"/>
    <cellStyle name="Normal 4 3 2 2 2 2 4 3" xfId="5571" xr:uid="{00000000-0005-0000-0000-000027140000}"/>
    <cellStyle name="Normal 4 3 2 2 2 2 4 3 2" xfId="18232" xr:uid="{2E5BAE2F-4461-47B0-8A45-6F9D239E9294}"/>
    <cellStyle name="Normal 4 3 2 2 2 2 4 4" xfId="9803" xr:uid="{906E9CF4-D7C3-471A-9195-0792BE81A443}"/>
    <cellStyle name="Normal 4 3 2 2 2 2 4 5" xfId="14014" xr:uid="{338877A9-0354-4AA3-936C-A255A2DF64B4}"/>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20790" xr:uid="{D44BDCFB-CD07-4757-8F8D-82F41E17102D}"/>
    <cellStyle name="Normal 4 3 2 2 2 2 5 2 3" xfId="12361" xr:uid="{67D8C8D4-CEBD-496B-BCFD-645B368245B7}"/>
    <cellStyle name="Normal 4 3 2 2 2 2 5 2 4" xfId="16572" xr:uid="{9D95D9F6-1423-4E97-BD85-E91802B66210}"/>
    <cellStyle name="Normal 4 3 2 2 2 2 5 3" xfId="5984" xr:uid="{00000000-0005-0000-0000-00002B140000}"/>
    <cellStyle name="Normal 4 3 2 2 2 2 5 3 2" xfId="18645" xr:uid="{CA71F733-0A4E-4E7C-BDD0-CACAEAA9D658}"/>
    <cellStyle name="Normal 4 3 2 2 2 2 5 4" xfId="10216" xr:uid="{E756C01D-6FBF-45E3-B84A-C2B2573C0AAA}"/>
    <cellStyle name="Normal 4 3 2 2 2 2 5 5" xfId="14427" xr:uid="{3FF2BBF9-D9B8-4324-B792-0616CD94951F}"/>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21203" xr:uid="{AFFBFD3D-8E54-4084-88FA-862A115147BC}"/>
    <cellStyle name="Normal 4 3 2 2 2 2 6 2 3" xfId="12774" xr:uid="{ADDF267D-BFDB-4FD1-AE79-7C9FBE27E888}"/>
    <cellStyle name="Normal 4 3 2 2 2 2 6 2 4" xfId="16985" xr:uid="{1F7378E5-4809-4F38-9C87-5909A60EB3AA}"/>
    <cellStyle name="Normal 4 3 2 2 2 2 6 3" xfId="6397" xr:uid="{00000000-0005-0000-0000-00002F140000}"/>
    <cellStyle name="Normal 4 3 2 2 2 2 6 3 2" xfId="19058" xr:uid="{84F34C29-472C-4F9E-B851-843A239F4E63}"/>
    <cellStyle name="Normal 4 3 2 2 2 2 6 4" xfId="10629" xr:uid="{4BBADF66-6AA7-4A31-8A09-B8E47A2D7582}"/>
    <cellStyle name="Normal 4 3 2 2 2 2 6 5" xfId="14840" xr:uid="{77F906EF-D26A-4B31-AE0F-EC1FDBDA500A}"/>
    <cellStyle name="Normal 4 3 2 2 2 2 7" xfId="2527" xr:uid="{00000000-0005-0000-0000-000030140000}"/>
    <cellStyle name="Normal 4 3 2 2 2 2 7 2" xfId="6810" xr:uid="{00000000-0005-0000-0000-000031140000}"/>
    <cellStyle name="Normal 4 3 2 2 2 2 7 2 2" xfId="19471" xr:uid="{87BD35D1-1F4C-4E22-8F48-4EC17B3122EC}"/>
    <cellStyle name="Normal 4 3 2 2 2 2 7 3" xfId="11042" xr:uid="{7A2BF76D-92BA-4DC9-B179-B74D723152E7}"/>
    <cellStyle name="Normal 4 3 2 2 2 2 7 4" xfId="15253" xr:uid="{5254E1FB-E93F-4DFD-B859-4D76BA4B413F}"/>
    <cellStyle name="Normal 4 3 2 2 2 2 8" xfId="4745" xr:uid="{00000000-0005-0000-0000-000032140000}"/>
    <cellStyle name="Normal 4 3 2 2 2 2 8 2" xfId="17406" xr:uid="{5F6EC020-E44B-40E3-A74D-454BD20F4AFA}"/>
    <cellStyle name="Normal 4 3 2 2 2 2 9" xfId="8977" xr:uid="{537BD8DC-1780-4996-B085-20AEBD082B45}"/>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9966" xr:uid="{99A8BB04-FDD5-4DA7-89D0-E6148C917354}"/>
    <cellStyle name="Normal 4 3 2 2 2 3 2 2 3" xfId="11537" xr:uid="{B682A946-A6F1-4206-8058-68EE6D283E19}"/>
    <cellStyle name="Normal 4 3 2 2 2 3 2 2 4" xfId="15748" xr:uid="{4C425D8E-F646-4829-9CB9-8DB58637838D}"/>
    <cellStyle name="Normal 4 3 2 2 2 3 2 3" xfId="5160" xr:uid="{00000000-0005-0000-0000-000037140000}"/>
    <cellStyle name="Normal 4 3 2 2 2 3 2 3 2" xfId="17821" xr:uid="{DF55795C-A87F-474E-8E20-C6894A472311}"/>
    <cellStyle name="Normal 4 3 2 2 2 3 2 4" xfId="9392" xr:uid="{DB261997-ACF8-4343-8B9C-A820038035AE}"/>
    <cellStyle name="Normal 4 3 2 2 2 3 2 5" xfId="13603" xr:uid="{80D41D7E-FF7E-4119-AA06-072CDA3CEB41}"/>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20379" xr:uid="{411465B0-4D29-4436-A6CC-D1A84B91819A}"/>
    <cellStyle name="Normal 4 3 2 2 2 3 3 2 3" xfId="11950" xr:uid="{625273DA-AC98-42B9-91F1-868EDD38F0F3}"/>
    <cellStyle name="Normal 4 3 2 2 2 3 3 2 4" xfId="16161" xr:uid="{EB8861BA-9A70-4453-A148-FD2B85B35E72}"/>
    <cellStyle name="Normal 4 3 2 2 2 3 3 3" xfId="5573" xr:uid="{00000000-0005-0000-0000-00003B140000}"/>
    <cellStyle name="Normal 4 3 2 2 2 3 3 3 2" xfId="18234" xr:uid="{1E60F5D3-2A46-4DB3-B2C9-67E9F4AB47E8}"/>
    <cellStyle name="Normal 4 3 2 2 2 3 3 4" xfId="9805" xr:uid="{A1818E7F-121C-4EA5-8D07-FC4C00C35ED7}"/>
    <cellStyle name="Normal 4 3 2 2 2 3 3 5" xfId="14016" xr:uid="{56ECDB0A-D987-41E6-AF80-59DF5081182B}"/>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20792" xr:uid="{B141AEA6-3826-4A59-9B45-BE4559C28476}"/>
    <cellStyle name="Normal 4 3 2 2 2 3 4 2 3" xfId="12363" xr:uid="{95D123A3-4CE7-494E-AE45-98A6428D8CF9}"/>
    <cellStyle name="Normal 4 3 2 2 2 3 4 2 4" xfId="16574" xr:uid="{5B704DA8-3C27-467E-80C9-19DAED234B0F}"/>
    <cellStyle name="Normal 4 3 2 2 2 3 4 3" xfId="5986" xr:uid="{00000000-0005-0000-0000-00003F140000}"/>
    <cellStyle name="Normal 4 3 2 2 2 3 4 3 2" xfId="18647" xr:uid="{ED83DBD3-C391-46D0-BD0B-74A396CB8E5B}"/>
    <cellStyle name="Normal 4 3 2 2 2 3 4 4" xfId="10218" xr:uid="{B9223355-9635-44C2-8928-937F0B5263BE}"/>
    <cellStyle name="Normal 4 3 2 2 2 3 4 5" xfId="14429" xr:uid="{C31FCF97-A96B-4A93-9B4A-924C7776C8CE}"/>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21205" xr:uid="{29BF58D3-3070-4299-B8C1-61FF6640E374}"/>
    <cellStyle name="Normal 4 3 2 2 2 3 5 2 3" xfId="12776" xr:uid="{32251EBF-669B-4E74-84AA-BCFCE58D4DDA}"/>
    <cellStyle name="Normal 4 3 2 2 2 3 5 2 4" xfId="16987" xr:uid="{0C941C8E-A3DB-4D1B-8FD4-3D157A78A363}"/>
    <cellStyle name="Normal 4 3 2 2 2 3 5 3" xfId="6399" xr:uid="{00000000-0005-0000-0000-000043140000}"/>
    <cellStyle name="Normal 4 3 2 2 2 3 5 3 2" xfId="19060" xr:uid="{056919FD-EB27-496E-B177-3CB5857206B1}"/>
    <cellStyle name="Normal 4 3 2 2 2 3 5 4" xfId="10631" xr:uid="{8DB1F2A1-AFFE-489A-AC0D-B635C048216F}"/>
    <cellStyle name="Normal 4 3 2 2 2 3 5 5" xfId="14842" xr:uid="{70B063AB-E1A9-4942-9FD3-F4D2ED0DE198}"/>
    <cellStyle name="Normal 4 3 2 2 2 3 6" xfId="2529" xr:uid="{00000000-0005-0000-0000-000044140000}"/>
    <cellStyle name="Normal 4 3 2 2 2 3 6 2" xfId="6812" xr:uid="{00000000-0005-0000-0000-000045140000}"/>
    <cellStyle name="Normal 4 3 2 2 2 3 6 2 2" xfId="19473" xr:uid="{4B71F4B3-C5C3-4A11-B9D5-3D020FD10A58}"/>
    <cellStyle name="Normal 4 3 2 2 2 3 6 3" xfId="11044" xr:uid="{DBF6743C-9C56-42F8-A0E7-9400A053DC29}"/>
    <cellStyle name="Normal 4 3 2 2 2 3 6 4" xfId="15255" xr:uid="{269577AB-5426-48F0-A2AD-C224C92B63AF}"/>
    <cellStyle name="Normal 4 3 2 2 2 3 7" xfId="4747" xr:uid="{00000000-0005-0000-0000-000046140000}"/>
    <cellStyle name="Normal 4 3 2 2 2 3 7 2" xfId="17408" xr:uid="{564F581F-53CE-4306-95C4-11D833B6569C}"/>
    <cellStyle name="Normal 4 3 2 2 2 3 8" xfId="8979" xr:uid="{B831C919-14A9-447F-969E-F4E6ADC4B4F5}"/>
    <cellStyle name="Normal 4 3 2 2 2 3 9" xfId="13190" xr:uid="{BB87E724-6708-4166-A6B0-691D956FA171}"/>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9963" xr:uid="{1926F670-1A06-4EBF-B24F-AC04CB0C6146}"/>
    <cellStyle name="Normal 4 3 2 2 2 4 2 3" xfId="11534" xr:uid="{29546F03-2480-4EA0-9138-5CFDEF7B802C}"/>
    <cellStyle name="Normal 4 3 2 2 2 4 2 4" xfId="15745" xr:uid="{C6ECDFCB-9A0C-4D91-BEEA-5F3A5A39573E}"/>
    <cellStyle name="Normal 4 3 2 2 2 4 3" xfId="5157" xr:uid="{00000000-0005-0000-0000-00004A140000}"/>
    <cellStyle name="Normal 4 3 2 2 2 4 3 2" xfId="17818" xr:uid="{A01F0859-AD78-47C5-A2EE-F5F3A547EF4A}"/>
    <cellStyle name="Normal 4 3 2 2 2 4 4" xfId="9389" xr:uid="{3ADBD2EE-A972-4F98-AA3D-7B8DCFECEC7A}"/>
    <cellStyle name="Normal 4 3 2 2 2 4 5" xfId="13600" xr:uid="{D85DCC5C-25E7-427C-80E9-349342FDDC74}"/>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20376" xr:uid="{86F5D5CA-00BC-499C-9390-A5A4C42006EA}"/>
    <cellStyle name="Normal 4 3 2 2 2 5 2 3" xfId="11947" xr:uid="{818F3F2D-C572-420E-A533-A50128F65E64}"/>
    <cellStyle name="Normal 4 3 2 2 2 5 2 4" xfId="16158" xr:uid="{29DE093F-0497-4BF9-831A-FD3A06D178D8}"/>
    <cellStyle name="Normal 4 3 2 2 2 5 3" xfId="5570" xr:uid="{00000000-0005-0000-0000-00004E140000}"/>
    <cellStyle name="Normal 4 3 2 2 2 5 3 2" xfId="18231" xr:uid="{22050F75-BFCE-4E91-A831-9F0E55866318}"/>
    <cellStyle name="Normal 4 3 2 2 2 5 4" xfId="9802" xr:uid="{349697EA-3A53-407E-8E9F-CA31FD1BC502}"/>
    <cellStyle name="Normal 4 3 2 2 2 5 5" xfId="14013" xr:uid="{7B08F314-0C23-4CA4-B5A7-C8E37E313EAC}"/>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20789" xr:uid="{8CBF93EC-B0CB-409D-9037-89E2495F724F}"/>
    <cellStyle name="Normal 4 3 2 2 2 6 2 3" xfId="12360" xr:uid="{13644D60-5EB2-4EA7-B1A7-366C7C155A05}"/>
    <cellStyle name="Normal 4 3 2 2 2 6 2 4" xfId="16571" xr:uid="{C6960BB3-49F0-4C52-AA39-5A4B30C9324F}"/>
    <cellStyle name="Normal 4 3 2 2 2 6 3" xfId="5983" xr:uid="{00000000-0005-0000-0000-000052140000}"/>
    <cellStyle name="Normal 4 3 2 2 2 6 3 2" xfId="18644" xr:uid="{1A2886EE-5E18-4564-8CE8-2795F43B656B}"/>
    <cellStyle name="Normal 4 3 2 2 2 6 4" xfId="10215" xr:uid="{7BC8D5F8-15AB-4C21-8D35-2FE1042325D6}"/>
    <cellStyle name="Normal 4 3 2 2 2 6 5" xfId="14426" xr:uid="{E3388591-924D-4B04-9937-D0F498F902C4}"/>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21202" xr:uid="{3D800FC8-F6E4-4538-843B-2EA4B957C6FE}"/>
    <cellStyle name="Normal 4 3 2 2 2 7 2 3" xfId="12773" xr:uid="{36D3D802-9491-4177-9528-82F9BDF06BD0}"/>
    <cellStyle name="Normal 4 3 2 2 2 7 2 4" xfId="16984" xr:uid="{49195813-8416-4443-A546-BC967C8C72B0}"/>
    <cellStyle name="Normal 4 3 2 2 2 7 3" xfId="6396" xr:uid="{00000000-0005-0000-0000-000056140000}"/>
    <cellStyle name="Normal 4 3 2 2 2 7 3 2" xfId="19057" xr:uid="{3B3803B3-EEEE-4FD4-B0A0-549C4B418889}"/>
    <cellStyle name="Normal 4 3 2 2 2 7 4" xfId="10628" xr:uid="{5C8F268C-5B7B-4B99-A2A1-5A07BFEF3207}"/>
    <cellStyle name="Normal 4 3 2 2 2 7 5" xfId="14839" xr:uid="{5DC2D5B3-AA05-464E-B904-72EF2FAA6C1F}"/>
    <cellStyle name="Normal 4 3 2 2 2 8" xfId="2526" xr:uid="{00000000-0005-0000-0000-000057140000}"/>
    <cellStyle name="Normal 4 3 2 2 2 8 2" xfId="6809" xr:uid="{00000000-0005-0000-0000-000058140000}"/>
    <cellStyle name="Normal 4 3 2 2 2 8 2 2" xfId="19470" xr:uid="{B932B1A1-AA01-4D2A-BF87-FDF9EFB9AEB2}"/>
    <cellStyle name="Normal 4 3 2 2 2 8 3" xfId="11041" xr:uid="{6536794A-E980-4F98-803D-262F49D6F093}"/>
    <cellStyle name="Normal 4 3 2 2 2 8 4" xfId="15252" xr:uid="{754E9F1F-0BAD-4EA8-8135-819ACCEE4283}"/>
    <cellStyle name="Normal 4 3 2 2 2 9" xfId="4744" xr:uid="{00000000-0005-0000-0000-000059140000}"/>
    <cellStyle name="Normal 4 3 2 2 2 9 2" xfId="17405" xr:uid="{EBD3157D-B471-4DFE-940E-4C429C7FB4BF}"/>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CCB1A510-5D42-4945-AC1D-027B5DB59D4E}"/>
    <cellStyle name="Normal 4 3 3 11" xfId="13191" xr:uid="{2A472D6B-DCEC-4D38-BC2B-2C4C0C99BE39}"/>
    <cellStyle name="Normal 4 3 3 2" xfId="375" xr:uid="{00000000-0005-0000-0000-00005E140000}"/>
    <cellStyle name="Normal 4 3 3 2 10" xfId="13192" xr:uid="{9DDCA0A7-4629-49D1-BB47-4DE3CE386132}"/>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9969" xr:uid="{2BE93ABA-F9EB-4E43-B5F6-7D976B0ED0B7}"/>
    <cellStyle name="Normal 4 3 3 2 2 2 2 3" xfId="11540" xr:uid="{091A9925-7A86-4ABB-81F4-3F2B04F00828}"/>
    <cellStyle name="Normal 4 3 3 2 2 2 2 4" xfId="15751" xr:uid="{D47F010A-C60E-4C74-AB2F-99F9B4885350}"/>
    <cellStyle name="Normal 4 3 3 2 2 2 3" xfId="5163" xr:uid="{00000000-0005-0000-0000-000063140000}"/>
    <cellStyle name="Normal 4 3 3 2 2 2 3 2" xfId="17824" xr:uid="{B4EA22D8-FCAC-4DB9-A3AB-05D5E8D268BC}"/>
    <cellStyle name="Normal 4 3 3 2 2 2 4" xfId="9395" xr:uid="{479AD158-D568-4DC6-84AA-BD1C3E6B1E91}"/>
    <cellStyle name="Normal 4 3 3 2 2 2 5" xfId="13606" xr:uid="{6C26C260-C31E-45EB-850F-4236612C7193}"/>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20382" xr:uid="{0F40D8F5-3FB0-4C71-A791-E57C95A6D1F4}"/>
    <cellStyle name="Normal 4 3 3 2 2 3 2 3" xfId="11953" xr:uid="{4433F89D-703E-473F-A93B-15609A2641C3}"/>
    <cellStyle name="Normal 4 3 3 2 2 3 2 4" xfId="16164" xr:uid="{77E9945B-85CA-4F02-960A-108D969B5BAD}"/>
    <cellStyle name="Normal 4 3 3 2 2 3 3" xfId="5576" xr:uid="{00000000-0005-0000-0000-000067140000}"/>
    <cellStyle name="Normal 4 3 3 2 2 3 3 2" xfId="18237" xr:uid="{C2C9D6D8-0E85-4A23-B7A9-AA01D4EC3425}"/>
    <cellStyle name="Normal 4 3 3 2 2 3 4" xfId="9808" xr:uid="{32AE441D-FDF5-4244-87DA-A58869ABE37A}"/>
    <cellStyle name="Normal 4 3 3 2 2 3 5" xfId="14019" xr:uid="{6807D26E-5996-4D4F-AC42-AB7FD878D15F}"/>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20795" xr:uid="{2CC068A4-2D41-476B-A7E9-2FB2AD32CAB9}"/>
    <cellStyle name="Normal 4 3 3 2 2 4 2 3" xfId="12366" xr:uid="{B71CE443-3BA2-4394-A29B-F422EA973E35}"/>
    <cellStyle name="Normal 4 3 3 2 2 4 2 4" xfId="16577" xr:uid="{4A3519FC-18A4-418C-B266-63A2E0C194E2}"/>
    <cellStyle name="Normal 4 3 3 2 2 4 3" xfId="5989" xr:uid="{00000000-0005-0000-0000-00006B140000}"/>
    <cellStyle name="Normal 4 3 3 2 2 4 3 2" xfId="18650" xr:uid="{B5906659-0C52-47E1-BFE3-A8600C028867}"/>
    <cellStyle name="Normal 4 3 3 2 2 4 4" xfId="10221" xr:uid="{EEF51C7C-AD63-4B35-BD67-7077CD68BB9F}"/>
    <cellStyle name="Normal 4 3 3 2 2 4 5" xfId="14432" xr:uid="{31D95CD6-1937-45F7-87A8-D6A459C57425}"/>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21208" xr:uid="{EA05AE73-25D3-4EFC-9637-72D08585E1D5}"/>
    <cellStyle name="Normal 4 3 3 2 2 5 2 3" xfId="12779" xr:uid="{B2C616F9-3AEB-40E5-92F1-FF55A8E4FE60}"/>
    <cellStyle name="Normal 4 3 3 2 2 5 2 4" xfId="16990" xr:uid="{32E60AA5-FC56-4A88-A36C-5D40F0D91741}"/>
    <cellStyle name="Normal 4 3 3 2 2 5 3" xfId="6402" xr:uid="{00000000-0005-0000-0000-00006F140000}"/>
    <cellStyle name="Normal 4 3 3 2 2 5 3 2" xfId="19063" xr:uid="{6D84A2E0-D3B1-47B0-8F05-097BA52D3C13}"/>
    <cellStyle name="Normal 4 3 3 2 2 5 4" xfId="10634" xr:uid="{9079F9B3-1B48-47CC-86AD-6369831F818B}"/>
    <cellStyle name="Normal 4 3 3 2 2 5 5" xfId="14845" xr:uid="{C7E012F0-F6C2-4FA2-ABA7-397657666B82}"/>
    <cellStyle name="Normal 4 3 3 2 2 6" xfId="2532" xr:uid="{00000000-0005-0000-0000-000070140000}"/>
    <cellStyle name="Normal 4 3 3 2 2 6 2" xfId="6815" xr:uid="{00000000-0005-0000-0000-000071140000}"/>
    <cellStyle name="Normal 4 3 3 2 2 6 2 2" xfId="19476" xr:uid="{A4A7E553-1CEB-4B56-B9F6-9B1933CB88DB}"/>
    <cellStyle name="Normal 4 3 3 2 2 6 3" xfId="11047" xr:uid="{E62939F4-DEC7-457A-B354-0C8467DFCDA4}"/>
    <cellStyle name="Normal 4 3 3 2 2 6 4" xfId="15258" xr:uid="{1A25F7BA-044C-43FA-B3AA-70F880446CAB}"/>
    <cellStyle name="Normal 4 3 3 2 2 7" xfId="4750" xr:uid="{00000000-0005-0000-0000-000072140000}"/>
    <cellStyle name="Normal 4 3 3 2 2 7 2" xfId="17411" xr:uid="{5473E0B9-69C6-4F32-A741-4AB451F74A68}"/>
    <cellStyle name="Normal 4 3 3 2 2 8" xfId="8982" xr:uid="{6EEE41CF-52D1-4989-B12F-A54B276B283A}"/>
    <cellStyle name="Normal 4 3 3 2 2 9" xfId="13193" xr:uid="{CF918DD4-91B7-4BEA-BEC2-C79FDFA9A34A}"/>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9968" xr:uid="{362F82C1-B737-4196-B1EC-726CB955E832}"/>
    <cellStyle name="Normal 4 3 3 2 3 2 3" xfId="11539" xr:uid="{12A59C58-FE14-445B-A169-8005ABBFA180}"/>
    <cellStyle name="Normal 4 3 3 2 3 2 4" xfId="15750" xr:uid="{B623CAD2-D318-4928-BA93-1D221A930890}"/>
    <cellStyle name="Normal 4 3 3 2 3 3" xfId="5162" xr:uid="{00000000-0005-0000-0000-000076140000}"/>
    <cellStyle name="Normal 4 3 3 2 3 3 2" xfId="17823" xr:uid="{70E0A606-F527-4A8B-A944-EDEB9F056879}"/>
    <cellStyle name="Normal 4 3 3 2 3 4" xfId="9394" xr:uid="{F7FF3B1F-238D-4966-B93C-9137D2BBA01F}"/>
    <cellStyle name="Normal 4 3 3 2 3 5" xfId="13605" xr:uid="{6FC1E6C0-285A-44FA-A943-7CA30FED7F07}"/>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20381" xr:uid="{84E6FC0A-B6ED-4993-9E00-FA55E0C07251}"/>
    <cellStyle name="Normal 4 3 3 2 4 2 3" xfId="11952" xr:uid="{E8726DD0-926F-49C0-A99D-063E403ACFC3}"/>
    <cellStyle name="Normal 4 3 3 2 4 2 4" xfId="16163" xr:uid="{E59827A8-FEE2-49D0-93DE-C11CF032ADE2}"/>
    <cellStyle name="Normal 4 3 3 2 4 3" xfId="5575" xr:uid="{00000000-0005-0000-0000-00007A140000}"/>
    <cellStyle name="Normal 4 3 3 2 4 3 2" xfId="18236" xr:uid="{2C730A88-9814-4965-A424-675424694C47}"/>
    <cellStyle name="Normal 4 3 3 2 4 4" xfId="9807" xr:uid="{77D6F5E6-7003-42D5-9EC6-B0201EA7A7F9}"/>
    <cellStyle name="Normal 4 3 3 2 4 5" xfId="14018" xr:uid="{EF5B3D39-CC64-4D47-8363-FCFE231804C3}"/>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20794" xr:uid="{8E8679F2-98D4-4660-96C6-1859A029F52D}"/>
    <cellStyle name="Normal 4 3 3 2 5 2 3" xfId="12365" xr:uid="{C69B3AD3-6874-471C-B1C6-9DBBA6EAE104}"/>
    <cellStyle name="Normal 4 3 3 2 5 2 4" xfId="16576" xr:uid="{37C89DFD-7132-47D9-AB7A-B93D3B6FA342}"/>
    <cellStyle name="Normal 4 3 3 2 5 3" xfId="5988" xr:uid="{00000000-0005-0000-0000-00007E140000}"/>
    <cellStyle name="Normal 4 3 3 2 5 3 2" xfId="18649" xr:uid="{EEA83392-2A7B-4FE5-A8B8-303EF1A577CE}"/>
    <cellStyle name="Normal 4 3 3 2 5 4" xfId="10220" xr:uid="{0619B4D4-4426-447E-8D9E-4DCA4EE0C021}"/>
    <cellStyle name="Normal 4 3 3 2 5 5" xfId="14431" xr:uid="{B2E60F3F-34C0-4657-9445-357C9D80FE9B}"/>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21207" xr:uid="{18C45C1C-101B-4FEF-A991-7F9BFB3FAEF5}"/>
    <cellStyle name="Normal 4 3 3 2 6 2 3" xfId="12778" xr:uid="{4AD7A4C3-3495-4DB2-B5C9-3377DA0DA0A5}"/>
    <cellStyle name="Normal 4 3 3 2 6 2 4" xfId="16989" xr:uid="{4541022C-6B7F-4714-B73B-DB047B4D34A7}"/>
    <cellStyle name="Normal 4 3 3 2 6 3" xfId="6401" xr:uid="{00000000-0005-0000-0000-000082140000}"/>
    <cellStyle name="Normal 4 3 3 2 6 3 2" xfId="19062" xr:uid="{974E7BEA-F4A7-43CB-B46C-CB559D33C7F2}"/>
    <cellStyle name="Normal 4 3 3 2 6 4" xfId="10633" xr:uid="{2F357AF0-DEC1-4606-83E2-3F9B1D9884A5}"/>
    <cellStyle name="Normal 4 3 3 2 6 5" xfId="14844" xr:uid="{AB1181DD-8033-427D-9A50-D6AEB4EC31B8}"/>
    <cellStyle name="Normal 4 3 3 2 7" xfId="2531" xr:uid="{00000000-0005-0000-0000-000083140000}"/>
    <cellStyle name="Normal 4 3 3 2 7 2" xfId="6814" xr:uid="{00000000-0005-0000-0000-000084140000}"/>
    <cellStyle name="Normal 4 3 3 2 7 2 2" xfId="19475" xr:uid="{E50A2EF3-D499-4B7D-822B-83438F31A92D}"/>
    <cellStyle name="Normal 4 3 3 2 7 3" xfId="11046" xr:uid="{7A5F50AE-9AE2-4F7C-B6FF-FC06425A1F6A}"/>
    <cellStyle name="Normal 4 3 3 2 7 4" xfId="15257" xr:uid="{D0B91B16-6442-4296-915A-6C628AC5F177}"/>
    <cellStyle name="Normal 4 3 3 2 8" xfId="4749" xr:uid="{00000000-0005-0000-0000-000085140000}"/>
    <cellStyle name="Normal 4 3 3 2 8 2" xfId="17410" xr:uid="{20FFAB02-2A7B-4F49-A15E-CB26E9D4D38A}"/>
    <cellStyle name="Normal 4 3 3 2 9" xfId="8981" xr:uid="{1CB88E4A-E3FF-4757-AE77-748864153A96}"/>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9970" xr:uid="{5598B3C0-CF9F-434C-B3D8-6E704A1712B7}"/>
    <cellStyle name="Normal 4 3 3 3 2 2 3" xfId="11541" xr:uid="{89F73279-70EE-43F2-A481-FA8C98D48A0C}"/>
    <cellStyle name="Normal 4 3 3 3 2 2 4" xfId="15752" xr:uid="{58D90273-AAC4-47D0-8D6F-4795E665B430}"/>
    <cellStyle name="Normal 4 3 3 3 2 3" xfId="5164" xr:uid="{00000000-0005-0000-0000-00008A140000}"/>
    <cellStyle name="Normal 4 3 3 3 2 3 2" xfId="17825" xr:uid="{53BCB26A-FABA-4999-AE79-A076771BA92B}"/>
    <cellStyle name="Normal 4 3 3 3 2 4" xfId="9396" xr:uid="{E221E98E-ACB7-4388-AD5C-F47E052FBF7D}"/>
    <cellStyle name="Normal 4 3 3 3 2 5" xfId="13607" xr:uid="{D069E577-60E3-4CEA-94C1-8B2D75A35175}"/>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20383" xr:uid="{78150150-536E-4DA9-9AAC-33328B7ED6BD}"/>
    <cellStyle name="Normal 4 3 3 3 3 2 3" xfId="11954" xr:uid="{1B501350-23FF-4874-AFA5-ACAA2316E8A1}"/>
    <cellStyle name="Normal 4 3 3 3 3 2 4" xfId="16165" xr:uid="{B5F18363-7FF8-485A-935A-656DB6EBB94D}"/>
    <cellStyle name="Normal 4 3 3 3 3 3" xfId="5577" xr:uid="{00000000-0005-0000-0000-00008E140000}"/>
    <cellStyle name="Normal 4 3 3 3 3 3 2" xfId="18238" xr:uid="{25278AB9-2837-45C1-8DB0-06BC1D7CFCC3}"/>
    <cellStyle name="Normal 4 3 3 3 3 4" xfId="9809" xr:uid="{5AE173BA-636F-40D3-9FBC-80462A3FA1C4}"/>
    <cellStyle name="Normal 4 3 3 3 3 5" xfId="14020" xr:uid="{14F77CA6-1237-449E-B24A-F40DF475F961}"/>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20796" xr:uid="{D06644F0-A068-4A81-B728-386EB324D1C6}"/>
    <cellStyle name="Normal 4 3 3 3 4 2 3" xfId="12367" xr:uid="{2A9BC5DD-84CB-4CEA-B884-4BB52C507245}"/>
    <cellStyle name="Normal 4 3 3 3 4 2 4" xfId="16578" xr:uid="{89100109-7DC5-49FF-A7C6-7C41B2E2E12B}"/>
    <cellStyle name="Normal 4 3 3 3 4 3" xfId="5990" xr:uid="{00000000-0005-0000-0000-000092140000}"/>
    <cellStyle name="Normal 4 3 3 3 4 3 2" xfId="18651" xr:uid="{28E8697F-16EB-4E52-8946-57268A4EDB60}"/>
    <cellStyle name="Normal 4 3 3 3 4 4" xfId="10222" xr:uid="{320EEE88-409F-4D6E-8801-8EEF3FDEEDA8}"/>
    <cellStyle name="Normal 4 3 3 3 4 5" xfId="14433" xr:uid="{62677A68-C7CF-4DCF-B6C6-9ADB0BF94169}"/>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21209" xr:uid="{C50886D5-5C0C-4287-B88E-0599D78C2BF8}"/>
    <cellStyle name="Normal 4 3 3 3 5 2 3" xfId="12780" xr:uid="{1C9BF5F2-6900-4144-A099-999DFFC90EC6}"/>
    <cellStyle name="Normal 4 3 3 3 5 2 4" xfId="16991" xr:uid="{80D4F55A-50D6-4A2E-BBF8-0FA19FAB7605}"/>
    <cellStyle name="Normal 4 3 3 3 5 3" xfId="6403" xr:uid="{00000000-0005-0000-0000-000096140000}"/>
    <cellStyle name="Normal 4 3 3 3 5 3 2" xfId="19064" xr:uid="{6537C598-97D5-4F91-BBEB-A350C4F61371}"/>
    <cellStyle name="Normal 4 3 3 3 5 4" xfId="10635" xr:uid="{A0B2976B-2BAD-4101-AE15-E24B01C416DC}"/>
    <cellStyle name="Normal 4 3 3 3 5 5" xfId="14846" xr:uid="{C7152A52-12B0-44FE-8A41-3D0BE06FA893}"/>
    <cellStyle name="Normal 4 3 3 3 6" xfId="2533" xr:uid="{00000000-0005-0000-0000-000097140000}"/>
    <cellStyle name="Normal 4 3 3 3 6 2" xfId="6816" xr:uid="{00000000-0005-0000-0000-000098140000}"/>
    <cellStyle name="Normal 4 3 3 3 6 2 2" xfId="19477" xr:uid="{FE951FB0-4C2B-441E-B2F2-6A321B37D38E}"/>
    <cellStyle name="Normal 4 3 3 3 6 3" xfId="11048" xr:uid="{8FE68804-48E3-470B-BDE2-C25A6FC22B16}"/>
    <cellStyle name="Normal 4 3 3 3 6 4" xfId="15259" xr:uid="{F9832DB6-B66E-450D-BDE1-0F65143DADAE}"/>
    <cellStyle name="Normal 4 3 3 3 7" xfId="4751" xr:uid="{00000000-0005-0000-0000-000099140000}"/>
    <cellStyle name="Normal 4 3 3 3 7 2" xfId="17412" xr:uid="{6247F953-19C7-4F32-9AEB-8FAC310861E2}"/>
    <cellStyle name="Normal 4 3 3 3 8" xfId="8983" xr:uid="{01942063-CE0E-4DBD-8708-90AFD44B499F}"/>
    <cellStyle name="Normal 4 3 3 3 9" xfId="13194" xr:uid="{8FB92496-B90F-43D6-84F9-610551B52FD5}"/>
    <cellStyle name="Normal 4 3 3 4" xfId="849" xr:uid="{00000000-0005-0000-0000-00009A140000}"/>
    <cellStyle name="Normal 4 3 3 4 2" xfId="3084" xr:uid="{00000000-0005-0000-0000-00009B140000}"/>
    <cellStyle name="Normal 4 3 3 4 2 2" xfId="7306" xr:uid="{00000000-0005-0000-0000-00009C140000}"/>
    <cellStyle name="Normal 4 3 3 4 2 2 2" xfId="19967" xr:uid="{1B6B228F-EE4A-4251-BAD1-2AD8A7C08A7A}"/>
    <cellStyle name="Normal 4 3 3 4 2 3" xfId="11538" xr:uid="{AA0A1776-5870-4428-A01F-38A07248A07B}"/>
    <cellStyle name="Normal 4 3 3 4 2 4" xfId="15749" xr:uid="{BE38CDFA-9B53-4099-896D-4003DC0A1625}"/>
    <cellStyle name="Normal 4 3 3 4 3" xfId="5161" xr:uid="{00000000-0005-0000-0000-00009D140000}"/>
    <cellStyle name="Normal 4 3 3 4 3 2" xfId="17822" xr:uid="{768D9CFF-1132-447D-A347-098A23A10A2B}"/>
    <cellStyle name="Normal 4 3 3 4 4" xfId="9393" xr:uid="{6328B577-E372-4756-98EB-0EA470DE6794}"/>
    <cellStyle name="Normal 4 3 3 4 5" xfId="13604" xr:uid="{5F51B839-88D9-4AEA-BBF1-9FFA8C79BF2F}"/>
    <cellStyle name="Normal 4 3 3 5" xfId="1267" xr:uid="{00000000-0005-0000-0000-00009E140000}"/>
    <cellStyle name="Normal 4 3 3 5 2" xfId="3497" xr:uid="{00000000-0005-0000-0000-00009F140000}"/>
    <cellStyle name="Normal 4 3 3 5 2 2" xfId="7719" xr:uid="{00000000-0005-0000-0000-0000A0140000}"/>
    <cellStyle name="Normal 4 3 3 5 2 2 2" xfId="20380" xr:uid="{94EAE58D-9B60-475D-BB9C-54FBF5B81885}"/>
    <cellStyle name="Normal 4 3 3 5 2 3" xfId="11951" xr:uid="{F52A8703-AF5A-4C4C-8D36-E08721F56D8B}"/>
    <cellStyle name="Normal 4 3 3 5 2 4" xfId="16162" xr:uid="{C5A820ED-C984-4C23-B167-510763AC2A9E}"/>
    <cellStyle name="Normal 4 3 3 5 3" xfId="5574" xr:uid="{00000000-0005-0000-0000-0000A1140000}"/>
    <cellStyle name="Normal 4 3 3 5 3 2" xfId="18235" xr:uid="{FDBD812A-FAF5-4800-BA2D-52F6E1D13285}"/>
    <cellStyle name="Normal 4 3 3 5 4" xfId="9806" xr:uid="{36F44A22-55B5-4273-80C2-5FD3344C562E}"/>
    <cellStyle name="Normal 4 3 3 5 5" xfId="14017" xr:uid="{51D15BE0-8C24-4D30-B8B4-AEB4EF74B1F5}"/>
    <cellStyle name="Normal 4 3 3 6" xfId="1680" xr:uid="{00000000-0005-0000-0000-0000A2140000}"/>
    <cellStyle name="Normal 4 3 3 6 2" xfId="3910" xr:uid="{00000000-0005-0000-0000-0000A3140000}"/>
    <cellStyle name="Normal 4 3 3 6 2 2" xfId="8132" xr:uid="{00000000-0005-0000-0000-0000A4140000}"/>
    <cellStyle name="Normal 4 3 3 6 2 2 2" xfId="20793" xr:uid="{B4381182-C8D3-4E90-9011-38BDA697C1C5}"/>
    <cellStyle name="Normal 4 3 3 6 2 3" xfId="12364" xr:uid="{DC8D71F8-A392-4DC4-90DF-AC0BA1FC483A}"/>
    <cellStyle name="Normal 4 3 3 6 2 4" xfId="16575" xr:uid="{834FD5FC-1FB7-4C47-B99F-3970D11586B6}"/>
    <cellStyle name="Normal 4 3 3 6 3" xfId="5987" xr:uid="{00000000-0005-0000-0000-0000A5140000}"/>
    <cellStyle name="Normal 4 3 3 6 3 2" xfId="18648" xr:uid="{EA6FDD0B-A612-4B49-96DB-F281B6793F58}"/>
    <cellStyle name="Normal 4 3 3 6 4" xfId="10219" xr:uid="{94C56B06-6C52-4EE4-8091-BFF53205094C}"/>
    <cellStyle name="Normal 4 3 3 6 5" xfId="14430" xr:uid="{D6D6A34B-AA29-41E6-9881-E6773A69C965}"/>
    <cellStyle name="Normal 4 3 3 7" xfId="2094" xr:uid="{00000000-0005-0000-0000-0000A6140000}"/>
    <cellStyle name="Normal 4 3 3 7 2" xfId="4323" xr:uid="{00000000-0005-0000-0000-0000A7140000}"/>
    <cellStyle name="Normal 4 3 3 7 2 2" xfId="8545" xr:uid="{00000000-0005-0000-0000-0000A8140000}"/>
    <cellStyle name="Normal 4 3 3 7 2 2 2" xfId="21206" xr:uid="{57AF2F35-E5B6-49E5-8908-7A6FABF38553}"/>
    <cellStyle name="Normal 4 3 3 7 2 3" xfId="12777" xr:uid="{5AC38A12-4339-4D60-AFA5-F6A7B58685FA}"/>
    <cellStyle name="Normal 4 3 3 7 2 4" xfId="16988" xr:uid="{A9F3D089-B782-4BF6-8856-4F9149A680C0}"/>
    <cellStyle name="Normal 4 3 3 7 3" xfId="6400" xr:uid="{00000000-0005-0000-0000-0000A9140000}"/>
    <cellStyle name="Normal 4 3 3 7 3 2" xfId="19061" xr:uid="{2414D670-D86E-4770-8C16-EB69D9B80485}"/>
    <cellStyle name="Normal 4 3 3 7 4" xfId="10632" xr:uid="{E1EB8D68-7EB7-47C2-A06E-C7B57D50B889}"/>
    <cellStyle name="Normal 4 3 3 7 5" xfId="14843" xr:uid="{1F3D6480-970D-4437-AE5F-3A4AD8D334A4}"/>
    <cellStyle name="Normal 4 3 3 8" xfId="2530" xr:uid="{00000000-0005-0000-0000-0000AA140000}"/>
    <cellStyle name="Normal 4 3 3 8 2" xfId="6813" xr:uid="{00000000-0005-0000-0000-0000AB140000}"/>
    <cellStyle name="Normal 4 3 3 8 2 2" xfId="19474" xr:uid="{0779264C-C33C-4639-8597-C1071E6B106E}"/>
    <cellStyle name="Normal 4 3 3 8 3" xfId="11045" xr:uid="{562C062A-1E04-49F4-A9A6-77C367CB7AD1}"/>
    <cellStyle name="Normal 4 3 3 8 4" xfId="15256" xr:uid="{ED7E5806-3223-40D7-A68D-E5796E6B8A8D}"/>
    <cellStyle name="Normal 4 3 3 9" xfId="4748" xr:uid="{00000000-0005-0000-0000-0000AC140000}"/>
    <cellStyle name="Normal 4 3 3 9 2" xfId="17409" xr:uid="{B037784B-A8E9-43F8-A2C1-6CC95832BC02}"/>
    <cellStyle name="Normal 4 3 4" xfId="842" xr:uid="{00000000-0005-0000-0000-0000AD140000}"/>
    <cellStyle name="Normal 4 3 4 2" xfId="3079" xr:uid="{00000000-0005-0000-0000-0000AE140000}"/>
    <cellStyle name="Normal 4 3 4 2 2" xfId="7301" xr:uid="{00000000-0005-0000-0000-0000AF140000}"/>
    <cellStyle name="Normal 4 3 4 2 2 2" xfId="19962" xr:uid="{6ABF31A9-59E9-4993-9B14-F755BE3D36CA}"/>
    <cellStyle name="Normal 4 3 4 2 3" xfId="11533" xr:uid="{7376DFFA-7000-4D0E-899D-C60F13690074}"/>
    <cellStyle name="Normal 4 3 4 2 4" xfId="15744" xr:uid="{3CB47472-4623-4110-9663-25AD366CD0BB}"/>
    <cellStyle name="Normal 4 3 4 3" xfId="5156" xr:uid="{00000000-0005-0000-0000-0000B0140000}"/>
    <cellStyle name="Normal 4 3 4 3 2" xfId="17817" xr:uid="{5355E065-7F3D-4C51-8CF9-81C2F646675D}"/>
    <cellStyle name="Normal 4 3 4 4" xfId="9388" xr:uid="{3850FB3F-538B-4AC9-AB6A-838C5A05B379}"/>
    <cellStyle name="Normal 4 3 4 5" xfId="13599" xr:uid="{E0D88663-13D8-4C82-8565-077E5DADFC11}"/>
    <cellStyle name="Normal 4 3 5" xfId="1262" xr:uid="{00000000-0005-0000-0000-0000B1140000}"/>
    <cellStyle name="Normal 4 3 5 2" xfId="3492" xr:uid="{00000000-0005-0000-0000-0000B2140000}"/>
    <cellStyle name="Normal 4 3 5 2 2" xfId="7714" xr:uid="{00000000-0005-0000-0000-0000B3140000}"/>
    <cellStyle name="Normal 4 3 5 2 2 2" xfId="20375" xr:uid="{04DEBAB0-3714-4888-962E-1019362C0916}"/>
    <cellStyle name="Normal 4 3 5 2 3" xfId="11946" xr:uid="{0658166B-1E13-4B39-86AC-704586825CE3}"/>
    <cellStyle name="Normal 4 3 5 2 4" xfId="16157" xr:uid="{81C55736-380C-4497-9878-0201F67C57BB}"/>
    <cellStyle name="Normal 4 3 5 3" xfId="5569" xr:uid="{00000000-0005-0000-0000-0000B4140000}"/>
    <cellStyle name="Normal 4 3 5 3 2" xfId="18230" xr:uid="{C2DCE7A5-23DC-459B-A4CE-632244B6C6F3}"/>
    <cellStyle name="Normal 4 3 5 4" xfId="9801" xr:uid="{E5B64B5A-7BB1-4E1C-8817-7AE52029BA90}"/>
    <cellStyle name="Normal 4 3 5 5" xfId="14012" xr:uid="{7849DD75-C93A-4CF7-BE46-14855C9CF37E}"/>
    <cellStyle name="Normal 4 3 6" xfId="1675" xr:uid="{00000000-0005-0000-0000-0000B5140000}"/>
    <cellStyle name="Normal 4 3 6 2" xfId="3905" xr:uid="{00000000-0005-0000-0000-0000B6140000}"/>
    <cellStyle name="Normal 4 3 6 2 2" xfId="8127" xr:uid="{00000000-0005-0000-0000-0000B7140000}"/>
    <cellStyle name="Normal 4 3 6 2 2 2" xfId="20788" xr:uid="{D781DF47-F257-4D31-AC2C-8370F13D7766}"/>
    <cellStyle name="Normal 4 3 6 2 3" xfId="12359" xr:uid="{51353EDE-8BC3-49BB-B1C6-A21B618D7FF5}"/>
    <cellStyle name="Normal 4 3 6 2 4" xfId="16570" xr:uid="{50C8D343-2D79-4E81-947A-BDEB3993E274}"/>
    <cellStyle name="Normal 4 3 6 3" xfId="5982" xr:uid="{00000000-0005-0000-0000-0000B8140000}"/>
    <cellStyle name="Normal 4 3 6 3 2" xfId="18643" xr:uid="{3A116F6C-F1F1-4650-8F14-DD66543E459A}"/>
    <cellStyle name="Normal 4 3 6 4" xfId="10214" xr:uid="{42BFC5D1-D077-46E8-8DB1-2F7833D7D8C6}"/>
    <cellStyle name="Normal 4 3 6 5" xfId="14425" xr:uid="{97B12A2B-5054-4B46-8C40-CA250BDBA7B2}"/>
    <cellStyle name="Normal 4 3 7" xfId="2089" xr:uid="{00000000-0005-0000-0000-0000B9140000}"/>
    <cellStyle name="Normal 4 3 7 2" xfId="4318" xr:uid="{00000000-0005-0000-0000-0000BA140000}"/>
    <cellStyle name="Normal 4 3 7 2 2" xfId="8540" xr:uid="{00000000-0005-0000-0000-0000BB140000}"/>
    <cellStyle name="Normal 4 3 7 2 2 2" xfId="21201" xr:uid="{8EC9BB33-F5B6-46E2-B70A-3281C7041BBF}"/>
    <cellStyle name="Normal 4 3 7 2 3" xfId="12772" xr:uid="{142608E3-4A40-4DB1-B65E-DBD60065A13C}"/>
    <cellStyle name="Normal 4 3 7 2 4" xfId="16983" xr:uid="{3888B0B5-F5C4-4E45-8AB2-DDFB5FC7EDCB}"/>
    <cellStyle name="Normal 4 3 7 3" xfId="6395" xr:uid="{00000000-0005-0000-0000-0000BC140000}"/>
    <cellStyle name="Normal 4 3 7 3 2" xfId="19056" xr:uid="{C422DABA-EC3F-46DA-B2F8-90A51AAA3E6C}"/>
    <cellStyle name="Normal 4 3 7 4" xfId="10627" xr:uid="{AACDB9AA-8A98-4098-9F30-711CBAF0502B}"/>
    <cellStyle name="Normal 4 3 7 5" xfId="14838" xr:uid="{CADE1096-F5FD-44D1-A17C-86828A52257A}"/>
    <cellStyle name="Normal 4 3 8" xfId="2525" xr:uid="{00000000-0005-0000-0000-0000BD140000}"/>
    <cellStyle name="Normal 4 3 8 2" xfId="6808" xr:uid="{00000000-0005-0000-0000-0000BE140000}"/>
    <cellStyle name="Normal 4 3 8 2 2" xfId="19469" xr:uid="{A9AC35B1-327A-42BF-9B1D-3D5E30FD500E}"/>
    <cellStyle name="Normal 4 3 8 3" xfId="11040" xr:uid="{6FD339B7-10AF-45A9-BD9D-96D9ABB84048}"/>
    <cellStyle name="Normal 4 3 8 4" xfId="15251" xr:uid="{552909B9-20D0-4B33-BAB4-B2F461946582}"/>
    <cellStyle name="Normal 4 3 9" xfId="4743" xr:uid="{00000000-0005-0000-0000-0000BF140000}"/>
    <cellStyle name="Normal 4 3 9 2" xfId="17404" xr:uid="{B54D0E97-C7D7-442C-99E1-A9606509E7CC}"/>
    <cellStyle name="Normal 4 4" xfId="378" xr:uid="{00000000-0005-0000-0000-0000C0140000}"/>
    <cellStyle name="Normal 4 4 10" xfId="2534" xr:uid="{00000000-0005-0000-0000-0000C1140000}"/>
    <cellStyle name="Normal 4 4 10 2" xfId="6817" xr:uid="{00000000-0005-0000-0000-0000C2140000}"/>
    <cellStyle name="Normal 4 4 10 2 2" xfId="19478" xr:uid="{7979B0E6-8958-4ED1-A3AE-1B98BC7B47DB}"/>
    <cellStyle name="Normal 4 4 10 3" xfId="11049" xr:uid="{ACF303FA-3677-49AC-B180-928A7042246F}"/>
    <cellStyle name="Normal 4 4 10 4" xfId="15260" xr:uid="{A9AE34EC-D0EC-4ADA-AAC6-EBC9B9B1EF43}"/>
    <cellStyle name="Normal 4 4 11" xfId="4752" xr:uid="{00000000-0005-0000-0000-0000C3140000}"/>
    <cellStyle name="Normal 4 4 11 2" xfId="17413" xr:uid="{F0D0E628-0805-4615-80A7-EF8AD1D431FF}"/>
    <cellStyle name="Normal 4 4 12" xfId="8984" xr:uid="{8EC02182-4301-485C-AD6B-365C03072764}"/>
    <cellStyle name="Normal 4 4 13" xfId="13195" xr:uid="{C9D1985F-3F71-46A9-9525-D55BDB97A68B}"/>
    <cellStyle name="Normal 4 4 2" xfId="379" xr:uid="{00000000-0005-0000-0000-0000C4140000}"/>
    <cellStyle name="Normal 4 4 2 10" xfId="4753" xr:uid="{00000000-0005-0000-0000-0000C5140000}"/>
    <cellStyle name="Normal 4 4 2 10 2" xfId="17414" xr:uid="{FDD69C12-2178-43B1-931B-B3804FB272ED}"/>
    <cellStyle name="Normal 4 4 2 11" xfId="8985" xr:uid="{6C1C9E37-8A37-4D65-BB41-DABB5BEF8316}"/>
    <cellStyle name="Normal 4 4 2 12" xfId="13196" xr:uid="{B40B4F98-2D17-4328-A8F2-CB3B3C57A358}"/>
    <cellStyle name="Normal 4 4 2 2" xfId="380" xr:uid="{00000000-0005-0000-0000-0000C6140000}"/>
    <cellStyle name="Normal 4 4 2 2 10" xfId="8986" xr:uid="{9A5914E3-B08C-4EB8-B69C-FD5F242FC970}"/>
    <cellStyle name="Normal 4 4 2 2 11" xfId="13197" xr:uid="{7E4731BA-13CA-4D97-A6EA-97CB3F762EE4}"/>
    <cellStyle name="Normal 4 4 2 2 2" xfId="381" xr:uid="{00000000-0005-0000-0000-0000C7140000}"/>
    <cellStyle name="Normal 4 4 2 2 2 10" xfId="13198" xr:uid="{D2C88673-D4BC-4861-AB37-8B79C2D93425}"/>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9975" xr:uid="{12977CD1-BAAA-4225-B848-3DB8F536F177}"/>
    <cellStyle name="Normal 4 4 2 2 2 2 2 2 3" xfId="11546" xr:uid="{1E544941-97F9-4795-93A1-DE1B48D788CA}"/>
    <cellStyle name="Normal 4 4 2 2 2 2 2 2 4" xfId="15757" xr:uid="{720C5380-7BC7-49A5-ADD6-C3503CC6F961}"/>
    <cellStyle name="Normal 4 4 2 2 2 2 2 3" xfId="5169" xr:uid="{00000000-0005-0000-0000-0000CC140000}"/>
    <cellStyle name="Normal 4 4 2 2 2 2 2 3 2" xfId="17830" xr:uid="{9296559E-ADBB-437C-A11E-AD014038C234}"/>
    <cellStyle name="Normal 4 4 2 2 2 2 2 4" xfId="9401" xr:uid="{D0490E13-1F45-478D-83E7-F7DD0B66D513}"/>
    <cellStyle name="Normal 4 4 2 2 2 2 2 5" xfId="13612" xr:uid="{2A24EB95-5BD7-4789-BB10-13B1760FD15D}"/>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20388" xr:uid="{CD72EF62-4EE4-4080-BC14-EA3CBAA1809E}"/>
    <cellStyle name="Normal 4 4 2 2 2 2 3 2 3" xfId="11959" xr:uid="{3BFD728A-79B1-4A0B-8D4A-8B7B4E88820C}"/>
    <cellStyle name="Normal 4 4 2 2 2 2 3 2 4" xfId="16170" xr:uid="{E74C9BBF-2518-4A12-AFBA-1CA147ED5283}"/>
    <cellStyle name="Normal 4 4 2 2 2 2 3 3" xfId="5582" xr:uid="{00000000-0005-0000-0000-0000D0140000}"/>
    <cellStyle name="Normal 4 4 2 2 2 2 3 3 2" xfId="18243" xr:uid="{F602F27E-C899-4995-BAE3-92EB73756B3F}"/>
    <cellStyle name="Normal 4 4 2 2 2 2 3 4" xfId="9814" xr:uid="{6E4435B5-05F7-4101-8C82-778522A7198C}"/>
    <cellStyle name="Normal 4 4 2 2 2 2 3 5" xfId="14025" xr:uid="{FD3382B1-2D14-422C-8566-63B2ECF65959}"/>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20801" xr:uid="{D67A1179-D788-4208-8F70-94AEA8B2D7C0}"/>
    <cellStyle name="Normal 4 4 2 2 2 2 4 2 3" xfId="12372" xr:uid="{5DBF0BB3-4C33-4592-B145-9357FA506A62}"/>
    <cellStyle name="Normal 4 4 2 2 2 2 4 2 4" xfId="16583" xr:uid="{7CDD1734-6179-4B1B-B806-F2018D2BCFD2}"/>
    <cellStyle name="Normal 4 4 2 2 2 2 4 3" xfId="5995" xr:uid="{00000000-0005-0000-0000-0000D4140000}"/>
    <cellStyle name="Normal 4 4 2 2 2 2 4 3 2" xfId="18656" xr:uid="{CA3C7F41-6902-43FA-8DCB-E31BEE512217}"/>
    <cellStyle name="Normal 4 4 2 2 2 2 4 4" xfId="10227" xr:uid="{7CBCC093-882B-4542-A03D-06FBD46B29A8}"/>
    <cellStyle name="Normal 4 4 2 2 2 2 4 5" xfId="14438" xr:uid="{C34AE68C-30A2-45FA-9368-38E1EFA997BF}"/>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21214" xr:uid="{78915222-0EF8-492F-8D61-2AEC5BCF44BB}"/>
    <cellStyle name="Normal 4 4 2 2 2 2 5 2 3" xfId="12785" xr:uid="{4A5EEBBC-26AE-4C74-BA53-4287CB411D66}"/>
    <cellStyle name="Normal 4 4 2 2 2 2 5 2 4" xfId="16996" xr:uid="{703B63D2-DD45-4A24-A744-AFF720B9128C}"/>
    <cellStyle name="Normal 4 4 2 2 2 2 5 3" xfId="6408" xr:uid="{00000000-0005-0000-0000-0000D8140000}"/>
    <cellStyle name="Normal 4 4 2 2 2 2 5 3 2" xfId="19069" xr:uid="{0703CEB9-1AEC-4B8F-8835-9C4413959791}"/>
    <cellStyle name="Normal 4 4 2 2 2 2 5 4" xfId="10640" xr:uid="{8558AEA4-D176-43A1-9935-0EDCED98FEC0}"/>
    <cellStyle name="Normal 4 4 2 2 2 2 5 5" xfId="14851" xr:uid="{5D336270-39A0-4E58-86D5-2FD0C12FD759}"/>
    <cellStyle name="Normal 4 4 2 2 2 2 6" xfId="2538" xr:uid="{00000000-0005-0000-0000-0000D9140000}"/>
    <cellStyle name="Normal 4 4 2 2 2 2 6 2" xfId="6821" xr:uid="{00000000-0005-0000-0000-0000DA140000}"/>
    <cellStyle name="Normal 4 4 2 2 2 2 6 2 2" xfId="19482" xr:uid="{E7643A40-89B5-4A49-873F-F0A69C0FEA2A}"/>
    <cellStyle name="Normal 4 4 2 2 2 2 6 3" xfId="11053" xr:uid="{4C5C6354-F50B-4646-8CB3-2462DA46A211}"/>
    <cellStyle name="Normal 4 4 2 2 2 2 6 4" xfId="15264" xr:uid="{7F7966EA-B673-4689-A30F-634245DA0E39}"/>
    <cellStyle name="Normal 4 4 2 2 2 2 7" xfId="4756" xr:uid="{00000000-0005-0000-0000-0000DB140000}"/>
    <cellStyle name="Normal 4 4 2 2 2 2 7 2" xfId="17417" xr:uid="{63097607-2632-4444-A9C3-1AAD94BA1EB3}"/>
    <cellStyle name="Normal 4 4 2 2 2 2 8" xfId="8988" xr:uid="{68DAC82A-EBAC-483D-946D-08DB3F706476}"/>
    <cellStyle name="Normal 4 4 2 2 2 2 9" xfId="13199" xr:uid="{83A1018C-F003-49A6-931A-79F1E593514B}"/>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9974" xr:uid="{D3AA59C1-0045-40A1-8E4F-0043392A5944}"/>
    <cellStyle name="Normal 4 4 2 2 2 3 2 3" xfId="11545" xr:uid="{820C6403-E2CE-417A-8896-5CA190738908}"/>
    <cellStyle name="Normal 4 4 2 2 2 3 2 4" xfId="15756" xr:uid="{C95C2E80-D14D-4166-A8B5-25A26C9D4ED2}"/>
    <cellStyle name="Normal 4 4 2 2 2 3 3" xfId="5168" xr:uid="{00000000-0005-0000-0000-0000DF140000}"/>
    <cellStyle name="Normal 4 4 2 2 2 3 3 2" xfId="17829" xr:uid="{589164D8-A9B5-4BE1-A109-659E2101931A}"/>
    <cellStyle name="Normal 4 4 2 2 2 3 4" xfId="9400" xr:uid="{AC75608E-F77F-40D1-BEB8-6B8C272EFE37}"/>
    <cellStyle name="Normal 4 4 2 2 2 3 5" xfId="13611" xr:uid="{AEFA7E37-F25E-4341-8548-F0DE397B2D42}"/>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20387" xr:uid="{6CFD2BF1-D0A9-4409-B99A-924D8CB947E6}"/>
    <cellStyle name="Normal 4 4 2 2 2 4 2 3" xfId="11958" xr:uid="{A11F4F2F-298A-4141-A605-C27CDB7D8E1D}"/>
    <cellStyle name="Normal 4 4 2 2 2 4 2 4" xfId="16169" xr:uid="{7A1E50C4-229C-4A31-9425-F1D465BA6FEC}"/>
    <cellStyle name="Normal 4 4 2 2 2 4 3" xfId="5581" xr:uid="{00000000-0005-0000-0000-0000E3140000}"/>
    <cellStyle name="Normal 4 4 2 2 2 4 3 2" xfId="18242" xr:uid="{8FED4054-B652-4D44-9917-21DC16A4289E}"/>
    <cellStyle name="Normal 4 4 2 2 2 4 4" xfId="9813" xr:uid="{C62C5476-9525-4C52-B627-3638BC12096F}"/>
    <cellStyle name="Normal 4 4 2 2 2 4 5" xfId="14024" xr:uid="{968915C8-3E1D-4A8C-9AF5-29833AF45836}"/>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20800" xr:uid="{EB1D6E03-6EC6-4B92-A7A7-A91CFB2B9029}"/>
    <cellStyle name="Normal 4 4 2 2 2 5 2 3" xfId="12371" xr:uid="{6CE2B522-C351-442A-ACA7-099C0088B750}"/>
    <cellStyle name="Normal 4 4 2 2 2 5 2 4" xfId="16582" xr:uid="{6FEB5A81-0AA6-450D-BE71-C08E6341610B}"/>
    <cellStyle name="Normal 4 4 2 2 2 5 3" xfId="5994" xr:uid="{00000000-0005-0000-0000-0000E7140000}"/>
    <cellStyle name="Normal 4 4 2 2 2 5 3 2" xfId="18655" xr:uid="{E7455B02-A941-4823-AF9E-AF46A1F1CFD7}"/>
    <cellStyle name="Normal 4 4 2 2 2 5 4" xfId="10226" xr:uid="{AC6E833B-ED76-41F3-97C2-4B6D45C0809B}"/>
    <cellStyle name="Normal 4 4 2 2 2 5 5" xfId="14437" xr:uid="{7DE10120-D6A5-4AA7-AA9E-024EFEC2774C}"/>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21213" xr:uid="{2E6D39FC-9C0D-4CBE-8AD4-CCCC1EE144C6}"/>
    <cellStyle name="Normal 4 4 2 2 2 6 2 3" xfId="12784" xr:uid="{875E7FD9-D042-4305-9FD4-673558CE04C5}"/>
    <cellStyle name="Normal 4 4 2 2 2 6 2 4" xfId="16995" xr:uid="{4A611B06-C511-48B6-B1BA-9927C1D2492C}"/>
    <cellStyle name="Normal 4 4 2 2 2 6 3" xfId="6407" xr:uid="{00000000-0005-0000-0000-0000EB140000}"/>
    <cellStyle name="Normal 4 4 2 2 2 6 3 2" xfId="19068" xr:uid="{EA4BD0A8-CDD5-4936-BFE0-21E328EBBD3D}"/>
    <cellStyle name="Normal 4 4 2 2 2 6 4" xfId="10639" xr:uid="{E83C5C7C-3CC5-4967-873A-74172C1B7086}"/>
    <cellStyle name="Normal 4 4 2 2 2 6 5" xfId="14850" xr:uid="{AABC3BCA-BD69-4691-A7BF-A3B095285028}"/>
    <cellStyle name="Normal 4 4 2 2 2 7" xfId="2537" xr:uid="{00000000-0005-0000-0000-0000EC140000}"/>
    <cellStyle name="Normal 4 4 2 2 2 7 2" xfId="6820" xr:uid="{00000000-0005-0000-0000-0000ED140000}"/>
    <cellStyle name="Normal 4 4 2 2 2 7 2 2" xfId="19481" xr:uid="{5CE0AF73-40DD-4F3A-981E-3E2384D9847D}"/>
    <cellStyle name="Normal 4 4 2 2 2 7 3" xfId="11052" xr:uid="{64C7B09D-E4CA-47DE-A87D-70B23C88DEEF}"/>
    <cellStyle name="Normal 4 4 2 2 2 7 4" xfId="15263" xr:uid="{92058E7F-FBF1-464C-BF99-9D4DC3E8A8EB}"/>
    <cellStyle name="Normal 4 4 2 2 2 8" xfId="4755" xr:uid="{00000000-0005-0000-0000-0000EE140000}"/>
    <cellStyle name="Normal 4 4 2 2 2 8 2" xfId="17416" xr:uid="{E41E7829-4898-4D4E-AFE9-D55C2C6D41EE}"/>
    <cellStyle name="Normal 4 4 2 2 2 9" xfId="8987" xr:uid="{B7C7826D-1218-4581-8304-7A455A657562}"/>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9976" xr:uid="{E86A9C62-775B-4A6B-8A1C-564F9C25B10A}"/>
    <cellStyle name="Normal 4 4 2 2 3 2 2 3" xfId="11547" xr:uid="{3735417F-5233-4557-BC02-1D148971C6BD}"/>
    <cellStyle name="Normal 4 4 2 2 3 2 2 4" xfId="15758" xr:uid="{4AB91AD3-1C2F-45DA-ACF6-6604A08D8AC6}"/>
    <cellStyle name="Normal 4 4 2 2 3 2 3" xfId="5170" xr:uid="{00000000-0005-0000-0000-0000F3140000}"/>
    <cellStyle name="Normal 4 4 2 2 3 2 3 2" xfId="17831" xr:uid="{47C9EF57-157B-4354-8D0A-9E39A055A6FA}"/>
    <cellStyle name="Normal 4 4 2 2 3 2 4" xfId="9402" xr:uid="{E824E2E4-9F21-4B48-97B1-EF35937A911C}"/>
    <cellStyle name="Normal 4 4 2 2 3 2 5" xfId="13613" xr:uid="{156579BA-8982-4BFF-9C8E-61675BE3254C}"/>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20389" xr:uid="{5FCB3F00-8A7F-450B-94A8-7962DA367C62}"/>
    <cellStyle name="Normal 4 4 2 2 3 3 2 3" xfId="11960" xr:uid="{D4F90567-7846-48DC-AFE4-1A694E947431}"/>
    <cellStyle name="Normal 4 4 2 2 3 3 2 4" xfId="16171" xr:uid="{F72A58FD-B4B6-41C1-A5DB-3402FC3DE3F3}"/>
    <cellStyle name="Normal 4 4 2 2 3 3 3" xfId="5583" xr:uid="{00000000-0005-0000-0000-0000F7140000}"/>
    <cellStyle name="Normal 4 4 2 2 3 3 3 2" xfId="18244" xr:uid="{C2EA8E04-D705-4171-A58B-15237F49C687}"/>
    <cellStyle name="Normal 4 4 2 2 3 3 4" xfId="9815" xr:uid="{F029C66C-605E-439A-9774-3E23C1C4FCBC}"/>
    <cellStyle name="Normal 4 4 2 2 3 3 5" xfId="14026" xr:uid="{0C924ED3-3C76-4978-ACBF-E469A4CF1E5F}"/>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20802" xr:uid="{3B67155D-4071-40C4-B291-2AAAF8221C5D}"/>
    <cellStyle name="Normal 4 4 2 2 3 4 2 3" xfId="12373" xr:uid="{27BBA7EE-CAC4-4C5E-A0FF-DF8776CA1DD3}"/>
    <cellStyle name="Normal 4 4 2 2 3 4 2 4" xfId="16584" xr:uid="{B53CE43B-4BEC-4EFD-9BD1-842836C99356}"/>
    <cellStyle name="Normal 4 4 2 2 3 4 3" xfId="5996" xr:uid="{00000000-0005-0000-0000-0000FB140000}"/>
    <cellStyle name="Normal 4 4 2 2 3 4 3 2" xfId="18657" xr:uid="{714A311D-C820-4566-BC2F-2AE3EEB9FA99}"/>
    <cellStyle name="Normal 4 4 2 2 3 4 4" xfId="10228" xr:uid="{B7679BE4-BB99-4B2F-97FE-DDE5B2DAAC9C}"/>
    <cellStyle name="Normal 4 4 2 2 3 4 5" xfId="14439" xr:uid="{CD6B15A0-E623-47E8-8AFF-A67038A4C48D}"/>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21215" xr:uid="{21F8E9CC-31C1-4353-BF3F-C51E87281298}"/>
    <cellStyle name="Normal 4 4 2 2 3 5 2 3" xfId="12786" xr:uid="{C51407A4-A8FE-42FB-8C49-9537075DDCA2}"/>
    <cellStyle name="Normal 4 4 2 2 3 5 2 4" xfId="16997" xr:uid="{F41D15B0-F4C0-4443-BD78-51D1921D12CF}"/>
    <cellStyle name="Normal 4 4 2 2 3 5 3" xfId="6409" xr:uid="{00000000-0005-0000-0000-0000FF140000}"/>
    <cellStyle name="Normal 4 4 2 2 3 5 3 2" xfId="19070" xr:uid="{ABC542E2-C9E5-4D11-9EAF-DCA79F778FC6}"/>
    <cellStyle name="Normal 4 4 2 2 3 5 4" xfId="10641" xr:uid="{757B85E0-A876-488A-98F5-7120987B5A21}"/>
    <cellStyle name="Normal 4 4 2 2 3 5 5" xfId="14852" xr:uid="{7689048C-E863-47D0-A1AB-F1DB8E8C08E7}"/>
    <cellStyle name="Normal 4 4 2 2 3 6" xfId="2539" xr:uid="{00000000-0005-0000-0000-000000150000}"/>
    <cellStyle name="Normal 4 4 2 2 3 6 2" xfId="6822" xr:uid="{00000000-0005-0000-0000-000001150000}"/>
    <cellStyle name="Normal 4 4 2 2 3 6 2 2" xfId="19483" xr:uid="{207EED5A-6766-40EA-A572-4D4030BE1B18}"/>
    <cellStyle name="Normal 4 4 2 2 3 6 3" xfId="11054" xr:uid="{79C6F346-576F-4E17-8935-8AFB9478F498}"/>
    <cellStyle name="Normal 4 4 2 2 3 6 4" xfId="15265" xr:uid="{50F489A8-71F5-45D8-8F13-F7B15C3C5146}"/>
    <cellStyle name="Normal 4 4 2 2 3 7" xfId="4757" xr:uid="{00000000-0005-0000-0000-000002150000}"/>
    <cellStyle name="Normal 4 4 2 2 3 7 2" xfId="17418" xr:uid="{33EFCE1C-DD3C-4FB7-B5EA-351535B7916F}"/>
    <cellStyle name="Normal 4 4 2 2 3 8" xfId="8989" xr:uid="{FA996139-83B4-42EA-865F-7F4E3EE3B7A2}"/>
    <cellStyle name="Normal 4 4 2 2 3 9" xfId="13200" xr:uid="{5A8F4888-F1D5-441A-B70F-261641F3D0F4}"/>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9973" xr:uid="{F045625B-8451-4D79-98E8-FA48602EE316}"/>
    <cellStyle name="Normal 4 4 2 2 4 2 3" xfId="11544" xr:uid="{F871C069-D5B6-41A6-A8BF-679118AAECB2}"/>
    <cellStyle name="Normal 4 4 2 2 4 2 4" xfId="15755" xr:uid="{D67C7DAB-C9A7-45C3-A09C-28D52CA0603F}"/>
    <cellStyle name="Normal 4 4 2 2 4 3" xfId="5167" xr:uid="{00000000-0005-0000-0000-000006150000}"/>
    <cellStyle name="Normal 4 4 2 2 4 3 2" xfId="17828" xr:uid="{F791C778-4E93-4100-9C62-79E91C670573}"/>
    <cellStyle name="Normal 4 4 2 2 4 4" xfId="9399" xr:uid="{3F943503-1FB5-4E38-BD07-9731ACF21B1D}"/>
    <cellStyle name="Normal 4 4 2 2 4 5" xfId="13610" xr:uid="{7EC69E23-CA0B-428E-A706-6E03722B9EA7}"/>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20386" xr:uid="{E869EF60-07C7-4DA5-8C07-5A446D730A0B}"/>
    <cellStyle name="Normal 4 4 2 2 5 2 3" xfId="11957" xr:uid="{64B68B23-5BF9-48F4-BC07-DF47EF2E3DD9}"/>
    <cellStyle name="Normal 4 4 2 2 5 2 4" xfId="16168" xr:uid="{B0C927B8-D1D5-4027-AD3D-74D79DEA5BB1}"/>
    <cellStyle name="Normal 4 4 2 2 5 3" xfId="5580" xr:uid="{00000000-0005-0000-0000-00000A150000}"/>
    <cellStyle name="Normal 4 4 2 2 5 3 2" xfId="18241" xr:uid="{52B9CF80-2749-44EA-BD18-3B559DB8B037}"/>
    <cellStyle name="Normal 4 4 2 2 5 4" xfId="9812" xr:uid="{6FBD9795-4484-41B7-A4F7-8F0680DD8CB0}"/>
    <cellStyle name="Normal 4 4 2 2 5 5" xfId="14023" xr:uid="{D3538147-593F-40DB-A2FD-4A61BD76C9E3}"/>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20799" xr:uid="{F446804B-29FD-46BE-A4DA-76D45F0F79D7}"/>
    <cellStyle name="Normal 4 4 2 2 6 2 3" xfId="12370" xr:uid="{A3F6BF3D-9918-409B-980A-1EDF3B6A8D90}"/>
    <cellStyle name="Normal 4 4 2 2 6 2 4" xfId="16581" xr:uid="{2EA1E884-C79B-4E8D-9250-30EB8FAA22F5}"/>
    <cellStyle name="Normal 4 4 2 2 6 3" xfId="5993" xr:uid="{00000000-0005-0000-0000-00000E150000}"/>
    <cellStyle name="Normal 4 4 2 2 6 3 2" xfId="18654" xr:uid="{07F6B6EA-47CA-4A6E-9F3D-9D1E124ADE55}"/>
    <cellStyle name="Normal 4 4 2 2 6 4" xfId="10225" xr:uid="{6256B626-7CEA-4328-863D-467BA1813382}"/>
    <cellStyle name="Normal 4 4 2 2 6 5" xfId="14436" xr:uid="{8126E674-1F7C-4F8B-AE70-28B623820E78}"/>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21212" xr:uid="{2BD549D9-0178-44EB-A6AD-922EC0C909E8}"/>
    <cellStyle name="Normal 4 4 2 2 7 2 3" xfId="12783" xr:uid="{02E9F526-E30C-45E6-A745-6F658F81A216}"/>
    <cellStyle name="Normal 4 4 2 2 7 2 4" xfId="16994" xr:uid="{4A7C03E3-4E0E-401C-8EFA-0EAF2DB005A5}"/>
    <cellStyle name="Normal 4 4 2 2 7 3" xfId="6406" xr:uid="{00000000-0005-0000-0000-000012150000}"/>
    <cellStyle name="Normal 4 4 2 2 7 3 2" xfId="19067" xr:uid="{5B401B24-DD73-44B7-836E-AA8E7C080E5C}"/>
    <cellStyle name="Normal 4 4 2 2 7 4" xfId="10638" xr:uid="{AC80106B-E1AC-473D-81A3-DCA2837781DE}"/>
    <cellStyle name="Normal 4 4 2 2 7 5" xfId="14849" xr:uid="{4E24FA37-E880-44E9-A9AF-F18C9350788C}"/>
    <cellStyle name="Normal 4 4 2 2 8" xfId="2536" xr:uid="{00000000-0005-0000-0000-000013150000}"/>
    <cellStyle name="Normal 4 4 2 2 8 2" xfId="6819" xr:uid="{00000000-0005-0000-0000-000014150000}"/>
    <cellStyle name="Normal 4 4 2 2 8 2 2" xfId="19480" xr:uid="{453099C4-BA02-458C-8B8B-20AB3A12305F}"/>
    <cellStyle name="Normal 4 4 2 2 8 3" xfId="11051" xr:uid="{C1609E7A-1D17-4FC0-9792-0670B67BEC4F}"/>
    <cellStyle name="Normal 4 4 2 2 8 4" xfId="15262" xr:uid="{6846FCE9-85A0-4702-8FD9-0367D00AF5C9}"/>
    <cellStyle name="Normal 4 4 2 2 9" xfId="4754" xr:uid="{00000000-0005-0000-0000-000015150000}"/>
    <cellStyle name="Normal 4 4 2 2 9 2" xfId="17415" xr:uid="{51750A0C-20B0-442C-BCDF-3DCB37045518}"/>
    <cellStyle name="Normal 4 4 2 3" xfId="384" xr:uid="{00000000-0005-0000-0000-000016150000}"/>
    <cellStyle name="Normal 4 4 2 3 10" xfId="13201" xr:uid="{8E109995-23DD-401E-9387-47EB35D18F7A}"/>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9978" xr:uid="{EE91C2A7-DE1B-474D-8CC1-67AACEAB84C5}"/>
    <cellStyle name="Normal 4 4 2 3 2 2 2 3" xfId="11549" xr:uid="{4A47A22C-72A4-4333-B666-B09051B9CB3B}"/>
    <cellStyle name="Normal 4 4 2 3 2 2 2 4" xfId="15760" xr:uid="{A1E4004A-72C9-432A-BFD0-80AEC88AE923}"/>
    <cellStyle name="Normal 4 4 2 3 2 2 3" xfId="5172" xr:uid="{00000000-0005-0000-0000-00001B150000}"/>
    <cellStyle name="Normal 4 4 2 3 2 2 3 2" xfId="17833" xr:uid="{A995514F-5A4D-403C-A0CB-3B86FBB1E2C2}"/>
    <cellStyle name="Normal 4 4 2 3 2 2 4" xfId="9404" xr:uid="{CA36E1BA-29C5-4204-AF8D-4DCE7729F0B9}"/>
    <cellStyle name="Normal 4 4 2 3 2 2 5" xfId="13615" xr:uid="{D17FECE3-08A0-4D43-849D-CD0E2B096291}"/>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20391" xr:uid="{BE8F1604-9093-4495-9CD1-B7451221852C}"/>
    <cellStyle name="Normal 4 4 2 3 2 3 2 3" xfId="11962" xr:uid="{532D70FE-B9DE-45F7-B7CB-78D1656CBDB2}"/>
    <cellStyle name="Normal 4 4 2 3 2 3 2 4" xfId="16173" xr:uid="{FA8E01A8-072F-47FC-B260-E1546DD30A56}"/>
    <cellStyle name="Normal 4 4 2 3 2 3 3" xfId="5585" xr:uid="{00000000-0005-0000-0000-00001F150000}"/>
    <cellStyle name="Normal 4 4 2 3 2 3 3 2" xfId="18246" xr:uid="{12D33FF2-89AB-418C-A60A-5A0E67EA924C}"/>
    <cellStyle name="Normal 4 4 2 3 2 3 4" xfId="9817" xr:uid="{1BBA4F36-BAB6-4431-B796-AEEC877B1C37}"/>
    <cellStyle name="Normal 4 4 2 3 2 3 5" xfId="14028" xr:uid="{9D10BCC3-1FB3-4852-BF1A-252378716995}"/>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20804" xr:uid="{C229E1C9-EAB8-4DBA-A46A-5592B5B45C6C}"/>
    <cellStyle name="Normal 4 4 2 3 2 4 2 3" xfId="12375" xr:uid="{979812DB-3824-4EE5-8435-BDE3B8D373B5}"/>
    <cellStyle name="Normal 4 4 2 3 2 4 2 4" xfId="16586" xr:uid="{186E148C-74EE-4D9D-8697-5BDA53935640}"/>
    <cellStyle name="Normal 4 4 2 3 2 4 3" xfId="5998" xr:uid="{00000000-0005-0000-0000-000023150000}"/>
    <cellStyle name="Normal 4 4 2 3 2 4 3 2" xfId="18659" xr:uid="{C9A78C85-0B1A-4F9C-B2F0-28F3BC0984BD}"/>
    <cellStyle name="Normal 4 4 2 3 2 4 4" xfId="10230" xr:uid="{FB894E1D-EEC9-4F49-9A88-99CBE3F65855}"/>
    <cellStyle name="Normal 4 4 2 3 2 4 5" xfId="14441" xr:uid="{B07F8803-8187-452D-8E22-6382DD5053DE}"/>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21217" xr:uid="{EDA29D26-3323-4FC4-92B6-589BA3924DD4}"/>
    <cellStyle name="Normal 4 4 2 3 2 5 2 3" xfId="12788" xr:uid="{3DB8503B-75EF-4011-AA65-736710C3E5B6}"/>
    <cellStyle name="Normal 4 4 2 3 2 5 2 4" xfId="16999" xr:uid="{590FE37F-6FD3-4CC7-B591-92B983DCEF91}"/>
    <cellStyle name="Normal 4 4 2 3 2 5 3" xfId="6411" xr:uid="{00000000-0005-0000-0000-000027150000}"/>
    <cellStyle name="Normal 4 4 2 3 2 5 3 2" xfId="19072" xr:uid="{13144342-0413-4811-A122-B1448C7D687B}"/>
    <cellStyle name="Normal 4 4 2 3 2 5 4" xfId="10643" xr:uid="{598EF4D1-F72B-48D6-AEC3-9A6DB38BC518}"/>
    <cellStyle name="Normal 4 4 2 3 2 5 5" xfId="14854" xr:uid="{A71EDC7A-53C0-421B-8BB8-1955622357A9}"/>
    <cellStyle name="Normal 4 4 2 3 2 6" xfId="2541" xr:uid="{00000000-0005-0000-0000-000028150000}"/>
    <cellStyle name="Normal 4 4 2 3 2 6 2" xfId="6824" xr:uid="{00000000-0005-0000-0000-000029150000}"/>
    <cellStyle name="Normal 4 4 2 3 2 6 2 2" xfId="19485" xr:uid="{AB4B7619-CCBE-41D4-995B-C897A470A0E0}"/>
    <cellStyle name="Normal 4 4 2 3 2 6 3" xfId="11056" xr:uid="{E41278CE-C707-4CAB-B5B6-AAE88FB93C3E}"/>
    <cellStyle name="Normal 4 4 2 3 2 6 4" xfId="15267" xr:uid="{0A44793E-2C0C-46F8-89BB-C940DD283AA6}"/>
    <cellStyle name="Normal 4 4 2 3 2 7" xfId="4759" xr:uid="{00000000-0005-0000-0000-00002A150000}"/>
    <cellStyle name="Normal 4 4 2 3 2 7 2" xfId="17420" xr:uid="{378042F6-BC9F-4CC7-82F3-29BC61208EB4}"/>
    <cellStyle name="Normal 4 4 2 3 2 8" xfId="8991" xr:uid="{2DB2DB98-9722-48E2-BABA-2A5783977CE2}"/>
    <cellStyle name="Normal 4 4 2 3 2 9" xfId="13202" xr:uid="{527F4EE1-2006-4C17-A986-BC8CFB0518BD}"/>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9977" xr:uid="{89796A99-44DA-441E-86AE-10EE4A17B8EA}"/>
    <cellStyle name="Normal 4 4 2 3 3 2 3" xfId="11548" xr:uid="{509502D0-040D-45F6-A98F-120C3318B5F6}"/>
    <cellStyle name="Normal 4 4 2 3 3 2 4" xfId="15759" xr:uid="{5358AA6A-279C-40F3-86B1-B3FFD4B5AC30}"/>
    <cellStyle name="Normal 4 4 2 3 3 3" xfId="5171" xr:uid="{00000000-0005-0000-0000-00002E150000}"/>
    <cellStyle name="Normal 4 4 2 3 3 3 2" xfId="17832" xr:uid="{0116D441-EB8E-4039-AA49-F5D64AABC787}"/>
    <cellStyle name="Normal 4 4 2 3 3 4" xfId="9403" xr:uid="{E8763494-E8D4-47C1-BA8D-AEE780741C64}"/>
    <cellStyle name="Normal 4 4 2 3 3 5" xfId="13614" xr:uid="{BD6A820E-E466-4963-A652-E23DD939C7CF}"/>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20390" xr:uid="{4B12BE63-A359-4766-B495-345BA4151451}"/>
    <cellStyle name="Normal 4 4 2 3 4 2 3" xfId="11961" xr:uid="{87E9D16A-C1EF-487E-A9F3-2F5F1D85FCE2}"/>
    <cellStyle name="Normal 4 4 2 3 4 2 4" xfId="16172" xr:uid="{01170CC0-1E16-4A7C-B810-52382D0BB934}"/>
    <cellStyle name="Normal 4 4 2 3 4 3" xfId="5584" xr:uid="{00000000-0005-0000-0000-000032150000}"/>
    <cellStyle name="Normal 4 4 2 3 4 3 2" xfId="18245" xr:uid="{9EB4D6E3-E1B9-4910-B2ED-0648555C86EF}"/>
    <cellStyle name="Normal 4 4 2 3 4 4" xfId="9816" xr:uid="{BA944960-0776-4043-842E-F90A09762C6B}"/>
    <cellStyle name="Normal 4 4 2 3 4 5" xfId="14027" xr:uid="{3B00D08B-FAD0-49E6-AE99-139B2BF1AAAC}"/>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20803" xr:uid="{49C11089-1B08-4B7F-A6F6-F30458555E68}"/>
    <cellStyle name="Normal 4 4 2 3 5 2 3" xfId="12374" xr:uid="{047CB144-5E48-4C40-A864-64EDB4DDC8DB}"/>
    <cellStyle name="Normal 4 4 2 3 5 2 4" xfId="16585" xr:uid="{56B001D2-42FD-4E42-B847-7DE2E2030864}"/>
    <cellStyle name="Normal 4 4 2 3 5 3" xfId="5997" xr:uid="{00000000-0005-0000-0000-000036150000}"/>
    <cellStyle name="Normal 4 4 2 3 5 3 2" xfId="18658" xr:uid="{717A5FF4-5FD1-48C5-9268-A541D56B5FCA}"/>
    <cellStyle name="Normal 4 4 2 3 5 4" xfId="10229" xr:uid="{520498F2-FB56-47A7-B213-401CAFE75014}"/>
    <cellStyle name="Normal 4 4 2 3 5 5" xfId="14440" xr:uid="{0C6C21C2-42D2-43FC-8849-D9D8D73CEEE1}"/>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21216" xr:uid="{E7663EB1-86D9-4E63-A0E6-62542DFA4DCA}"/>
    <cellStyle name="Normal 4 4 2 3 6 2 3" xfId="12787" xr:uid="{41B7151F-31C7-453C-87FA-F7133568107E}"/>
    <cellStyle name="Normal 4 4 2 3 6 2 4" xfId="16998" xr:uid="{462672DA-26B5-4101-B661-8C404C19FC5C}"/>
    <cellStyle name="Normal 4 4 2 3 6 3" xfId="6410" xr:uid="{00000000-0005-0000-0000-00003A150000}"/>
    <cellStyle name="Normal 4 4 2 3 6 3 2" xfId="19071" xr:uid="{D6F4EF08-03BD-401B-A3E2-0514F850A871}"/>
    <cellStyle name="Normal 4 4 2 3 6 4" xfId="10642" xr:uid="{24F3FE0A-0757-4192-BABB-282DB6082E5C}"/>
    <cellStyle name="Normal 4 4 2 3 6 5" xfId="14853" xr:uid="{3A03AC31-B9E9-4177-A489-A9919C5F54CA}"/>
    <cellStyle name="Normal 4 4 2 3 7" xfId="2540" xr:uid="{00000000-0005-0000-0000-00003B150000}"/>
    <cellStyle name="Normal 4 4 2 3 7 2" xfId="6823" xr:uid="{00000000-0005-0000-0000-00003C150000}"/>
    <cellStyle name="Normal 4 4 2 3 7 2 2" xfId="19484" xr:uid="{4E1251E9-EE61-4B55-971E-06EAC259C9A0}"/>
    <cellStyle name="Normal 4 4 2 3 7 3" xfId="11055" xr:uid="{06951BC5-0867-4267-8698-69C0B455E0F8}"/>
    <cellStyle name="Normal 4 4 2 3 7 4" xfId="15266" xr:uid="{FB900132-609A-484E-98DD-AD1FF7609ED2}"/>
    <cellStyle name="Normal 4 4 2 3 8" xfId="4758" xr:uid="{00000000-0005-0000-0000-00003D150000}"/>
    <cellStyle name="Normal 4 4 2 3 8 2" xfId="17419" xr:uid="{73BAC1A8-D7C6-4BF7-8804-E1F7B93A2371}"/>
    <cellStyle name="Normal 4 4 2 3 9" xfId="8990" xr:uid="{62A43800-2DA4-4E4D-B1B9-F10B1CF35A8D}"/>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9979" xr:uid="{7F9FDEB2-322B-4DDD-99EB-30592CB2560D}"/>
    <cellStyle name="Normal 4 4 2 4 2 2 3" xfId="11550" xr:uid="{827C8D38-96DF-43A3-BD11-95D7E807677E}"/>
    <cellStyle name="Normal 4 4 2 4 2 2 4" xfId="15761" xr:uid="{26C200DC-C399-4F3A-8E96-E35BF1D76CB3}"/>
    <cellStyle name="Normal 4 4 2 4 2 3" xfId="5173" xr:uid="{00000000-0005-0000-0000-000042150000}"/>
    <cellStyle name="Normal 4 4 2 4 2 3 2" xfId="17834" xr:uid="{95E5F7A0-D11A-45D2-A767-56E2A3011595}"/>
    <cellStyle name="Normal 4 4 2 4 2 4" xfId="9405" xr:uid="{FC0923E7-CD18-4BC1-AC66-4ED33123A498}"/>
    <cellStyle name="Normal 4 4 2 4 2 5" xfId="13616" xr:uid="{02E48EE0-731E-4C31-92B0-1B5F8DC24381}"/>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20392" xr:uid="{135E10D3-27E0-4721-86B1-40A8C21E0C2B}"/>
    <cellStyle name="Normal 4 4 2 4 3 2 3" xfId="11963" xr:uid="{23718289-9711-47E8-B5B0-3D008E4E5DE0}"/>
    <cellStyle name="Normal 4 4 2 4 3 2 4" xfId="16174" xr:uid="{70B5D349-628F-41C3-A90D-99B5D0B71A5F}"/>
    <cellStyle name="Normal 4 4 2 4 3 3" xfId="5586" xr:uid="{00000000-0005-0000-0000-000046150000}"/>
    <cellStyle name="Normal 4 4 2 4 3 3 2" xfId="18247" xr:uid="{0A8811CF-BB7C-4602-BD1D-6D00FCDA766D}"/>
    <cellStyle name="Normal 4 4 2 4 3 4" xfId="9818" xr:uid="{D423E080-AEC3-41A9-943A-C5348E10A923}"/>
    <cellStyle name="Normal 4 4 2 4 3 5" xfId="14029" xr:uid="{362A4887-3C78-4BA9-8438-B1DEA7E04BD1}"/>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20805" xr:uid="{F830775F-83C3-4594-8231-ED4AD35E7AB6}"/>
    <cellStyle name="Normal 4 4 2 4 4 2 3" xfId="12376" xr:uid="{202184D0-8D6F-406A-B01C-DE30A1F29000}"/>
    <cellStyle name="Normal 4 4 2 4 4 2 4" xfId="16587" xr:uid="{F6B9F6C5-C30E-435A-9A90-9536F371257E}"/>
    <cellStyle name="Normal 4 4 2 4 4 3" xfId="5999" xr:uid="{00000000-0005-0000-0000-00004A150000}"/>
    <cellStyle name="Normal 4 4 2 4 4 3 2" xfId="18660" xr:uid="{E3FEA15F-485D-4246-80CE-90D985D942E3}"/>
    <cellStyle name="Normal 4 4 2 4 4 4" xfId="10231" xr:uid="{1FC37AD1-5BDD-4F81-8A15-C358CF386E7A}"/>
    <cellStyle name="Normal 4 4 2 4 4 5" xfId="14442" xr:uid="{23889A1D-8656-4810-952D-0B69AF1C1D80}"/>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21218" xr:uid="{FDF404D7-8EEF-4859-BD55-E51012216AD8}"/>
    <cellStyle name="Normal 4 4 2 4 5 2 3" xfId="12789" xr:uid="{2AEBCAB1-0717-4CB0-8799-0801E32D0546}"/>
    <cellStyle name="Normal 4 4 2 4 5 2 4" xfId="17000" xr:uid="{ED458F6D-F2C0-4291-9E5B-A2F8D9E548F9}"/>
    <cellStyle name="Normal 4 4 2 4 5 3" xfId="6412" xr:uid="{00000000-0005-0000-0000-00004E150000}"/>
    <cellStyle name="Normal 4 4 2 4 5 3 2" xfId="19073" xr:uid="{23680153-6F20-470D-A721-6BFE8A6F15E8}"/>
    <cellStyle name="Normal 4 4 2 4 5 4" xfId="10644" xr:uid="{7DE0A241-D826-43F5-91A4-3EC75509E86B}"/>
    <cellStyle name="Normal 4 4 2 4 5 5" xfId="14855" xr:uid="{CFA5362A-0527-4E7D-A946-71BE66CC1BEC}"/>
    <cellStyle name="Normal 4 4 2 4 6" xfId="2542" xr:uid="{00000000-0005-0000-0000-00004F150000}"/>
    <cellStyle name="Normal 4 4 2 4 6 2" xfId="6825" xr:uid="{00000000-0005-0000-0000-000050150000}"/>
    <cellStyle name="Normal 4 4 2 4 6 2 2" xfId="19486" xr:uid="{E76D2699-F920-47D7-A935-1AC0CA4338B3}"/>
    <cellStyle name="Normal 4 4 2 4 6 3" xfId="11057" xr:uid="{7784D633-3DE7-43F8-B00C-B9218EB675A1}"/>
    <cellStyle name="Normal 4 4 2 4 6 4" xfId="15268" xr:uid="{6DDFCE0A-90FE-4862-969F-C9D26D8D9C3A}"/>
    <cellStyle name="Normal 4 4 2 4 7" xfId="4760" xr:uid="{00000000-0005-0000-0000-000051150000}"/>
    <cellStyle name="Normal 4 4 2 4 7 2" xfId="17421" xr:uid="{6CC9FF5C-FE57-497C-8F90-EC1E067596EC}"/>
    <cellStyle name="Normal 4 4 2 4 8" xfId="8992" xr:uid="{C20DDD48-56AD-4384-A087-A1C3B00B6F8E}"/>
    <cellStyle name="Normal 4 4 2 4 9" xfId="13203" xr:uid="{3931FB03-0845-4D19-A4DF-0F036B1F0CE6}"/>
    <cellStyle name="Normal 4 4 2 5" xfId="854" xr:uid="{00000000-0005-0000-0000-000052150000}"/>
    <cellStyle name="Normal 4 4 2 5 2" xfId="3089" xr:uid="{00000000-0005-0000-0000-000053150000}"/>
    <cellStyle name="Normal 4 4 2 5 2 2" xfId="7311" xr:uid="{00000000-0005-0000-0000-000054150000}"/>
    <cellStyle name="Normal 4 4 2 5 2 2 2" xfId="19972" xr:uid="{9386198C-2C66-4269-8C36-C6ACB6DA471A}"/>
    <cellStyle name="Normal 4 4 2 5 2 3" xfId="11543" xr:uid="{53FC5C26-45EF-46FF-A892-3C7C9ABA0BF8}"/>
    <cellStyle name="Normal 4 4 2 5 2 4" xfId="15754" xr:uid="{2B0DA206-407C-4597-97C3-F758E5F2D65C}"/>
    <cellStyle name="Normal 4 4 2 5 3" xfId="5166" xr:uid="{00000000-0005-0000-0000-000055150000}"/>
    <cellStyle name="Normal 4 4 2 5 3 2" xfId="17827" xr:uid="{D441C177-FF95-4529-918B-CD3D78F84491}"/>
    <cellStyle name="Normal 4 4 2 5 4" xfId="9398" xr:uid="{8A5D485F-CDF6-498D-BDF5-4EEB0104B3F0}"/>
    <cellStyle name="Normal 4 4 2 5 5" xfId="13609" xr:uid="{7B8BA93F-D035-40EB-88C4-4B5AC09CE6D8}"/>
    <cellStyle name="Normal 4 4 2 6" xfId="1272" xr:uid="{00000000-0005-0000-0000-000056150000}"/>
    <cellStyle name="Normal 4 4 2 6 2" xfId="3502" xr:uid="{00000000-0005-0000-0000-000057150000}"/>
    <cellStyle name="Normal 4 4 2 6 2 2" xfId="7724" xr:uid="{00000000-0005-0000-0000-000058150000}"/>
    <cellStyle name="Normal 4 4 2 6 2 2 2" xfId="20385" xr:uid="{56DCC426-15C9-41BD-8CD4-396C3D6FC6BB}"/>
    <cellStyle name="Normal 4 4 2 6 2 3" xfId="11956" xr:uid="{C4ECAEFF-7289-4F16-890A-BFC9E0812C37}"/>
    <cellStyle name="Normal 4 4 2 6 2 4" xfId="16167" xr:uid="{E7EC2CAC-7EB7-4B8D-B0F0-C2BFB1BCB7B5}"/>
    <cellStyle name="Normal 4 4 2 6 3" xfId="5579" xr:uid="{00000000-0005-0000-0000-000059150000}"/>
    <cellStyle name="Normal 4 4 2 6 3 2" xfId="18240" xr:uid="{EC738713-F998-4314-9840-A25BB08E7E30}"/>
    <cellStyle name="Normal 4 4 2 6 4" xfId="9811" xr:uid="{CAD240D8-85B6-45DF-8CA0-80E330C0E03B}"/>
    <cellStyle name="Normal 4 4 2 6 5" xfId="14022" xr:uid="{8DBB6DC3-D3CD-4C4D-B06E-FB8538748460}"/>
    <cellStyle name="Normal 4 4 2 7" xfId="1685" xr:uid="{00000000-0005-0000-0000-00005A150000}"/>
    <cellStyle name="Normal 4 4 2 7 2" xfId="3915" xr:uid="{00000000-0005-0000-0000-00005B150000}"/>
    <cellStyle name="Normal 4 4 2 7 2 2" xfId="8137" xr:uid="{00000000-0005-0000-0000-00005C150000}"/>
    <cellStyle name="Normal 4 4 2 7 2 2 2" xfId="20798" xr:uid="{3091726D-9023-406F-9B78-C283811827DF}"/>
    <cellStyle name="Normal 4 4 2 7 2 3" xfId="12369" xr:uid="{E29335D3-2739-442F-A3F4-CC00354DDF98}"/>
    <cellStyle name="Normal 4 4 2 7 2 4" xfId="16580" xr:uid="{4C3E6C91-5AD1-4278-B438-524ABA48B9AF}"/>
    <cellStyle name="Normal 4 4 2 7 3" xfId="5992" xr:uid="{00000000-0005-0000-0000-00005D150000}"/>
    <cellStyle name="Normal 4 4 2 7 3 2" xfId="18653" xr:uid="{7F176A50-8B3B-47BB-9D11-577517531369}"/>
    <cellStyle name="Normal 4 4 2 7 4" xfId="10224" xr:uid="{A8F98B38-5B64-41C0-A079-7D7B56ADA161}"/>
    <cellStyle name="Normal 4 4 2 7 5" xfId="14435" xr:uid="{DDCCA0AF-04E7-4F83-BC7D-E36392D9DEC6}"/>
    <cellStyle name="Normal 4 4 2 8" xfId="2099" xr:uid="{00000000-0005-0000-0000-00005E150000}"/>
    <cellStyle name="Normal 4 4 2 8 2" xfId="4328" xr:uid="{00000000-0005-0000-0000-00005F150000}"/>
    <cellStyle name="Normal 4 4 2 8 2 2" xfId="8550" xr:uid="{00000000-0005-0000-0000-000060150000}"/>
    <cellStyle name="Normal 4 4 2 8 2 2 2" xfId="21211" xr:uid="{D37E1941-D8C8-4675-A1D7-75077725E3AA}"/>
    <cellStyle name="Normal 4 4 2 8 2 3" xfId="12782" xr:uid="{47658D58-025C-4B17-8FC5-65424655330B}"/>
    <cellStyle name="Normal 4 4 2 8 2 4" xfId="16993" xr:uid="{0921DE62-ED59-4973-8DD3-9B4F270FC129}"/>
    <cellStyle name="Normal 4 4 2 8 3" xfId="6405" xr:uid="{00000000-0005-0000-0000-000061150000}"/>
    <cellStyle name="Normal 4 4 2 8 3 2" xfId="19066" xr:uid="{B9A82591-B456-4C6A-9739-940E0C8ADD4C}"/>
    <cellStyle name="Normal 4 4 2 8 4" xfId="10637" xr:uid="{62B7FE06-7C94-45FB-B604-06BC8C105BFF}"/>
    <cellStyle name="Normal 4 4 2 8 5" xfId="14848" xr:uid="{CE0AB537-93A5-4627-B33A-3A84FC5BC79F}"/>
    <cellStyle name="Normal 4 4 2 9" xfId="2535" xr:uid="{00000000-0005-0000-0000-000062150000}"/>
    <cellStyle name="Normal 4 4 2 9 2" xfId="6818" xr:uid="{00000000-0005-0000-0000-000063150000}"/>
    <cellStyle name="Normal 4 4 2 9 2 2" xfId="19479" xr:uid="{CD3A5649-386D-4382-8EBF-1E21F3DA317D}"/>
    <cellStyle name="Normal 4 4 2 9 3" xfId="11050" xr:uid="{2C389983-D110-4EB5-85C5-AC39E82E2B41}"/>
    <cellStyle name="Normal 4 4 2 9 4" xfId="15261" xr:uid="{EB08F5A6-E156-4A62-8228-C68CAFFB6896}"/>
    <cellStyle name="Normal 4 4 3" xfId="387" xr:uid="{00000000-0005-0000-0000-000064150000}"/>
    <cellStyle name="Normal 4 4 3 10" xfId="8993" xr:uid="{26F8E0DD-0BA9-449C-87EE-FF8675A61D2D}"/>
    <cellStyle name="Normal 4 4 3 11" xfId="13204" xr:uid="{7B959091-0368-4385-8361-F10B410094D3}"/>
    <cellStyle name="Normal 4 4 3 2" xfId="388" xr:uid="{00000000-0005-0000-0000-000065150000}"/>
    <cellStyle name="Normal 4 4 3 2 10" xfId="13205" xr:uid="{1E1A9AD0-F142-4E02-956D-DE924673B1E4}"/>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9982" xr:uid="{AC8F0379-6112-4A99-9B00-D3A120618F89}"/>
    <cellStyle name="Normal 4 4 3 2 2 2 2 3" xfId="11553" xr:uid="{F79D0F4F-56E7-47BE-9233-F0F1A7E0E67D}"/>
    <cellStyle name="Normal 4 4 3 2 2 2 2 4" xfId="15764" xr:uid="{ABC5138D-88E1-4237-969E-F77482A5C218}"/>
    <cellStyle name="Normal 4 4 3 2 2 2 3" xfId="5176" xr:uid="{00000000-0005-0000-0000-00006A150000}"/>
    <cellStyle name="Normal 4 4 3 2 2 2 3 2" xfId="17837" xr:uid="{8194C0FD-0DCA-4B7D-8AFF-B4CD0B6983E3}"/>
    <cellStyle name="Normal 4 4 3 2 2 2 4" xfId="9408" xr:uid="{6A53C094-C0C7-4582-9C2F-5C50D0A2975C}"/>
    <cellStyle name="Normal 4 4 3 2 2 2 5" xfId="13619" xr:uid="{797202A9-2010-41BC-B71B-6CA49007AA5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20395" xr:uid="{4F641C87-63E6-45EE-BE79-959F965524E3}"/>
    <cellStyle name="Normal 4 4 3 2 2 3 2 3" xfId="11966" xr:uid="{902A0BD7-7536-473B-B859-A18ED919CA45}"/>
    <cellStyle name="Normal 4 4 3 2 2 3 2 4" xfId="16177" xr:uid="{5A8A46FE-1A1D-4AD5-839F-A2FAB40BD6F4}"/>
    <cellStyle name="Normal 4 4 3 2 2 3 3" xfId="5589" xr:uid="{00000000-0005-0000-0000-00006E150000}"/>
    <cellStyle name="Normal 4 4 3 2 2 3 3 2" xfId="18250" xr:uid="{DCBE3A19-B083-4DC7-8E17-134897BEF279}"/>
    <cellStyle name="Normal 4 4 3 2 2 3 4" xfId="9821" xr:uid="{1171C55A-8F2F-465E-A881-700F28891BD8}"/>
    <cellStyle name="Normal 4 4 3 2 2 3 5" xfId="14032" xr:uid="{6F476B48-0A8F-4A9E-B5F4-38D606F18F3F}"/>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20808" xr:uid="{C55EE724-374D-403D-994E-85970F41CC76}"/>
    <cellStyle name="Normal 4 4 3 2 2 4 2 3" xfId="12379" xr:uid="{59B67218-75AF-4127-8D75-A53DF8D8E9E1}"/>
    <cellStyle name="Normal 4 4 3 2 2 4 2 4" xfId="16590" xr:uid="{02F72EA4-492A-4A43-84DB-2013DF54FD9F}"/>
    <cellStyle name="Normal 4 4 3 2 2 4 3" xfId="6002" xr:uid="{00000000-0005-0000-0000-000072150000}"/>
    <cellStyle name="Normal 4 4 3 2 2 4 3 2" xfId="18663" xr:uid="{5E863B35-994E-49B0-B6B7-8AE58197A29F}"/>
    <cellStyle name="Normal 4 4 3 2 2 4 4" xfId="10234" xr:uid="{B69F9F10-CA91-4CE2-B1A1-1E39210513BA}"/>
    <cellStyle name="Normal 4 4 3 2 2 4 5" xfId="14445" xr:uid="{E861224E-C2F6-4410-9EC8-8D327C9DBC84}"/>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21221" xr:uid="{3A45C456-7447-4649-9FAA-979090051C5A}"/>
    <cellStyle name="Normal 4 4 3 2 2 5 2 3" xfId="12792" xr:uid="{C70C2F3B-2D93-49D5-B2F4-6B5599B7FB45}"/>
    <cellStyle name="Normal 4 4 3 2 2 5 2 4" xfId="17003" xr:uid="{1F9315C4-2982-4088-9E3A-FC8865A2AE13}"/>
    <cellStyle name="Normal 4 4 3 2 2 5 3" xfId="6415" xr:uid="{00000000-0005-0000-0000-000076150000}"/>
    <cellStyle name="Normal 4 4 3 2 2 5 3 2" xfId="19076" xr:uid="{676DB176-C852-4DC0-8985-679D128D2A39}"/>
    <cellStyle name="Normal 4 4 3 2 2 5 4" xfId="10647" xr:uid="{0A0DA5B2-B430-4DE2-9711-F6965D480535}"/>
    <cellStyle name="Normal 4 4 3 2 2 5 5" xfId="14858" xr:uid="{E8851BF2-3A9F-43C1-96FB-C7ABF527B9EB}"/>
    <cellStyle name="Normal 4 4 3 2 2 6" xfId="2545" xr:uid="{00000000-0005-0000-0000-000077150000}"/>
    <cellStyle name="Normal 4 4 3 2 2 6 2" xfId="6828" xr:uid="{00000000-0005-0000-0000-000078150000}"/>
    <cellStyle name="Normal 4 4 3 2 2 6 2 2" xfId="19489" xr:uid="{3AFBBBF1-F6EE-4112-9D3F-BB16C83B993F}"/>
    <cellStyle name="Normal 4 4 3 2 2 6 3" xfId="11060" xr:uid="{346D569F-D3B7-4C89-836B-CDAF8B706AC3}"/>
    <cellStyle name="Normal 4 4 3 2 2 6 4" xfId="15271" xr:uid="{DDF0C3CA-2F8A-458B-BB0C-D9DFC24638B9}"/>
    <cellStyle name="Normal 4 4 3 2 2 7" xfId="4763" xr:uid="{00000000-0005-0000-0000-000079150000}"/>
    <cellStyle name="Normal 4 4 3 2 2 7 2" xfId="17424" xr:uid="{4D9893E1-F9B5-4539-A676-71E5637E0B79}"/>
    <cellStyle name="Normal 4 4 3 2 2 8" xfId="8995" xr:uid="{04165440-7CD1-43E7-BE60-DA72C6AD914B}"/>
    <cellStyle name="Normal 4 4 3 2 2 9" xfId="13206" xr:uid="{5DA516D4-15F8-4F49-8250-0AEBA1341CA0}"/>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9981" xr:uid="{D77E6B34-84E4-4EB7-9D2D-5E742C4A8CC4}"/>
    <cellStyle name="Normal 4 4 3 2 3 2 3" xfId="11552" xr:uid="{307C2C9B-7743-4A8A-8D4F-90310E3C1786}"/>
    <cellStyle name="Normal 4 4 3 2 3 2 4" xfId="15763" xr:uid="{40396D75-C84A-48EF-ABA5-4DDAFE66E908}"/>
    <cellStyle name="Normal 4 4 3 2 3 3" xfId="5175" xr:uid="{00000000-0005-0000-0000-00007D150000}"/>
    <cellStyle name="Normal 4 4 3 2 3 3 2" xfId="17836" xr:uid="{B89E84B9-6A5E-453D-BDA8-D725D7B5B319}"/>
    <cellStyle name="Normal 4 4 3 2 3 4" xfId="9407" xr:uid="{A5F92967-DB85-4FE2-A759-9320CBBD8B8B}"/>
    <cellStyle name="Normal 4 4 3 2 3 5" xfId="13618" xr:uid="{C66460AC-38E7-41B7-AD47-4A4E92F2ACC6}"/>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20394" xr:uid="{42D62AE8-B1A0-4134-9549-9411EE2B6819}"/>
    <cellStyle name="Normal 4 4 3 2 4 2 3" xfId="11965" xr:uid="{374CE85A-81E5-4F55-A856-5F6376315D27}"/>
    <cellStyle name="Normal 4 4 3 2 4 2 4" xfId="16176" xr:uid="{DBA03204-A295-452C-9A94-33A347CCBA97}"/>
    <cellStyle name="Normal 4 4 3 2 4 3" xfId="5588" xr:uid="{00000000-0005-0000-0000-000081150000}"/>
    <cellStyle name="Normal 4 4 3 2 4 3 2" xfId="18249" xr:uid="{CDF10291-9540-4EFB-B3EF-1360ECCBC608}"/>
    <cellStyle name="Normal 4 4 3 2 4 4" xfId="9820" xr:uid="{0F9E0C88-81BD-4D5C-B3F3-4B383627933F}"/>
    <cellStyle name="Normal 4 4 3 2 4 5" xfId="14031" xr:uid="{362B1DC6-FEB3-444A-974D-E592A1430E4D}"/>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20807" xr:uid="{A528A47C-1ADC-4ED8-82BC-636106473FFF}"/>
    <cellStyle name="Normal 4 4 3 2 5 2 3" xfId="12378" xr:uid="{D150276B-98EF-4F66-872C-AA6972203709}"/>
    <cellStyle name="Normal 4 4 3 2 5 2 4" xfId="16589" xr:uid="{9E58970C-8611-4160-956E-476F8A73E891}"/>
    <cellStyle name="Normal 4 4 3 2 5 3" xfId="6001" xr:uid="{00000000-0005-0000-0000-000085150000}"/>
    <cellStyle name="Normal 4 4 3 2 5 3 2" xfId="18662" xr:uid="{004F3D66-7DA8-44AD-86E8-612DAFFA71DA}"/>
    <cellStyle name="Normal 4 4 3 2 5 4" xfId="10233" xr:uid="{35AC2D08-9529-4D93-B201-314FA2A1E572}"/>
    <cellStyle name="Normal 4 4 3 2 5 5" xfId="14444" xr:uid="{04EC0A44-88C8-4D09-AF2B-E61EDED18350}"/>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21220" xr:uid="{C2308ACD-5CC4-4875-8F44-1320FCE81F42}"/>
    <cellStyle name="Normal 4 4 3 2 6 2 3" xfId="12791" xr:uid="{D3BF0884-2707-4045-8542-23B5B6E63DB6}"/>
    <cellStyle name="Normal 4 4 3 2 6 2 4" xfId="17002" xr:uid="{2509BB85-59AF-4933-88BD-61E9E565F906}"/>
    <cellStyle name="Normal 4 4 3 2 6 3" xfId="6414" xr:uid="{00000000-0005-0000-0000-000089150000}"/>
    <cellStyle name="Normal 4 4 3 2 6 3 2" xfId="19075" xr:uid="{076DE430-B2B1-41EA-9765-5015070DE68E}"/>
    <cellStyle name="Normal 4 4 3 2 6 4" xfId="10646" xr:uid="{FFA56BF3-B929-4ECA-9DCA-EB00E8D7F6BB}"/>
    <cellStyle name="Normal 4 4 3 2 6 5" xfId="14857" xr:uid="{7434B11A-1197-41F0-B0F4-A895638BA11E}"/>
    <cellStyle name="Normal 4 4 3 2 7" xfId="2544" xr:uid="{00000000-0005-0000-0000-00008A150000}"/>
    <cellStyle name="Normal 4 4 3 2 7 2" xfId="6827" xr:uid="{00000000-0005-0000-0000-00008B150000}"/>
    <cellStyle name="Normal 4 4 3 2 7 2 2" xfId="19488" xr:uid="{BB817B55-50D3-444D-A2E1-DF1CD2ACFFB7}"/>
    <cellStyle name="Normal 4 4 3 2 7 3" xfId="11059" xr:uid="{C8D7A9F4-CB8C-4BF0-AE75-F047D7C045C6}"/>
    <cellStyle name="Normal 4 4 3 2 7 4" xfId="15270" xr:uid="{65059433-B06D-474B-ABDF-0587302661E0}"/>
    <cellStyle name="Normal 4 4 3 2 8" xfId="4762" xr:uid="{00000000-0005-0000-0000-00008C150000}"/>
    <cellStyle name="Normal 4 4 3 2 8 2" xfId="17423" xr:uid="{6DAA2EA1-B487-449C-BB3C-B6BC778F84FF}"/>
    <cellStyle name="Normal 4 4 3 2 9" xfId="8994" xr:uid="{1997870E-1D67-48D9-86E2-23D23E7A8F93}"/>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9983" xr:uid="{CB1C54A6-4420-40C4-A4D5-DA41D89D50E6}"/>
    <cellStyle name="Normal 4 4 3 3 2 2 3" xfId="11554" xr:uid="{68C77728-B949-408C-988D-098FA95EBE4C}"/>
    <cellStyle name="Normal 4 4 3 3 2 2 4" xfId="15765" xr:uid="{0E5EABDF-14FF-49B0-90C7-653A2F1061BF}"/>
    <cellStyle name="Normal 4 4 3 3 2 3" xfId="5177" xr:uid="{00000000-0005-0000-0000-000091150000}"/>
    <cellStyle name="Normal 4 4 3 3 2 3 2" xfId="17838" xr:uid="{5D789C5E-01A4-41D1-A3A3-76DB40219462}"/>
    <cellStyle name="Normal 4 4 3 3 2 4" xfId="9409" xr:uid="{4E7F208F-009C-4E71-8276-ECCE230DF197}"/>
    <cellStyle name="Normal 4 4 3 3 2 5" xfId="13620" xr:uid="{6E1A6A84-E230-4471-802B-B0014C48CD3D}"/>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20396" xr:uid="{A0A49ABF-E3E2-479B-8E69-ED888BBC6FE7}"/>
    <cellStyle name="Normal 4 4 3 3 3 2 3" xfId="11967" xr:uid="{11AADB7F-A153-47A9-8DCF-129A6959C373}"/>
    <cellStyle name="Normal 4 4 3 3 3 2 4" xfId="16178" xr:uid="{A11D08D2-20B0-4638-8AB7-8085877BC187}"/>
    <cellStyle name="Normal 4 4 3 3 3 3" xfId="5590" xr:uid="{00000000-0005-0000-0000-000095150000}"/>
    <cellStyle name="Normal 4 4 3 3 3 3 2" xfId="18251" xr:uid="{263EAA9E-4F71-4E4D-9A5C-F5427291F889}"/>
    <cellStyle name="Normal 4 4 3 3 3 4" xfId="9822" xr:uid="{CABC08EC-C0B0-46FE-9DC4-1A7B9E3338EC}"/>
    <cellStyle name="Normal 4 4 3 3 3 5" xfId="14033" xr:uid="{88C5AA65-DC2F-495C-8456-703CB97E1400}"/>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20809" xr:uid="{D9AF1025-4DEB-4D5E-A96B-F80480F789B6}"/>
    <cellStyle name="Normal 4 4 3 3 4 2 3" xfId="12380" xr:uid="{3B7A1DE1-783A-441F-810E-19A8731966CA}"/>
    <cellStyle name="Normal 4 4 3 3 4 2 4" xfId="16591" xr:uid="{505D9B67-AD7D-44F4-96A5-5CE5CB287563}"/>
    <cellStyle name="Normal 4 4 3 3 4 3" xfId="6003" xr:uid="{00000000-0005-0000-0000-000099150000}"/>
    <cellStyle name="Normal 4 4 3 3 4 3 2" xfId="18664" xr:uid="{71731220-275A-4EC4-AF8A-61E0FF94047C}"/>
    <cellStyle name="Normal 4 4 3 3 4 4" xfId="10235" xr:uid="{04E40787-D0FD-44E0-B24E-28DB0E578481}"/>
    <cellStyle name="Normal 4 4 3 3 4 5" xfId="14446" xr:uid="{28609BD2-F2D7-4C15-8D2D-F385D4D349DB}"/>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21222" xr:uid="{CDF806AE-323D-4E23-8AEB-74E210A7A89B}"/>
    <cellStyle name="Normal 4 4 3 3 5 2 3" xfId="12793" xr:uid="{1615BE6A-E1E3-43DC-A412-D2CB38669F41}"/>
    <cellStyle name="Normal 4 4 3 3 5 2 4" xfId="17004" xr:uid="{31719EB6-CFAA-42C4-AA81-B14B32F1F246}"/>
    <cellStyle name="Normal 4 4 3 3 5 3" xfId="6416" xr:uid="{00000000-0005-0000-0000-00009D150000}"/>
    <cellStyle name="Normal 4 4 3 3 5 3 2" xfId="19077" xr:uid="{9EAB9F0E-D9FD-4B8F-BAAD-80E41922DCA7}"/>
    <cellStyle name="Normal 4 4 3 3 5 4" xfId="10648" xr:uid="{FE7FEAEF-0A6A-4A03-8964-7E04FBD5ED00}"/>
    <cellStyle name="Normal 4 4 3 3 5 5" xfId="14859" xr:uid="{DD466C9F-0F7B-4A17-96F7-3A85763908F5}"/>
    <cellStyle name="Normal 4 4 3 3 6" xfId="2546" xr:uid="{00000000-0005-0000-0000-00009E150000}"/>
    <cellStyle name="Normal 4 4 3 3 6 2" xfId="6829" xr:uid="{00000000-0005-0000-0000-00009F150000}"/>
    <cellStyle name="Normal 4 4 3 3 6 2 2" xfId="19490" xr:uid="{B283790C-FF14-48F4-986E-788958B7AE2A}"/>
    <cellStyle name="Normal 4 4 3 3 6 3" xfId="11061" xr:uid="{030945DD-E8E2-4660-9613-59826E313AFB}"/>
    <cellStyle name="Normal 4 4 3 3 6 4" xfId="15272" xr:uid="{92DA4D9F-2272-41B4-AF88-BD40D782B49D}"/>
    <cellStyle name="Normal 4 4 3 3 7" xfId="4764" xr:uid="{00000000-0005-0000-0000-0000A0150000}"/>
    <cellStyle name="Normal 4 4 3 3 7 2" xfId="17425" xr:uid="{42BFE82A-AC59-4FE4-BA6B-F7DC006EFFCA}"/>
    <cellStyle name="Normal 4 4 3 3 8" xfId="8996" xr:uid="{FC0771CD-5B3D-40DF-981C-4FB925E40972}"/>
    <cellStyle name="Normal 4 4 3 3 9" xfId="13207" xr:uid="{23FAEDAA-9F76-4F54-8A01-E649DAC5DC09}"/>
    <cellStyle name="Normal 4 4 3 4" xfId="862" xr:uid="{00000000-0005-0000-0000-0000A1150000}"/>
    <cellStyle name="Normal 4 4 3 4 2" xfId="3097" xr:uid="{00000000-0005-0000-0000-0000A2150000}"/>
    <cellStyle name="Normal 4 4 3 4 2 2" xfId="7319" xr:uid="{00000000-0005-0000-0000-0000A3150000}"/>
    <cellStyle name="Normal 4 4 3 4 2 2 2" xfId="19980" xr:uid="{BD01CD70-4B09-468A-97CE-8C6897D53C29}"/>
    <cellStyle name="Normal 4 4 3 4 2 3" xfId="11551" xr:uid="{DEFDAC9B-00C9-4B7C-8FE1-F4E08C74FB5E}"/>
    <cellStyle name="Normal 4 4 3 4 2 4" xfId="15762" xr:uid="{871B04A6-2374-45B5-A831-50AD066BC190}"/>
    <cellStyle name="Normal 4 4 3 4 3" xfId="5174" xr:uid="{00000000-0005-0000-0000-0000A4150000}"/>
    <cellStyle name="Normal 4 4 3 4 3 2" xfId="17835" xr:uid="{B1502270-2163-406C-A1AF-50963D32295D}"/>
    <cellStyle name="Normal 4 4 3 4 4" xfId="9406" xr:uid="{B4F03422-EDAB-4732-8076-DAB2FA4C995F}"/>
    <cellStyle name="Normal 4 4 3 4 5" xfId="13617" xr:uid="{30075FAA-2097-4A42-B791-D93BF74EC9FA}"/>
    <cellStyle name="Normal 4 4 3 5" xfId="1280" xr:uid="{00000000-0005-0000-0000-0000A5150000}"/>
    <cellStyle name="Normal 4 4 3 5 2" xfId="3510" xr:uid="{00000000-0005-0000-0000-0000A6150000}"/>
    <cellStyle name="Normal 4 4 3 5 2 2" xfId="7732" xr:uid="{00000000-0005-0000-0000-0000A7150000}"/>
    <cellStyle name="Normal 4 4 3 5 2 2 2" xfId="20393" xr:uid="{9E2963B7-8D4F-4F6B-AD91-77D4570F59D9}"/>
    <cellStyle name="Normal 4 4 3 5 2 3" xfId="11964" xr:uid="{39ECD398-07EF-4512-AA9E-22BD5434AC81}"/>
    <cellStyle name="Normal 4 4 3 5 2 4" xfId="16175" xr:uid="{C1A0B6C2-EC3D-4D76-B5BD-50D8AD2705A6}"/>
    <cellStyle name="Normal 4 4 3 5 3" xfId="5587" xr:uid="{00000000-0005-0000-0000-0000A8150000}"/>
    <cellStyle name="Normal 4 4 3 5 3 2" xfId="18248" xr:uid="{BBCCE46C-752D-40DB-BD80-492E051991EC}"/>
    <cellStyle name="Normal 4 4 3 5 4" xfId="9819" xr:uid="{A12F1E33-CEEC-4D29-8F86-5002A4F5F1A0}"/>
    <cellStyle name="Normal 4 4 3 5 5" xfId="14030" xr:uid="{4D778F92-93B2-45C5-876D-62E86F0EDFBB}"/>
    <cellStyle name="Normal 4 4 3 6" xfId="1693" xr:uid="{00000000-0005-0000-0000-0000A9150000}"/>
    <cellStyle name="Normal 4 4 3 6 2" xfId="3923" xr:uid="{00000000-0005-0000-0000-0000AA150000}"/>
    <cellStyle name="Normal 4 4 3 6 2 2" xfId="8145" xr:uid="{00000000-0005-0000-0000-0000AB150000}"/>
    <cellStyle name="Normal 4 4 3 6 2 2 2" xfId="20806" xr:uid="{F351F61F-4961-4896-A169-9974371120E7}"/>
    <cellStyle name="Normal 4 4 3 6 2 3" xfId="12377" xr:uid="{AA4611F3-8054-45F8-92BD-39DC2A73411C}"/>
    <cellStyle name="Normal 4 4 3 6 2 4" xfId="16588" xr:uid="{CBC05232-7C4A-443C-9012-7F24702D519C}"/>
    <cellStyle name="Normal 4 4 3 6 3" xfId="6000" xr:uid="{00000000-0005-0000-0000-0000AC150000}"/>
    <cellStyle name="Normal 4 4 3 6 3 2" xfId="18661" xr:uid="{84EA251A-2C24-448D-9520-9CD6A480F636}"/>
    <cellStyle name="Normal 4 4 3 6 4" xfId="10232" xr:uid="{7E321CF9-C336-4F0F-A525-BDA715DF7B5A}"/>
    <cellStyle name="Normal 4 4 3 6 5" xfId="14443" xr:uid="{AC9947B8-31C3-4473-B12F-04BC0B0C1A5C}"/>
    <cellStyle name="Normal 4 4 3 7" xfId="2107" xr:uid="{00000000-0005-0000-0000-0000AD150000}"/>
    <cellStyle name="Normal 4 4 3 7 2" xfId="4336" xr:uid="{00000000-0005-0000-0000-0000AE150000}"/>
    <cellStyle name="Normal 4 4 3 7 2 2" xfId="8558" xr:uid="{00000000-0005-0000-0000-0000AF150000}"/>
    <cellStyle name="Normal 4 4 3 7 2 2 2" xfId="21219" xr:uid="{DFA8B834-8751-46D5-80FD-F65120501123}"/>
    <cellStyle name="Normal 4 4 3 7 2 3" xfId="12790" xr:uid="{C0C8222D-3E0F-4457-BCB5-62D466B09FE0}"/>
    <cellStyle name="Normal 4 4 3 7 2 4" xfId="17001" xr:uid="{252DEEBA-86F0-416E-B519-D4CB05CE34D8}"/>
    <cellStyle name="Normal 4 4 3 7 3" xfId="6413" xr:uid="{00000000-0005-0000-0000-0000B0150000}"/>
    <cellStyle name="Normal 4 4 3 7 3 2" xfId="19074" xr:uid="{4FF346DD-004A-43EC-8333-DB7D6B28C170}"/>
    <cellStyle name="Normal 4 4 3 7 4" xfId="10645" xr:uid="{791A9BFE-3C86-4339-A310-50E62E651A77}"/>
    <cellStyle name="Normal 4 4 3 7 5" xfId="14856" xr:uid="{F6303598-5B5F-47E9-870C-A1D05F873B67}"/>
    <cellStyle name="Normal 4 4 3 8" xfId="2543" xr:uid="{00000000-0005-0000-0000-0000B1150000}"/>
    <cellStyle name="Normal 4 4 3 8 2" xfId="6826" xr:uid="{00000000-0005-0000-0000-0000B2150000}"/>
    <cellStyle name="Normal 4 4 3 8 2 2" xfId="19487" xr:uid="{AA646EC1-4476-4D38-9CED-39F47A40F2CC}"/>
    <cellStyle name="Normal 4 4 3 8 3" xfId="11058" xr:uid="{D5AE62FA-08F3-4918-8BA2-BC398CA26C00}"/>
    <cellStyle name="Normal 4 4 3 8 4" xfId="15269" xr:uid="{707162C9-6F44-4E9B-8F4B-65A96954D763}"/>
    <cellStyle name="Normal 4 4 3 9" xfId="4761" xr:uid="{00000000-0005-0000-0000-0000B3150000}"/>
    <cellStyle name="Normal 4 4 3 9 2" xfId="17422" xr:uid="{23E2F5F4-3BEC-4EEF-8B95-CFBFBD7F61DE}"/>
    <cellStyle name="Normal 4 4 4" xfId="391" xr:uid="{00000000-0005-0000-0000-0000B4150000}"/>
    <cellStyle name="Normal 4 4 4 10" xfId="13208" xr:uid="{9A28EE7A-494D-460F-98BD-442CED720748}"/>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9985" xr:uid="{BE0D7861-4B17-4A3B-963E-221BAA2BA66A}"/>
    <cellStyle name="Normal 4 4 4 2 2 2 3" xfId="11556" xr:uid="{16FC7F02-34BC-4716-BD8E-58A419CDA78E}"/>
    <cellStyle name="Normal 4 4 4 2 2 2 4" xfId="15767" xr:uid="{FB06BA46-DAAA-4B98-B71D-0AED01DDE1CF}"/>
    <cellStyle name="Normal 4 4 4 2 2 3" xfId="5179" xr:uid="{00000000-0005-0000-0000-0000B9150000}"/>
    <cellStyle name="Normal 4 4 4 2 2 3 2" xfId="17840" xr:uid="{7FE7D1E0-218E-44C6-AA9C-6D3A01B75DBF}"/>
    <cellStyle name="Normal 4 4 4 2 2 4" xfId="9411" xr:uid="{6A569394-E4A8-4F84-B060-781AC5325E68}"/>
    <cellStyle name="Normal 4 4 4 2 2 5" xfId="13622" xr:uid="{218B139B-DB22-4E17-86F8-1DEEC4532611}"/>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20398" xr:uid="{4E0387FA-DED1-4D9B-A3E3-06BFFA287FFF}"/>
    <cellStyle name="Normal 4 4 4 2 3 2 3" xfId="11969" xr:uid="{1EC28859-4352-4535-9A38-E6A37835853F}"/>
    <cellStyle name="Normal 4 4 4 2 3 2 4" xfId="16180" xr:uid="{0F0E707C-EA1B-4DCA-8C78-4C0302469711}"/>
    <cellStyle name="Normal 4 4 4 2 3 3" xfId="5592" xr:uid="{00000000-0005-0000-0000-0000BD150000}"/>
    <cellStyle name="Normal 4 4 4 2 3 3 2" xfId="18253" xr:uid="{63BB7631-C262-4648-A4CF-55E6B6A08152}"/>
    <cellStyle name="Normal 4 4 4 2 3 4" xfId="9824" xr:uid="{154AF829-F591-40A9-904E-13A72529E5FF}"/>
    <cellStyle name="Normal 4 4 4 2 3 5" xfId="14035" xr:uid="{D316D6FC-E304-434F-B3DE-50E457EDFA14}"/>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20811" xr:uid="{F6B0E72B-5445-44D1-846A-5075B214CB81}"/>
    <cellStyle name="Normal 4 4 4 2 4 2 3" xfId="12382" xr:uid="{17D5EA08-D181-4444-A689-C0633B535FD3}"/>
    <cellStyle name="Normal 4 4 4 2 4 2 4" xfId="16593" xr:uid="{4C600143-4689-475A-B776-80F4F11DC63F}"/>
    <cellStyle name="Normal 4 4 4 2 4 3" xfId="6005" xr:uid="{00000000-0005-0000-0000-0000C1150000}"/>
    <cellStyle name="Normal 4 4 4 2 4 3 2" xfId="18666" xr:uid="{9F95DA8B-B761-4F29-B49A-F27725EDE195}"/>
    <cellStyle name="Normal 4 4 4 2 4 4" xfId="10237" xr:uid="{D477D5CE-833A-4CBA-BB1B-8D70C7A7AF63}"/>
    <cellStyle name="Normal 4 4 4 2 4 5" xfId="14448" xr:uid="{11AAA1CC-C8C2-4A07-B3AE-A6259F189F92}"/>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21224" xr:uid="{7F4F5E70-D96E-4C90-A491-55391D938BB4}"/>
    <cellStyle name="Normal 4 4 4 2 5 2 3" xfId="12795" xr:uid="{5945F88F-2163-40CE-BEA4-82670C7D4707}"/>
    <cellStyle name="Normal 4 4 4 2 5 2 4" xfId="17006" xr:uid="{819A5BC6-3C7A-4ECD-A90A-F8A82C17F256}"/>
    <cellStyle name="Normal 4 4 4 2 5 3" xfId="6418" xr:uid="{00000000-0005-0000-0000-0000C5150000}"/>
    <cellStyle name="Normal 4 4 4 2 5 3 2" xfId="19079" xr:uid="{3409B481-4491-4F0B-9D94-31850CA4D4F6}"/>
    <cellStyle name="Normal 4 4 4 2 5 4" xfId="10650" xr:uid="{E6D0F772-EAC2-412A-9D58-F68112B57993}"/>
    <cellStyle name="Normal 4 4 4 2 5 5" xfId="14861" xr:uid="{ABC2BAB6-0FAA-4835-996C-EFE0E3190FE2}"/>
    <cellStyle name="Normal 4 4 4 2 6" xfId="2548" xr:uid="{00000000-0005-0000-0000-0000C6150000}"/>
    <cellStyle name="Normal 4 4 4 2 6 2" xfId="6831" xr:uid="{00000000-0005-0000-0000-0000C7150000}"/>
    <cellStyle name="Normal 4 4 4 2 6 2 2" xfId="19492" xr:uid="{62F8AA94-4D25-4E5B-8E0A-EF6D0A8022DE}"/>
    <cellStyle name="Normal 4 4 4 2 6 3" xfId="11063" xr:uid="{09F549CD-BB0E-4944-B294-35CB93B66778}"/>
    <cellStyle name="Normal 4 4 4 2 6 4" xfId="15274" xr:uid="{BA3EECC6-6704-4097-8EA4-4ACE560F17E4}"/>
    <cellStyle name="Normal 4 4 4 2 7" xfId="4766" xr:uid="{00000000-0005-0000-0000-0000C8150000}"/>
    <cellStyle name="Normal 4 4 4 2 7 2" xfId="17427" xr:uid="{1D786B01-E72E-4B26-851D-F9934D15C73E}"/>
    <cellStyle name="Normal 4 4 4 2 8" xfId="8998" xr:uid="{F6D1A946-1393-4E64-8DB6-DC4291D9328C}"/>
    <cellStyle name="Normal 4 4 4 2 9" xfId="13209" xr:uid="{0EC29D28-6DA3-4669-A2F8-599F6A7945D4}"/>
    <cellStyle name="Normal 4 4 4 3" xfId="866" xr:uid="{00000000-0005-0000-0000-0000C9150000}"/>
    <cellStyle name="Normal 4 4 4 3 2" xfId="3101" xr:uid="{00000000-0005-0000-0000-0000CA150000}"/>
    <cellStyle name="Normal 4 4 4 3 2 2" xfId="7323" xr:uid="{00000000-0005-0000-0000-0000CB150000}"/>
    <cellStyle name="Normal 4 4 4 3 2 2 2" xfId="19984" xr:uid="{9D724D79-6B4B-4C0C-BCC7-3CAACF6EE0E3}"/>
    <cellStyle name="Normal 4 4 4 3 2 3" xfId="11555" xr:uid="{07198C2C-7F9F-4426-8719-12861EB9A581}"/>
    <cellStyle name="Normal 4 4 4 3 2 4" xfId="15766" xr:uid="{B4288C58-3032-4C14-9262-DEB2F760AD76}"/>
    <cellStyle name="Normal 4 4 4 3 3" xfId="5178" xr:uid="{00000000-0005-0000-0000-0000CC150000}"/>
    <cellStyle name="Normal 4 4 4 3 3 2" xfId="17839" xr:uid="{7B705C6B-DA65-498A-B979-1929B5E18612}"/>
    <cellStyle name="Normal 4 4 4 3 4" xfId="9410" xr:uid="{EA262BFA-0CEA-4B8E-9A11-A8708E1AD153}"/>
    <cellStyle name="Normal 4 4 4 3 5" xfId="13621" xr:uid="{C49743F1-283A-4100-A65E-9900369FFDDA}"/>
    <cellStyle name="Normal 4 4 4 4" xfId="1284" xr:uid="{00000000-0005-0000-0000-0000CD150000}"/>
    <cellStyle name="Normal 4 4 4 4 2" xfId="3514" xr:uid="{00000000-0005-0000-0000-0000CE150000}"/>
    <cellStyle name="Normal 4 4 4 4 2 2" xfId="7736" xr:uid="{00000000-0005-0000-0000-0000CF150000}"/>
    <cellStyle name="Normal 4 4 4 4 2 2 2" xfId="20397" xr:uid="{C371F894-BA1F-444E-B9D0-6E8F00DA1DB5}"/>
    <cellStyle name="Normal 4 4 4 4 2 3" xfId="11968" xr:uid="{5D68DADB-BF6E-4333-AF1F-30EC33FBAB49}"/>
    <cellStyle name="Normal 4 4 4 4 2 4" xfId="16179" xr:uid="{E0AD5898-FAC4-43A9-ACF4-A723ED6A9814}"/>
    <cellStyle name="Normal 4 4 4 4 3" xfId="5591" xr:uid="{00000000-0005-0000-0000-0000D0150000}"/>
    <cellStyle name="Normal 4 4 4 4 3 2" xfId="18252" xr:uid="{4F0EEBBF-AD47-4D12-BF1F-63D3900CEE23}"/>
    <cellStyle name="Normal 4 4 4 4 4" xfId="9823" xr:uid="{524EA6CD-34A1-4B2E-8330-CB97B305D70E}"/>
    <cellStyle name="Normal 4 4 4 4 5" xfId="14034" xr:uid="{AD0D745F-5028-4DDC-A83B-FA71B5F03A1F}"/>
    <cellStyle name="Normal 4 4 4 5" xfId="1697" xr:uid="{00000000-0005-0000-0000-0000D1150000}"/>
    <cellStyle name="Normal 4 4 4 5 2" xfId="3927" xr:uid="{00000000-0005-0000-0000-0000D2150000}"/>
    <cellStyle name="Normal 4 4 4 5 2 2" xfId="8149" xr:uid="{00000000-0005-0000-0000-0000D3150000}"/>
    <cellStyle name="Normal 4 4 4 5 2 2 2" xfId="20810" xr:uid="{C7258E06-3BF0-419C-B40F-D61B11D9E6EA}"/>
    <cellStyle name="Normal 4 4 4 5 2 3" xfId="12381" xr:uid="{1BD50E8F-2FC6-46DE-BBC6-2EE2768AB0EA}"/>
    <cellStyle name="Normal 4 4 4 5 2 4" xfId="16592" xr:uid="{55054420-1366-4960-8905-A1ACD1BCDF73}"/>
    <cellStyle name="Normal 4 4 4 5 3" xfId="6004" xr:uid="{00000000-0005-0000-0000-0000D4150000}"/>
    <cellStyle name="Normal 4 4 4 5 3 2" xfId="18665" xr:uid="{A57D6312-EB1B-4BD9-8B85-E80F3841AECD}"/>
    <cellStyle name="Normal 4 4 4 5 4" xfId="10236" xr:uid="{F3A58512-1C31-47AD-9AD9-B8EFBE5D9D83}"/>
    <cellStyle name="Normal 4 4 4 5 5" xfId="14447" xr:uid="{FCB09F32-6F5C-45CA-920D-6CD55B723BA2}"/>
    <cellStyle name="Normal 4 4 4 6" xfId="2111" xr:uid="{00000000-0005-0000-0000-0000D5150000}"/>
    <cellStyle name="Normal 4 4 4 6 2" xfId="4340" xr:uid="{00000000-0005-0000-0000-0000D6150000}"/>
    <cellStyle name="Normal 4 4 4 6 2 2" xfId="8562" xr:uid="{00000000-0005-0000-0000-0000D7150000}"/>
    <cellStyle name="Normal 4 4 4 6 2 2 2" xfId="21223" xr:uid="{4CF3BAB0-528F-49DC-AEAE-EEF1CEE117A0}"/>
    <cellStyle name="Normal 4 4 4 6 2 3" xfId="12794" xr:uid="{6C73B386-85D5-4005-9D25-D989A9D8EAD7}"/>
    <cellStyle name="Normal 4 4 4 6 2 4" xfId="17005" xr:uid="{B43E0385-85B2-461F-A3A4-EDD6BD01D7E4}"/>
    <cellStyle name="Normal 4 4 4 6 3" xfId="6417" xr:uid="{00000000-0005-0000-0000-0000D8150000}"/>
    <cellStyle name="Normal 4 4 4 6 3 2" xfId="19078" xr:uid="{6A8C3B50-2E3B-46CD-B1F0-8467F09AA537}"/>
    <cellStyle name="Normal 4 4 4 6 4" xfId="10649" xr:uid="{1298834A-8521-49C6-B664-6CCA08F3AC4A}"/>
    <cellStyle name="Normal 4 4 4 6 5" xfId="14860" xr:uid="{205CEFDE-9B0F-4149-9740-743FF15396AE}"/>
    <cellStyle name="Normal 4 4 4 7" xfId="2547" xr:uid="{00000000-0005-0000-0000-0000D9150000}"/>
    <cellStyle name="Normal 4 4 4 7 2" xfId="6830" xr:uid="{00000000-0005-0000-0000-0000DA150000}"/>
    <cellStyle name="Normal 4 4 4 7 2 2" xfId="19491" xr:uid="{7C218D81-37D6-4E34-A27A-B4DE50CF05AA}"/>
    <cellStyle name="Normal 4 4 4 7 3" xfId="11062" xr:uid="{3757F23E-0D5A-4812-AD4D-21FA13214188}"/>
    <cellStyle name="Normal 4 4 4 7 4" xfId="15273" xr:uid="{C690088A-8D5C-445F-821B-B8D7543CE88D}"/>
    <cellStyle name="Normal 4 4 4 8" xfId="4765" xr:uid="{00000000-0005-0000-0000-0000DB150000}"/>
    <cellStyle name="Normal 4 4 4 8 2" xfId="17426" xr:uid="{B6BDB876-B6F8-49CA-95A0-BF044D931EA6}"/>
    <cellStyle name="Normal 4 4 4 9" xfId="8997" xr:uid="{999E229B-24AA-46BC-BC4D-C4244266BEC4}"/>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9986" xr:uid="{3E303FBF-1B75-4378-8E6B-8F10A5E80E21}"/>
    <cellStyle name="Normal 4 4 5 2 2 3" xfId="11557" xr:uid="{CC972408-B142-4BCE-BA03-BD893BD9CF81}"/>
    <cellStyle name="Normal 4 4 5 2 2 4" xfId="15768" xr:uid="{6AA49EC8-BF5C-4F36-A79F-D71163EBF891}"/>
    <cellStyle name="Normal 4 4 5 2 3" xfId="5180" xr:uid="{00000000-0005-0000-0000-0000E0150000}"/>
    <cellStyle name="Normal 4 4 5 2 3 2" xfId="17841" xr:uid="{49820C92-4AF1-4D7C-8D53-76828F176596}"/>
    <cellStyle name="Normal 4 4 5 2 4" xfId="9412" xr:uid="{C560DFBD-C822-4B4E-9C89-782B1F245644}"/>
    <cellStyle name="Normal 4 4 5 2 5" xfId="13623" xr:uid="{59EF2B81-A4F6-4BB5-BD65-B1E54F151406}"/>
    <cellStyle name="Normal 4 4 5 3" xfId="1286" xr:uid="{00000000-0005-0000-0000-0000E1150000}"/>
    <cellStyle name="Normal 4 4 5 3 2" xfId="3516" xr:uid="{00000000-0005-0000-0000-0000E2150000}"/>
    <cellStyle name="Normal 4 4 5 3 2 2" xfId="7738" xr:uid="{00000000-0005-0000-0000-0000E3150000}"/>
    <cellStyle name="Normal 4 4 5 3 2 2 2" xfId="20399" xr:uid="{17D61EB3-627E-4B42-B7E3-7090D2DAD29D}"/>
    <cellStyle name="Normal 4 4 5 3 2 3" xfId="11970" xr:uid="{4F8E1E20-CD1D-416B-B0D5-4C4ACAFC6DEA}"/>
    <cellStyle name="Normal 4 4 5 3 2 4" xfId="16181" xr:uid="{6E981A48-5B30-4FB3-8309-C8CA18D1980F}"/>
    <cellStyle name="Normal 4 4 5 3 3" xfId="5593" xr:uid="{00000000-0005-0000-0000-0000E4150000}"/>
    <cellStyle name="Normal 4 4 5 3 3 2" xfId="18254" xr:uid="{CAC9C76D-29A3-43C5-86AA-81B6DD8A65FA}"/>
    <cellStyle name="Normal 4 4 5 3 4" xfId="9825" xr:uid="{2535168D-D721-43AE-83C2-855594332D7E}"/>
    <cellStyle name="Normal 4 4 5 3 5" xfId="14036" xr:uid="{4CD07CF6-6CDB-4630-BA5D-C537C41E2275}"/>
    <cellStyle name="Normal 4 4 5 4" xfId="1699" xr:uid="{00000000-0005-0000-0000-0000E5150000}"/>
    <cellStyle name="Normal 4 4 5 4 2" xfId="3929" xr:uid="{00000000-0005-0000-0000-0000E6150000}"/>
    <cellStyle name="Normal 4 4 5 4 2 2" xfId="8151" xr:uid="{00000000-0005-0000-0000-0000E7150000}"/>
    <cellStyle name="Normal 4 4 5 4 2 2 2" xfId="20812" xr:uid="{2BBED1C6-7EA6-4F32-BE9E-0FE069F0496A}"/>
    <cellStyle name="Normal 4 4 5 4 2 3" xfId="12383" xr:uid="{3B5D15C2-7A63-49D2-9BDB-BF2592637C9F}"/>
    <cellStyle name="Normal 4 4 5 4 2 4" xfId="16594" xr:uid="{9642ED25-DEFF-4DF0-BB0A-2583AD66ECF9}"/>
    <cellStyle name="Normal 4 4 5 4 3" xfId="6006" xr:uid="{00000000-0005-0000-0000-0000E8150000}"/>
    <cellStyle name="Normal 4 4 5 4 3 2" xfId="18667" xr:uid="{CBAA7123-9705-434A-9C0C-FF48D10AE419}"/>
    <cellStyle name="Normal 4 4 5 4 4" xfId="10238" xr:uid="{861BDE22-D133-4288-914C-35AAE5788E55}"/>
    <cellStyle name="Normal 4 4 5 4 5" xfId="14449" xr:uid="{B97BD58C-4315-49E9-9FDC-E97B03125D54}"/>
    <cellStyle name="Normal 4 4 5 5" xfId="2113" xr:uid="{00000000-0005-0000-0000-0000E9150000}"/>
    <cellStyle name="Normal 4 4 5 5 2" xfId="4342" xr:uid="{00000000-0005-0000-0000-0000EA150000}"/>
    <cellStyle name="Normal 4 4 5 5 2 2" xfId="8564" xr:uid="{00000000-0005-0000-0000-0000EB150000}"/>
    <cellStyle name="Normal 4 4 5 5 2 2 2" xfId="21225" xr:uid="{149205A3-5CF7-4765-A8D5-971C74DE9A11}"/>
    <cellStyle name="Normal 4 4 5 5 2 3" xfId="12796" xr:uid="{1C6612F0-3121-45A1-9D2A-2FA5AB5BDACF}"/>
    <cellStyle name="Normal 4 4 5 5 2 4" xfId="17007" xr:uid="{40DAD304-64B2-4B9C-9F34-F570CDEA9FB2}"/>
    <cellStyle name="Normal 4 4 5 5 3" xfId="6419" xr:uid="{00000000-0005-0000-0000-0000EC150000}"/>
    <cellStyle name="Normal 4 4 5 5 3 2" xfId="19080" xr:uid="{D9E79DDA-3246-4BDF-BADA-F65088CF96A4}"/>
    <cellStyle name="Normal 4 4 5 5 4" xfId="10651" xr:uid="{D0D1712A-95A3-4823-AE04-B30F53FCF988}"/>
    <cellStyle name="Normal 4 4 5 5 5" xfId="14862" xr:uid="{FA6D719E-55FE-4A27-B5B6-6C9138BC0216}"/>
    <cellStyle name="Normal 4 4 5 6" xfId="2549" xr:uid="{00000000-0005-0000-0000-0000ED150000}"/>
    <cellStyle name="Normal 4 4 5 6 2" xfId="6832" xr:uid="{00000000-0005-0000-0000-0000EE150000}"/>
    <cellStyle name="Normal 4 4 5 6 2 2" xfId="19493" xr:uid="{428CB3D7-3130-48B0-A4BC-12F9C07578D6}"/>
    <cellStyle name="Normal 4 4 5 6 3" xfId="11064" xr:uid="{D7B86A3B-22A9-4254-8740-3683137213CE}"/>
    <cellStyle name="Normal 4 4 5 6 4" xfId="15275" xr:uid="{7917B6D7-5821-47FA-9FB7-CE8877D23619}"/>
    <cellStyle name="Normal 4 4 5 7" xfId="4767" xr:uid="{00000000-0005-0000-0000-0000EF150000}"/>
    <cellStyle name="Normal 4 4 5 7 2" xfId="17428" xr:uid="{CC3348F1-6298-4715-9AAC-92E271ED5E53}"/>
    <cellStyle name="Normal 4 4 5 8" xfId="8999" xr:uid="{4636906E-1CFA-4846-BCF5-C75709E5A684}"/>
    <cellStyle name="Normal 4 4 5 9" xfId="13210" xr:uid="{6EEDA7CF-68B2-4D7B-964C-87BDC5808848}"/>
    <cellStyle name="Normal 4 4 6" xfId="853" xr:uid="{00000000-0005-0000-0000-0000F0150000}"/>
    <cellStyle name="Normal 4 4 6 2" xfId="3088" xr:uid="{00000000-0005-0000-0000-0000F1150000}"/>
    <cellStyle name="Normal 4 4 6 2 2" xfId="7310" xr:uid="{00000000-0005-0000-0000-0000F2150000}"/>
    <cellStyle name="Normal 4 4 6 2 2 2" xfId="19971" xr:uid="{0E4126D8-85FB-4E47-9839-394243794B09}"/>
    <cellStyle name="Normal 4 4 6 2 3" xfId="11542" xr:uid="{62804186-EBEE-43ED-B8B3-01D1A3A89481}"/>
    <cellStyle name="Normal 4 4 6 2 4" xfId="15753" xr:uid="{ACA45344-8FF0-4F23-990D-1BC699679764}"/>
    <cellStyle name="Normal 4 4 6 3" xfId="5165" xr:uid="{00000000-0005-0000-0000-0000F3150000}"/>
    <cellStyle name="Normal 4 4 6 3 2" xfId="17826" xr:uid="{B32E81F0-E7EC-4961-B780-452FC8F009FC}"/>
    <cellStyle name="Normal 4 4 6 4" xfId="9397" xr:uid="{3981F88F-F401-4893-9838-292E4C05D8F2}"/>
    <cellStyle name="Normal 4 4 6 5" xfId="13608" xr:uid="{0F1DDEFC-6A13-4CF0-856A-F6B8E60FF3A3}"/>
    <cellStyle name="Normal 4 4 7" xfId="1271" xr:uid="{00000000-0005-0000-0000-0000F4150000}"/>
    <cellStyle name="Normal 4 4 7 2" xfId="3501" xr:uid="{00000000-0005-0000-0000-0000F5150000}"/>
    <cellStyle name="Normal 4 4 7 2 2" xfId="7723" xr:uid="{00000000-0005-0000-0000-0000F6150000}"/>
    <cellStyle name="Normal 4 4 7 2 2 2" xfId="20384" xr:uid="{2CAB275E-6654-479B-B67C-ADDAC995B20D}"/>
    <cellStyle name="Normal 4 4 7 2 3" xfId="11955" xr:uid="{63126663-D27E-4FAB-B1AE-A8563785C07B}"/>
    <cellStyle name="Normal 4 4 7 2 4" xfId="16166" xr:uid="{8A91563A-29FD-46C3-9150-2A1FBB9B8676}"/>
    <cellStyle name="Normal 4 4 7 3" xfId="5578" xr:uid="{00000000-0005-0000-0000-0000F7150000}"/>
    <cellStyle name="Normal 4 4 7 3 2" xfId="18239" xr:uid="{5DC68C8F-48A2-4B85-9D63-875CC2D44468}"/>
    <cellStyle name="Normal 4 4 7 4" xfId="9810" xr:uid="{8D6BD50B-9FE8-4AB6-847F-E16AFC8A3A84}"/>
    <cellStyle name="Normal 4 4 7 5" xfId="14021" xr:uid="{5276325A-B424-45E5-920A-D11D1C2AAB57}"/>
    <cellStyle name="Normal 4 4 8" xfId="1684" xr:uid="{00000000-0005-0000-0000-0000F8150000}"/>
    <cellStyle name="Normal 4 4 8 2" xfId="3914" xr:uid="{00000000-0005-0000-0000-0000F9150000}"/>
    <cellStyle name="Normal 4 4 8 2 2" xfId="8136" xr:uid="{00000000-0005-0000-0000-0000FA150000}"/>
    <cellStyle name="Normal 4 4 8 2 2 2" xfId="20797" xr:uid="{D7274A56-DE16-4534-B4D7-701F834A2C78}"/>
    <cellStyle name="Normal 4 4 8 2 3" xfId="12368" xr:uid="{03A8A11C-E326-44A1-8352-330847D57EFC}"/>
    <cellStyle name="Normal 4 4 8 2 4" xfId="16579" xr:uid="{D222EE27-D989-45AE-A4A5-DF74DD1C9257}"/>
    <cellStyle name="Normal 4 4 8 3" xfId="5991" xr:uid="{00000000-0005-0000-0000-0000FB150000}"/>
    <cellStyle name="Normal 4 4 8 3 2" xfId="18652" xr:uid="{EF17CADA-B0FB-4532-957A-B34BDC378C85}"/>
    <cellStyle name="Normal 4 4 8 4" xfId="10223" xr:uid="{C63DE1FB-F6A1-4D6D-9AB8-631E4DDC1ED0}"/>
    <cellStyle name="Normal 4 4 8 5" xfId="14434" xr:uid="{416A9AF2-63FC-4298-8123-4073E4D2B367}"/>
    <cellStyle name="Normal 4 4 9" xfId="2098" xr:uid="{00000000-0005-0000-0000-0000FC150000}"/>
    <cellStyle name="Normal 4 4 9 2" xfId="4327" xr:uid="{00000000-0005-0000-0000-0000FD150000}"/>
    <cellStyle name="Normal 4 4 9 2 2" xfId="8549" xr:uid="{00000000-0005-0000-0000-0000FE150000}"/>
    <cellStyle name="Normal 4 4 9 2 2 2" xfId="21210" xr:uid="{4594E106-828C-42B6-B526-B2BC449F431A}"/>
    <cellStyle name="Normal 4 4 9 2 3" xfId="12781" xr:uid="{52350999-9E21-4141-BDE9-7A0B8182EF29}"/>
    <cellStyle name="Normal 4 4 9 2 4" xfId="16992" xr:uid="{7A84F938-1673-4461-ADC4-0C3F6F8C6C64}"/>
    <cellStyle name="Normal 4 4 9 3" xfId="6404" xr:uid="{00000000-0005-0000-0000-0000FF150000}"/>
    <cellStyle name="Normal 4 4 9 3 2" xfId="19065" xr:uid="{AB127868-4B29-412E-AD63-01DBB8CF72AB}"/>
    <cellStyle name="Normal 4 4 9 4" xfId="10636" xr:uid="{D3409A71-10E9-4375-BBB9-8E348B97D645}"/>
    <cellStyle name="Normal 4 4 9 5" xfId="14847" xr:uid="{7D47F446-2473-453B-8C1A-8C6E71454E10}"/>
    <cellStyle name="Normal 4 5" xfId="394" xr:uid="{00000000-0005-0000-0000-000000160000}"/>
    <cellStyle name="Normal 4 6" xfId="395" xr:uid="{00000000-0005-0000-0000-000001160000}"/>
    <cellStyle name="Normal 4 6 10" xfId="4768" xr:uid="{00000000-0005-0000-0000-000002160000}"/>
    <cellStyle name="Normal 4 6 10 2" xfId="17429" xr:uid="{398EF333-34E6-4FC7-BFC1-7C5064658A43}"/>
    <cellStyle name="Normal 4 6 11" xfId="9000" xr:uid="{7F14BBD6-92E6-45D7-B495-BF57C6EA33CF}"/>
    <cellStyle name="Normal 4 6 12" xfId="13211" xr:uid="{F6EFC25B-B2FC-4DFD-A3DB-5D7C2465B33F}"/>
    <cellStyle name="Normal 4 6 2" xfId="396" xr:uid="{00000000-0005-0000-0000-000003160000}"/>
    <cellStyle name="Normal 4 6 2 10" xfId="9001" xr:uid="{20E8A313-9779-4FB3-A535-88EE436CF715}"/>
    <cellStyle name="Normal 4 6 2 11" xfId="13212" xr:uid="{DB2E0D1D-4E15-4E70-BD67-F21BF284D512}"/>
    <cellStyle name="Normal 4 6 2 2" xfId="397" xr:uid="{00000000-0005-0000-0000-000004160000}"/>
    <cellStyle name="Normal 4 6 2 2 10" xfId="13213" xr:uid="{D779B679-A942-4430-96D0-7DEFC6E0C315}"/>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9990" xr:uid="{DEBA8ACA-EB40-4B13-8C97-A75B69F7D48A}"/>
    <cellStyle name="Normal 4 6 2 2 2 2 2 3" xfId="11561" xr:uid="{4ECC091F-9403-41C1-B750-08D12D05AFE0}"/>
    <cellStyle name="Normal 4 6 2 2 2 2 2 4" xfId="15772" xr:uid="{03D09A31-C8F7-4B01-9C15-B1F2DC84E270}"/>
    <cellStyle name="Normal 4 6 2 2 2 2 3" xfId="5184" xr:uid="{00000000-0005-0000-0000-000009160000}"/>
    <cellStyle name="Normal 4 6 2 2 2 2 3 2" xfId="17845" xr:uid="{CC8B5499-2544-493E-B464-84862EE804C7}"/>
    <cellStyle name="Normal 4 6 2 2 2 2 4" xfId="9416" xr:uid="{176AB927-3B16-42A1-88AE-4C26D8E987AF}"/>
    <cellStyle name="Normal 4 6 2 2 2 2 5" xfId="13627" xr:uid="{4F4567E3-4FD0-4842-9A2C-5A5BBBC894AE}"/>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20403" xr:uid="{970398B7-B9DD-4895-8651-AD70E1C107A1}"/>
    <cellStyle name="Normal 4 6 2 2 2 3 2 3" xfId="11974" xr:uid="{CA060C1D-3CCA-43FB-801B-550D8D938643}"/>
    <cellStyle name="Normal 4 6 2 2 2 3 2 4" xfId="16185" xr:uid="{CEDF7377-B7AB-46E2-995F-0F7C4C107723}"/>
    <cellStyle name="Normal 4 6 2 2 2 3 3" xfId="5597" xr:uid="{00000000-0005-0000-0000-00000D160000}"/>
    <cellStyle name="Normal 4 6 2 2 2 3 3 2" xfId="18258" xr:uid="{79546A6E-A0F5-4669-8DE4-C99D3A4F7E44}"/>
    <cellStyle name="Normal 4 6 2 2 2 3 4" xfId="9829" xr:uid="{0A3B624E-F603-4692-A4DF-570409B1E487}"/>
    <cellStyle name="Normal 4 6 2 2 2 3 5" xfId="14040" xr:uid="{FCE7636F-EBE8-4108-8A84-CBD10389C42F}"/>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20816" xr:uid="{4ECD012A-961B-433F-8643-01EC503E8AE2}"/>
    <cellStyle name="Normal 4 6 2 2 2 4 2 3" xfId="12387" xr:uid="{757B5DC8-6D45-467A-9542-861D3DA0526B}"/>
    <cellStyle name="Normal 4 6 2 2 2 4 2 4" xfId="16598" xr:uid="{07B42EEF-A02F-4094-B0F1-D28B3BADC273}"/>
    <cellStyle name="Normal 4 6 2 2 2 4 3" xfId="6010" xr:uid="{00000000-0005-0000-0000-000011160000}"/>
    <cellStyle name="Normal 4 6 2 2 2 4 3 2" xfId="18671" xr:uid="{BF57995C-AFD3-42D5-905F-996E643062AC}"/>
    <cellStyle name="Normal 4 6 2 2 2 4 4" xfId="10242" xr:uid="{038378A3-8732-4D13-935F-B1D94DE7542B}"/>
    <cellStyle name="Normal 4 6 2 2 2 4 5" xfId="14453" xr:uid="{3123620C-BFF2-4A14-83F8-FA6D73DDB5E3}"/>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21229" xr:uid="{0369AD33-B304-401E-A66A-E55C916F2E95}"/>
    <cellStyle name="Normal 4 6 2 2 2 5 2 3" xfId="12800" xr:uid="{C9502E0E-7BC6-4EE0-8A95-D0C4B4D4AC7B}"/>
    <cellStyle name="Normal 4 6 2 2 2 5 2 4" xfId="17011" xr:uid="{94783F0E-EC3A-4733-BE41-9E84584C7B6A}"/>
    <cellStyle name="Normal 4 6 2 2 2 5 3" xfId="6423" xr:uid="{00000000-0005-0000-0000-000015160000}"/>
    <cellStyle name="Normal 4 6 2 2 2 5 3 2" xfId="19084" xr:uid="{5B933574-931A-4F44-B0D3-F8C263007898}"/>
    <cellStyle name="Normal 4 6 2 2 2 5 4" xfId="10655" xr:uid="{B1DAD6F6-7C8D-429D-82F1-D17F8DFDB02B}"/>
    <cellStyle name="Normal 4 6 2 2 2 5 5" xfId="14866" xr:uid="{8AB6389F-4CA0-460C-A54F-4A1687300EE9}"/>
    <cellStyle name="Normal 4 6 2 2 2 6" xfId="2553" xr:uid="{00000000-0005-0000-0000-000016160000}"/>
    <cellStyle name="Normal 4 6 2 2 2 6 2" xfId="6836" xr:uid="{00000000-0005-0000-0000-000017160000}"/>
    <cellStyle name="Normal 4 6 2 2 2 6 2 2" xfId="19497" xr:uid="{778A69EE-E5B7-47B6-A068-15DADF913603}"/>
    <cellStyle name="Normal 4 6 2 2 2 6 3" xfId="11068" xr:uid="{EF7B6B2A-2CCB-4775-8A38-84139586B730}"/>
    <cellStyle name="Normal 4 6 2 2 2 6 4" xfId="15279" xr:uid="{0D6FD0D4-1263-423B-AF5D-E46E86134737}"/>
    <cellStyle name="Normal 4 6 2 2 2 7" xfId="4771" xr:uid="{00000000-0005-0000-0000-000018160000}"/>
    <cellStyle name="Normal 4 6 2 2 2 7 2" xfId="17432" xr:uid="{42AA40AE-55C4-4FE9-BB20-F00A83B009F5}"/>
    <cellStyle name="Normal 4 6 2 2 2 8" xfId="9003" xr:uid="{A695639F-2139-4259-8284-9375E5F83817}"/>
    <cellStyle name="Normal 4 6 2 2 2 9" xfId="13214" xr:uid="{B54668AC-D8FE-4AF6-98CC-175C0AACA51B}"/>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9989" xr:uid="{39571008-C8E7-4BC6-BF5B-1E107B6914E7}"/>
    <cellStyle name="Normal 4 6 2 2 3 2 3" xfId="11560" xr:uid="{B610631E-9EE8-4930-B5BC-7566C35BF449}"/>
    <cellStyle name="Normal 4 6 2 2 3 2 4" xfId="15771" xr:uid="{38B4C0F3-72F9-458C-9942-D6504D350401}"/>
    <cellStyle name="Normal 4 6 2 2 3 3" xfId="5183" xr:uid="{00000000-0005-0000-0000-00001C160000}"/>
    <cellStyle name="Normal 4 6 2 2 3 3 2" xfId="17844" xr:uid="{86A9D615-5638-4704-AA0C-11AB45A9FBE8}"/>
    <cellStyle name="Normal 4 6 2 2 3 4" xfId="9415" xr:uid="{C8C00649-B99C-4053-A1C7-A82EE4406834}"/>
    <cellStyle name="Normal 4 6 2 2 3 5" xfId="13626" xr:uid="{D425C206-F98D-4100-9B63-F747BF1EE2FA}"/>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20402" xr:uid="{CB47288A-1915-4140-9778-A19B93EB1596}"/>
    <cellStyle name="Normal 4 6 2 2 4 2 3" xfId="11973" xr:uid="{FD3DBC41-3FAC-4450-9A01-F7FA446C2551}"/>
    <cellStyle name="Normal 4 6 2 2 4 2 4" xfId="16184" xr:uid="{FB4FE533-46DA-403E-9A99-6DD1BE453818}"/>
    <cellStyle name="Normal 4 6 2 2 4 3" xfId="5596" xr:uid="{00000000-0005-0000-0000-000020160000}"/>
    <cellStyle name="Normal 4 6 2 2 4 3 2" xfId="18257" xr:uid="{7EA24A62-E6F6-4449-A821-B1FF80C782C2}"/>
    <cellStyle name="Normal 4 6 2 2 4 4" xfId="9828" xr:uid="{F1CB4864-9190-44BD-9C7D-6D1C1F1B19FE}"/>
    <cellStyle name="Normal 4 6 2 2 4 5" xfId="14039" xr:uid="{EC72787B-0E60-4371-BCF2-97CC253CFAD2}"/>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20815" xr:uid="{FCECB488-437B-49A5-966A-AF7F927AE614}"/>
    <cellStyle name="Normal 4 6 2 2 5 2 3" xfId="12386" xr:uid="{EA5EEF8C-3299-4B07-B178-E777CC25618E}"/>
    <cellStyle name="Normal 4 6 2 2 5 2 4" xfId="16597" xr:uid="{93BA66D8-6CA0-420B-BADE-0CA3D44AB4A9}"/>
    <cellStyle name="Normal 4 6 2 2 5 3" xfId="6009" xr:uid="{00000000-0005-0000-0000-000024160000}"/>
    <cellStyle name="Normal 4 6 2 2 5 3 2" xfId="18670" xr:uid="{2343AAB5-D0D2-4FDE-AA60-5DC4C97A99BD}"/>
    <cellStyle name="Normal 4 6 2 2 5 4" xfId="10241" xr:uid="{489FA12A-BCD7-49FF-9F1E-0BF8C3CFAEA7}"/>
    <cellStyle name="Normal 4 6 2 2 5 5" xfId="14452" xr:uid="{43323CAE-42CB-4304-AD82-AD182C196DC3}"/>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21228" xr:uid="{B8A87C91-07A5-4FF5-AAD8-4CCEE826407D}"/>
    <cellStyle name="Normal 4 6 2 2 6 2 3" xfId="12799" xr:uid="{359EE224-F6E2-4E09-9677-50AC55B74B86}"/>
    <cellStyle name="Normal 4 6 2 2 6 2 4" xfId="17010" xr:uid="{A6D6F67F-F2DD-48F6-A035-4B7C00337C41}"/>
    <cellStyle name="Normal 4 6 2 2 6 3" xfId="6422" xr:uid="{00000000-0005-0000-0000-000028160000}"/>
    <cellStyle name="Normal 4 6 2 2 6 3 2" xfId="19083" xr:uid="{20FA28D1-EF5F-4732-8B23-48EEAF6FF673}"/>
    <cellStyle name="Normal 4 6 2 2 6 4" xfId="10654" xr:uid="{CEB9F851-73C9-473B-85AD-0D354ED0AE94}"/>
    <cellStyle name="Normal 4 6 2 2 6 5" xfId="14865" xr:uid="{03B83DF8-6ED8-4B82-8165-0C73958F07EC}"/>
    <cellStyle name="Normal 4 6 2 2 7" xfId="2552" xr:uid="{00000000-0005-0000-0000-000029160000}"/>
    <cellStyle name="Normal 4 6 2 2 7 2" xfId="6835" xr:uid="{00000000-0005-0000-0000-00002A160000}"/>
    <cellStyle name="Normal 4 6 2 2 7 2 2" xfId="19496" xr:uid="{651FED65-422F-4081-96E5-6BCB985A62E2}"/>
    <cellStyle name="Normal 4 6 2 2 7 3" xfId="11067" xr:uid="{39F93B1F-7B08-4946-B0A7-E9B136F42B9B}"/>
    <cellStyle name="Normal 4 6 2 2 7 4" xfId="15278" xr:uid="{CD72FCBB-3D73-4F8F-A2AE-E4EDFEE74D34}"/>
    <cellStyle name="Normal 4 6 2 2 8" xfId="4770" xr:uid="{00000000-0005-0000-0000-00002B160000}"/>
    <cellStyle name="Normal 4 6 2 2 8 2" xfId="17431" xr:uid="{04C09FFD-BA63-41A6-8573-68ADA8B15C3C}"/>
    <cellStyle name="Normal 4 6 2 2 9" xfId="9002" xr:uid="{8A43A56C-E132-4023-A17B-7BE292BC1536}"/>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9991" xr:uid="{73914182-1637-441D-ABF2-3BB126324C9C}"/>
    <cellStyle name="Normal 4 6 2 3 2 2 3" xfId="11562" xr:uid="{8079D3A9-722C-4951-B0ED-7078E98F75A7}"/>
    <cellStyle name="Normal 4 6 2 3 2 2 4" xfId="15773" xr:uid="{CFE90386-EF34-4375-BF6F-1521343B8F55}"/>
    <cellStyle name="Normal 4 6 2 3 2 3" xfId="5185" xr:uid="{00000000-0005-0000-0000-000030160000}"/>
    <cellStyle name="Normal 4 6 2 3 2 3 2" xfId="17846" xr:uid="{178E8130-CA05-43DD-A52D-868D69DA3BF3}"/>
    <cellStyle name="Normal 4 6 2 3 2 4" xfId="9417" xr:uid="{0C747711-4010-465C-A88E-2FAACC13CE36}"/>
    <cellStyle name="Normal 4 6 2 3 2 5" xfId="13628" xr:uid="{90F5B871-C3F6-4C52-AA7C-5D0AACBCBC68}"/>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20404" xr:uid="{8A2E8F16-6DAF-4986-82F5-5D7CB481C292}"/>
    <cellStyle name="Normal 4 6 2 3 3 2 3" xfId="11975" xr:uid="{BD58962C-6D9B-4284-B496-7FE1B14226B0}"/>
    <cellStyle name="Normal 4 6 2 3 3 2 4" xfId="16186" xr:uid="{11179716-156C-40C9-BE07-581E6F06B2AA}"/>
    <cellStyle name="Normal 4 6 2 3 3 3" xfId="5598" xr:uid="{00000000-0005-0000-0000-000034160000}"/>
    <cellStyle name="Normal 4 6 2 3 3 3 2" xfId="18259" xr:uid="{6BC59686-1F20-4B55-B0B9-66C4EB3CD4D0}"/>
    <cellStyle name="Normal 4 6 2 3 3 4" xfId="9830" xr:uid="{CD546DF7-61A2-4034-829C-99C240E62C3D}"/>
    <cellStyle name="Normal 4 6 2 3 3 5" xfId="14041" xr:uid="{055F2B6C-563B-45E1-89BD-D3D714C307A3}"/>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20817" xr:uid="{843CB034-D2D1-46C3-855B-9E64B80BFCE4}"/>
    <cellStyle name="Normal 4 6 2 3 4 2 3" xfId="12388" xr:uid="{C5A7F0CE-5EF4-463F-B364-4E74E2F44B16}"/>
    <cellStyle name="Normal 4 6 2 3 4 2 4" xfId="16599" xr:uid="{2EA88555-AE18-4B88-9212-D196BCC28314}"/>
    <cellStyle name="Normal 4 6 2 3 4 3" xfId="6011" xr:uid="{00000000-0005-0000-0000-000038160000}"/>
    <cellStyle name="Normal 4 6 2 3 4 3 2" xfId="18672" xr:uid="{933A4D93-8FE7-413A-8A67-3ACB6A9F0A92}"/>
    <cellStyle name="Normal 4 6 2 3 4 4" xfId="10243" xr:uid="{3D2FF6C8-0BAE-4176-A9B9-F41D5E619310}"/>
    <cellStyle name="Normal 4 6 2 3 4 5" xfId="14454" xr:uid="{AB44D98F-81B0-441B-9747-3973A1430275}"/>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21230" xr:uid="{949040EF-C3CD-47E9-99F5-ACE626D864EB}"/>
    <cellStyle name="Normal 4 6 2 3 5 2 3" xfId="12801" xr:uid="{F40CD140-B33D-4E46-AC30-9A0C44EBF0DE}"/>
    <cellStyle name="Normal 4 6 2 3 5 2 4" xfId="17012" xr:uid="{9D316D67-9504-49FC-90E9-F0964AA4C43A}"/>
    <cellStyle name="Normal 4 6 2 3 5 3" xfId="6424" xr:uid="{00000000-0005-0000-0000-00003C160000}"/>
    <cellStyle name="Normal 4 6 2 3 5 3 2" xfId="19085" xr:uid="{8C940A28-5004-4FF5-8359-21F194277A12}"/>
    <cellStyle name="Normal 4 6 2 3 5 4" xfId="10656" xr:uid="{88F4B874-4CB2-4426-B927-F8A1357936CE}"/>
    <cellStyle name="Normal 4 6 2 3 5 5" xfId="14867" xr:uid="{B4E3F8DE-23DF-4D74-B6DA-DCDC425B73C7}"/>
    <cellStyle name="Normal 4 6 2 3 6" xfId="2554" xr:uid="{00000000-0005-0000-0000-00003D160000}"/>
    <cellStyle name="Normal 4 6 2 3 6 2" xfId="6837" xr:uid="{00000000-0005-0000-0000-00003E160000}"/>
    <cellStyle name="Normal 4 6 2 3 6 2 2" xfId="19498" xr:uid="{B331A33F-D8D4-43BC-987D-7A8628720FAD}"/>
    <cellStyle name="Normal 4 6 2 3 6 3" xfId="11069" xr:uid="{914C6587-1F8E-4CFF-B27F-1427947179DA}"/>
    <cellStyle name="Normal 4 6 2 3 6 4" xfId="15280" xr:uid="{4021546D-335F-4213-AA93-FE7BF07EC5EC}"/>
    <cellStyle name="Normal 4 6 2 3 7" xfId="4772" xr:uid="{00000000-0005-0000-0000-00003F160000}"/>
    <cellStyle name="Normal 4 6 2 3 7 2" xfId="17433" xr:uid="{3D695F7C-14F8-4396-A214-B1F08CC72592}"/>
    <cellStyle name="Normal 4 6 2 3 8" xfId="9004" xr:uid="{B98F16A0-8878-454B-B89B-1D028D047B4B}"/>
    <cellStyle name="Normal 4 6 2 3 9" xfId="13215" xr:uid="{86433FA9-904F-4B89-AC30-685A25D205E7}"/>
    <cellStyle name="Normal 4 6 2 4" xfId="870" xr:uid="{00000000-0005-0000-0000-000040160000}"/>
    <cellStyle name="Normal 4 6 2 4 2" xfId="3105" xr:uid="{00000000-0005-0000-0000-000041160000}"/>
    <cellStyle name="Normal 4 6 2 4 2 2" xfId="7327" xr:uid="{00000000-0005-0000-0000-000042160000}"/>
    <cellStyle name="Normal 4 6 2 4 2 2 2" xfId="19988" xr:uid="{12144FAC-F9F9-4671-BAE1-2D7EF09EE1C2}"/>
    <cellStyle name="Normal 4 6 2 4 2 3" xfId="11559" xr:uid="{99766D3E-FF67-4AA5-BD23-0CEE53379A3E}"/>
    <cellStyle name="Normal 4 6 2 4 2 4" xfId="15770" xr:uid="{93B762B6-7BC1-4B34-8CD4-446709D26486}"/>
    <cellStyle name="Normal 4 6 2 4 3" xfId="5182" xr:uid="{00000000-0005-0000-0000-000043160000}"/>
    <cellStyle name="Normal 4 6 2 4 3 2" xfId="17843" xr:uid="{B736B538-5279-4D83-8348-BE9C9333C7C1}"/>
    <cellStyle name="Normal 4 6 2 4 4" xfId="9414" xr:uid="{DAF9B1B4-A29B-4EF7-92C6-8804C89CC440}"/>
    <cellStyle name="Normal 4 6 2 4 5" xfId="13625" xr:uid="{FEEC24AC-EB49-4D1F-A77B-9D44DE548EF6}"/>
    <cellStyle name="Normal 4 6 2 5" xfId="1288" xr:uid="{00000000-0005-0000-0000-000044160000}"/>
    <cellStyle name="Normal 4 6 2 5 2" xfId="3518" xr:uid="{00000000-0005-0000-0000-000045160000}"/>
    <cellStyle name="Normal 4 6 2 5 2 2" xfId="7740" xr:uid="{00000000-0005-0000-0000-000046160000}"/>
    <cellStyle name="Normal 4 6 2 5 2 2 2" xfId="20401" xr:uid="{120E3617-A484-4614-BAA4-7A10EC7F4EE5}"/>
    <cellStyle name="Normal 4 6 2 5 2 3" xfId="11972" xr:uid="{F9DC1D9F-E6BF-4AFD-8D64-590BDE1BB7A9}"/>
    <cellStyle name="Normal 4 6 2 5 2 4" xfId="16183" xr:uid="{4AF45451-819A-4EA8-A087-E5200A8A9B33}"/>
    <cellStyle name="Normal 4 6 2 5 3" xfId="5595" xr:uid="{00000000-0005-0000-0000-000047160000}"/>
    <cellStyle name="Normal 4 6 2 5 3 2" xfId="18256" xr:uid="{1D26AD39-0F7B-47AB-96B6-4B5F583C4470}"/>
    <cellStyle name="Normal 4 6 2 5 4" xfId="9827" xr:uid="{0516924B-EC2D-4198-8458-1591443A0706}"/>
    <cellStyle name="Normal 4 6 2 5 5" xfId="14038" xr:uid="{726AFBBE-FFAA-42CD-BF4D-4CA979562D40}"/>
    <cellStyle name="Normal 4 6 2 6" xfId="1701" xr:uid="{00000000-0005-0000-0000-000048160000}"/>
    <cellStyle name="Normal 4 6 2 6 2" xfId="3931" xr:uid="{00000000-0005-0000-0000-000049160000}"/>
    <cellStyle name="Normal 4 6 2 6 2 2" xfId="8153" xr:uid="{00000000-0005-0000-0000-00004A160000}"/>
    <cellStyle name="Normal 4 6 2 6 2 2 2" xfId="20814" xr:uid="{B2E2E843-87B7-4824-ACB4-DB626D5F660F}"/>
    <cellStyle name="Normal 4 6 2 6 2 3" xfId="12385" xr:uid="{9FB40FD9-1DAD-4CE7-83DB-60C5B31ED58E}"/>
    <cellStyle name="Normal 4 6 2 6 2 4" xfId="16596" xr:uid="{B8AF4F0A-F0CF-4F2E-93D9-4477BCC0F057}"/>
    <cellStyle name="Normal 4 6 2 6 3" xfId="6008" xr:uid="{00000000-0005-0000-0000-00004B160000}"/>
    <cellStyle name="Normal 4 6 2 6 3 2" xfId="18669" xr:uid="{EEBB446B-2D99-4470-B147-B8F2FE5CBDEC}"/>
    <cellStyle name="Normal 4 6 2 6 4" xfId="10240" xr:uid="{B757A256-BE8C-4251-BB0A-378DDE5FAE60}"/>
    <cellStyle name="Normal 4 6 2 6 5" xfId="14451" xr:uid="{4392FAFA-D665-4109-91AD-7C9178528A05}"/>
    <cellStyle name="Normal 4 6 2 7" xfId="2115" xr:uid="{00000000-0005-0000-0000-00004C160000}"/>
    <cellStyle name="Normal 4 6 2 7 2" xfId="4344" xr:uid="{00000000-0005-0000-0000-00004D160000}"/>
    <cellStyle name="Normal 4 6 2 7 2 2" xfId="8566" xr:uid="{00000000-0005-0000-0000-00004E160000}"/>
    <cellStyle name="Normal 4 6 2 7 2 2 2" xfId="21227" xr:uid="{D0AEBC22-B903-4DC2-A50C-17A9C66F88D4}"/>
    <cellStyle name="Normal 4 6 2 7 2 3" xfId="12798" xr:uid="{1CD996BA-9F5D-4AE1-9658-FB5D69AF212E}"/>
    <cellStyle name="Normal 4 6 2 7 2 4" xfId="17009" xr:uid="{096E7D22-F9B0-4F13-9BFE-B6C839849AF6}"/>
    <cellStyle name="Normal 4 6 2 7 3" xfId="6421" xr:uid="{00000000-0005-0000-0000-00004F160000}"/>
    <cellStyle name="Normal 4 6 2 7 3 2" xfId="19082" xr:uid="{332EECF4-956C-455D-A06B-54919ACA368D}"/>
    <cellStyle name="Normal 4 6 2 7 4" xfId="10653" xr:uid="{991E501A-26E9-4702-B4AF-11B6F29B91C7}"/>
    <cellStyle name="Normal 4 6 2 7 5" xfId="14864" xr:uid="{32CA3E2D-F769-4ADC-9EF2-56562A774124}"/>
    <cellStyle name="Normal 4 6 2 8" xfId="2551" xr:uid="{00000000-0005-0000-0000-000050160000}"/>
    <cellStyle name="Normal 4 6 2 8 2" xfId="6834" xr:uid="{00000000-0005-0000-0000-000051160000}"/>
    <cellStyle name="Normal 4 6 2 8 2 2" xfId="19495" xr:uid="{DA191C1A-A27E-433A-991E-0014680638B6}"/>
    <cellStyle name="Normal 4 6 2 8 3" xfId="11066" xr:uid="{9F636D65-145E-4B67-AFD8-288E1AB5C607}"/>
    <cellStyle name="Normal 4 6 2 8 4" xfId="15277" xr:uid="{F9D1FCE4-09F6-40D1-AE43-4F16D810CE0C}"/>
    <cellStyle name="Normal 4 6 2 9" xfId="4769" xr:uid="{00000000-0005-0000-0000-000052160000}"/>
    <cellStyle name="Normal 4 6 2 9 2" xfId="17430" xr:uid="{4AFD8326-77CC-4A00-81F9-1B0A1C97A772}"/>
    <cellStyle name="Normal 4 6 3" xfId="400" xr:uid="{00000000-0005-0000-0000-000053160000}"/>
    <cellStyle name="Normal 4 6 3 10" xfId="13216" xr:uid="{951C9A48-2D33-427E-885F-496A40195445}"/>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9993" xr:uid="{01860613-EC7A-446F-8134-F7E450EDD7F8}"/>
    <cellStyle name="Normal 4 6 3 2 2 2 3" xfId="11564" xr:uid="{429D698D-0493-48BC-ABB3-77890FB7613B}"/>
    <cellStyle name="Normal 4 6 3 2 2 2 4" xfId="15775" xr:uid="{A4706B3B-B6E3-4875-8751-2C1979F9B9DF}"/>
    <cellStyle name="Normal 4 6 3 2 2 3" xfId="5187" xr:uid="{00000000-0005-0000-0000-000058160000}"/>
    <cellStyle name="Normal 4 6 3 2 2 3 2" xfId="17848" xr:uid="{A2D67849-7467-43DF-862D-69832367C878}"/>
    <cellStyle name="Normal 4 6 3 2 2 4" xfId="9419" xr:uid="{77A5F463-1F0C-4446-B728-3B4E22659036}"/>
    <cellStyle name="Normal 4 6 3 2 2 5" xfId="13630" xr:uid="{71653ABA-CE9F-48A6-BD7A-F0EB8EA2CDA6}"/>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20406" xr:uid="{7ED3ACF6-4F6C-42E9-B691-3E39AD3D3F05}"/>
    <cellStyle name="Normal 4 6 3 2 3 2 3" xfId="11977" xr:uid="{B907BDD7-7219-4E70-A655-6E7DAA038409}"/>
    <cellStyle name="Normal 4 6 3 2 3 2 4" xfId="16188" xr:uid="{A42FAE22-F870-4DF5-827A-D53A4C6D5B3E}"/>
    <cellStyle name="Normal 4 6 3 2 3 3" xfId="5600" xr:uid="{00000000-0005-0000-0000-00005C160000}"/>
    <cellStyle name="Normal 4 6 3 2 3 3 2" xfId="18261" xr:uid="{907457BC-A0BF-4A87-90E6-0120678F18AE}"/>
    <cellStyle name="Normal 4 6 3 2 3 4" xfId="9832" xr:uid="{37EB1865-0A2D-46D1-B068-6CD7A956309B}"/>
    <cellStyle name="Normal 4 6 3 2 3 5" xfId="14043" xr:uid="{B8D17320-7891-48F9-946E-AB4BBC1A8E96}"/>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20819" xr:uid="{94A7E2DA-3CD3-43AF-9F75-19BD7F2511DE}"/>
    <cellStyle name="Normal 4 6 3 2 4 2 3" xfId="12390" xr:uid="{23518659-7EC8-406C-B99C-0763F9A30544}"/>
    <cellStyle name="Normal 4 6 3 2 4 2 4" xfId="16601" xr:uid="{A52EE72E-C9BD-44B7-83C4-02354E1C0177}"/>
    <cellStyle name="Normal 4 6 3 2 4 3" xfId="6013" xr:uid="{00000000-0005-0000-0000-000060160000}"/>
    <cellStyle name="Normal 4 6 3 2 4 3 2" xfId="18674" xr:uid="{D18C6BB9-8758-49B5-BC82-9F38FD2C2638}"/>
    <cellStyle name="Normal 4 6 3 2 4 4" xfId="10245" xr:uid="{CF4D7C31-BC8C-4824-907B-14B55EE8C3F9}"/>
    <cellStyle name="Normal 4 6 3 2 4 5" xfId="14456" xr:uid="{ACC3F4E5-B639-4E0F-A42A-98EA393A1739}"/>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21232" xr:uid="{E29D080D-1453-4FD8-A6E0-543503710676}"/>
    <cellStyle name="Normal 4 6 3 2 5 2 3" xfId="12803" xr:uid="{E0652A13-BF88-4185-8EC9-AABF89A43795}"/>
    <cellStyle name="Normal 4 6 3 2 5 2 4" xfId="17014" xr:uid="{C6F328EB-CEC8-4552-9AC4-9BD3E97B5F27}"/>
    <cellStyle name="Normal 4 6 3 2 5 3" xfId="6426" xr:uid="{00000000-0005-0000-0000-000064160000}"/>
    <cellStyle name="Normal 4 6 3 2 5 3 2" xfId="19087" xr:uid="{DAAE08E3-F8F4-412E-A281-6292E1F06573}"/>
    <cellStyle name="Normal 4 6 3 2 5 4" xfId="10658" xr:uid="{B1A2082F-ED59-49F5-BACC-0A0E16C91BD9}"/>
    <cellStyle name="Normal 4 6 3 2 5 5" xfId="14869" xr:uid="{F43FF02C-7FEA-43CA-AA1E-29F0FCE616A6}"/>
    <cellStyle name="Normal 4 6 3 2 6" xfId="2556" xr:uid="{00000000-0005-0000-0000-000065160000}"/>
    <cellStyle name="Normal 4 6 3 2 6 2" xfId="6839" xr:uid="{00000000-0005-0000-0000-000066160000}"/>
    <cellStyle name="Normal 4 6 3 2 6 2 2" xfId="19500" xr:uid="{DEBCBA3F-8156-4370-86CF-232CBB6599D5}"/>
    <cellStyle name="Normal 4 6 3 2 6 3" xfId="11071" xr:uid="{4B56A17D-B8EA-4DC3-98EF-2E56D676523E}"/>
    <cellStyle name="Normal 4 6 3 2 6 4" xfId="15282" xr:uid="{EF913EF4-9D2B-4A0F-8B25-2228EDF82995}"/>
    <cellStyle name="Normal 4 6 3 2 7" xfId="4774" xr:uid="{00000000-0005-0000-0000-000067160000}"/>
    <cellStyle name="Normal 4 6 3 2 7 2" xfId="17435" xr:uid="{17F4F9B5-905D-4383-92ED-A23D1EE15F2A}"/>
    <cellStyle name="Normal 4 6 3 2 8" xfId="9006" xr:uid="{F0B22B98-311E-4402-B7D6-DE0734E89F01}"/>
    <cellStyle name="Normal 4 6 3 2 9" xfId="13217" xr:uid="{03745516-8F82-45ED-A0D2-B38B2E29D1A0}"/>
    <cellStyle name="Normal 4 6 3 3" xfId="874" xr:uid="{00000000-0005-0000-0000-000068160000}"/>
    <cellStyle name="Normal 4 6 3 3 2" xfId="3109" xr:uid="{00000000-0005-0000-0000-000069160000}"/>
    <cellStyle name="Normal 4 6 3 3 2 2" xfId="7331" xr:uid="{00000000-0005-0000-0000-00006A160000}"/>
    <cellStyle name="Normal 4 6 3 3 2 2 2" xfId="19992" xr:uid="{CACE402F-CC50-48F6-8B33-F2815C72E23F}"/>
    <cellStyle name="Normal 4 6 3 3 2 3" xfId="11563" xr:uid="{E4DCFC0C-A5ED-47FA-9295-1DE685FFD0C0}"/>
    <cellStyle name="Normal 4 6 3 3 2 4" xfId="15774" xr:uid="{48154719-7F15-4064-AAE8-64DE5009C2F6}"/>
    <cellStyle name="Normal 4 6 3 3 3" xfId="5186" xr:uid="{00000000-0005-0000-0000-00006B160000}"/>
    <cellStyle name="Normal 4 6 3 3 3 2" xfId="17847" xr:uid="{2CE1DDA2-29A0-4565-819F-646C98102C75}"/>
    <cellStyle name="Normal 4 6 3 3 4" xfId="9418" xr:uid="{7FA291F3-BE6D-482D-9D93-1FDDECA2C783}"/>
    <cellStyle name="Normal 4 6 3 3 5" xfId="13629" xr:uid="{E3171CD1-F777-42FC-BEC5-7BF061480E48}"/>
    <cellStyle name="Normal 4 6 3 4" xfId="1292" xr:uid="{00000000-0005-0000-0000-00006C160000}"/>
    <cellStyle name="Normal 4 6 3 4 2" xfId="3522" xr:uid="{00000000-0005-0000-0000-00006D160000}"/>
    <cellStyle name="Normal 4 6 3 4 2 2" xfId="7744" xr:uid="{00000000-0005-0000-0000-00006E160000}"/>
    <cellStyle name="Normal 4 6 3 4 2 2 2" xfId="20405" xr:uid="{3DC6AE39-4385-4CBE-9F1E-95093F328412}"/>
    <cellStyle name="Normal 4 6 3 4 2 3" xfId="11976" xr:uid="{BF98912C-D37A-4367-917B-F0F20255DF50}"/>
    <cellStyle name="Normal 4 6 3 4 2 4" xfId="16187" xr:uid="{0035B125-FFC9-416C-82A6-386A2A194C19}"/>
    <cellStyle name="Normal 4 6 3 4 3" xfId="5599" xr:uid="{00000000-0005-0000-0000-00006F160000}"/>
    <cellStyle name="Normal 4 6 3 4 3 2" xfId="18260" xr:uid="{81E69294-CA61-47BB-B75C-EA4A356BC35D}"/>
    <cellStyle name="Normal 4 6 3 4 4" xfId="9831" xr:uid="{E939DD78-4113-4FFE-94EF-D4C710F3BCBB}"/>
    <cellStyle name="Normal 4 6 3 4 5" xfId="14042" xr:uid="{4ED7B196-0658-4F7B-B5C6-999C9C2757D0}"/>
    <cellStyle name="Normal 4 6 3 5" xfId="1705" xr:uid="{00000000-0005-0000-0000-000070160000}"/>
    <cellStyle name="Normal 4 6 3 5 2" xfId="3935" xr:uid="{00000000-0005-0000-0000-000071160000}"/>
    <cellStyle name="Normal 4 6 3 5 2 2" xfId="8157" xr:uid="{00000000-0005-0000-0000-000072160000}"/>
    <cellStyle name="Normal 4 6 3 5 2 2 2" xfId="20818" xr:uid="{8CA2497D-687C-4EF9-ACE2-F1D0163A5609}"/>
    <cellStyle name="Normal 4 6 3 5 2 3" xfId="12389" xr:uid="{2D6740BD-F73C-4B33-8396-4E3363DC235B}"/>
    <cellStyle name="Normal 4 6 3 5 2 4" xfId="16600" xr:uid="{BD62080A-28CA-4849-8DDB-AA29D1ECDA2B}"/>
    <cellStyle name="Normal 4 6 3 5 3" xfId="6012" xr:uid="{00000000-0005-0000-0000-000073160000}"/>
    <cellStyle name="Normal 4 6 3 5 3 2" xfId="18673" xr:uid="{239C9E5B-4928-4355-A45B-3A3D43047A21}"/>
    <cellStyle name="Normal 4 6 3 5 4" xfId="10244" xr:uid="{F33708E9-F9B2-4B19-82B1-117CB19CCBC6}"/>
    <cellStyle name="Normal 4 6 3 5 5" xfId="14455" xr:uid="{1249028A-D18D-4DEA-B75A-3849A5B46CB7}"/>
    <cellStyle name="Normal 4 6 3 6" xfId="2119" xr:uid="{00000000-0005-0000-0000-000074160000}"/>
    <cellStyle name="Normal 4 6 3 6 2" xfId="4348" xr:uid="{00000000-0005-0000-0000-000075160000}"/>
    <cellStyle name="Normal 4 6 3 6 2 2" xfId="8570" xr:uid="{00000000-0005-0000-0000-000076160000}"/>
    <cellStyle name="Normal 4 6 3 6 2 2 2" xfId="21231" xr:uid="{E85B9CE9-B529-48D9-9CB7-3C97A792C02C}"/>
    <cellStyle name="Normal 4 6 3 6 2 3" xfId="12802" xr:uid="{822C2834-8C75-4681-85D0-3F05DF9934F3}"/>
    <cellStyle name="Normal 4 6 3 6 2 4" xfId="17013" xr:uid="{DFC34FB2-220B-4649-885F-B2C0B1ADFE53}"/>
    <cellStyle name="Normal 4 6 3 6 3" xfId="6425" xr:uid="{00000000-0005-0000-0000-000077160000}"/>
    <cellStyle name="Normal 4 6 3 6 3 2" xfId="19086" xr:uid="{2667428C-59AE-4976-AB86-0EE45F7C6482}"/>
    <cellStyle name="Normal 4 6 3 6 4" xfId="10657" xr:uid="{F7B4000D-4956-4942-9764-FADFD68E8BC6}"/>
    <cellStyle name="Normal 4 6 3 6 5" xfId="14868" xr:uid="{165AF13E-B1C3-4DED-9705-19589611B51B}"/>
    <cellStyle name="Normal 4 6 3 7" xfId="2555" xr:uid="{00000000-0005-0000-0000-000078160000}"/>
    <cellStyle name="Normal 4 6 3 7 2" xfId="6838" xr:uid="{00000000-0005-0000-0000-000079160000}"/>
    <cellStyle name="Normal 4 6 3 7 2 2" xfId="19499" xr:uid="{0E9B1C2A-54D5-4FF0-BB4A-338BDC9D1AB9}"/>
    <cellStyle name="Normal 4 6 3 7 3" xfId="11070" xr:uid="{9CA74790-9CDE-4D05-9E29-E109058E6524}"/>
    <cellStyle name="Normal 4 6 3 7 4" xfId="15281" xr:uid="{E61512F3-4CF6-47C2-8F1E-43A5701D3A46}"/>
    <cellStyle name="Normal 4 6 3 8" xfId="4773" xr:uid="{00000000-0005-0000-0000-00007A160000}"/>
    <cellStyle name="Normal 4 6 3 8 2" xfId="17434" xr:uid="{3B4AC8EB-1BF6-40EE-834E-DACFC6F62E29}"/>
    <cellStyle name="Normal 4 6 3 9" xfId="9005" xr:uid="{573C6151-81CD-48EC-B18E-0CE99FD62DCF}"/>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9994" xr:uid="{B8933C1D-419C-4415-9AD6-6542F9D2D7BD}"/>
    <cellStyle name="Normal 4 6 4 2 2 3" xfId="11565" xr:uid="{1A178E74-0404-4807-B942-91EA7131A785}"/>
    <cellStyle name="Normal 4 6 4 2 2 4" xfId="15776" xr:uid="{7FE88AE4-653C-41F7-B024-6ECBC2BDC636}"/>
    <cellStyle name="Normal 4 6 4 2 3" xfId="5188" xr:uid="{00000000-0005-0000-0000-00007F160000}"/>
    <cellStyle name="Normal 4 6 4 2 3 2" xfId="17849" xr:uid="{93E4EDE5-B4FD-4689-B2F3-2BCF3BF38AB2}"/>
    <cellStyle name="Normal 4 6 4 2 4" xfId="9420" xr:uid="{06B3DB07-4FE2-4E89-8141-A0CBE6F3377C}"/>
    <cellStyle name="Normal 4 6 4 2 5" xfId="13631" xr:uid="{3C7980D6-13DD-4B04-BD1F-379AF762F04C}"/>
    <cellStyle name="Normal 4 6 4 3" xfId="1294" xr:uid="{00000000-0005-0000-0000-000080160000}"/>
    <cellStyle name="Normal 4 6 4 3 2" xfId="3524" xr:uid="{00000000-0005-0000-0000-000081160000}"/>
    <cellStyle name="Normal 4 6 4 3 2 2" xfId="7746" xr:uid="{00000000-0005-0000-0000-000082160000}"/>
    <cellStyle name="Normal 4 6 4 3 2 2 2" xfId="20407" xr:uid="{F0453F48-53B1-476F-81D0-693300A19CF5}"/>
    <cellStyle name="Normal 4 6 4 3 2 3" xfId="11978" xr:uid="{EA338032-B081-4148-8C12-FB1516FF2DF7}"/>
    <cellStyle name="Normal 4 6 4 3 2 4" xfId="16189" xr:uid="{08FE45E4-3452-4732-BFA4-1CA47B402E04}"/>
    <cellStyle name="Normal 4 6 4 3 3" xfId="5601" xr:uid="{00000000-0005-0000-0000-000083160000}"/>
    <cellStyle name="Normal 4 6 4 3 3 2" xfId="18262" xr:uid="{090D7A53-8908-4835-9F66-ABA595DC0FFC}"/>
    <cellStyle name="Normal 4 6 4 3 4" xfId="9833" xr:uid="{A28F8904-73B2-47CD-9FF8-F4DBE9F14700}"/>
    <cellStyle name="Normal 4 6 4 3 5" xfId="14044" xr:uid="{A18A3F8F-6173-40D6-AFE7-34626E24004B}"/>
    <cellStyle name="Normal 4 6 4 4" xfId="1707" xr:uid="{00000000-0005-0000-0000-000084160000}"/>
    <cellStyle name="Normal 4 6 4 4 2" xfId="3937" xr:uid="{00000000-0005-0000-0000-000085160000}"/>
    <cellStyle name="Normal 4 6 4 4 2 2" xfId="8159" xr:uid="{00000000-0005-0000-0000-000086160000}"/>
    <cellStyle name="Normal 4 6 4 4 2 2 2" xfId="20820" xr:uid="{8C1666ED-CFF2-4445-B60E-19AE2291BA35}"/>
    <cellStyle name="Normal 4 6 4 4 2 3" xfId="12391" xr:uid="{5B2FD575-3F06-485A-9F7F-BC46221BB1EF}"/>
    <cellStyle name="Normal 4 6 4 4 2 4" xfId="16602" xr:uid="{A286D5BF-53FE-4C5E-820F-76155A5A9B8F}"/>
    <cellStyle name="Normal 4 6 4 4 3" xfId="6014" xr:uid="{00000000-0005-0000-0000-000087160000}"/>
    <cellStyle name="Normal 4 6 4 4 3 2" xfId="18675" xr:uid="{5E671CA2-14D5-4C53-98F7-C01E34261413}"/>
    <cellStyle name="Normal 4 6 4 4 4" xfId="10246" xr:uid="{769536F0-3E55-4B18-BF48-39A356BD7C4A}"/>
    <cellStyle name="Normal 4 6 4 4 5" xfId="14457" xr:uid="{A9BB4BB3-0D79-4EFA-B6CF-295C4DCC7797}"/>
    <cellStyle name="Normal 4 6 4 5" xfId="2121" xr:uid="{00000000-0005-0000-0000-000088160000}"/>
    <cellStyle name="Normal 4 6 4 5 2" xfId="4350" xr:uid="{00000000-0005-0000-0000-000089160000}"/>
    <cellStyle name="Normal 4 6 4 5 2 2" xfId="8572" xr:uid="{00000000-0005-0000-0000-00008A160000}"/>
    <cellStyle name="Normal 4 6 4 5 2 2 2" xfId="21233" xr:uid="{946E1F5E-7E46-4D83-AA9B-CE10DFA2C02F}"/>
    <cellStyle name="Normal 4 6 4 5 2 3" xfId="12804" xr:uid="{F4930337-7D57-4304-8376-3AE509713C43}"/>
    <cellStyle name="Normal 4 6 4 5 2 4" xfId="17015" xr:uid="{015E41E8-35EE-4A7B-A844-9325CE6BE182}"/>
    <cellStyle name="Normal 4 6 4 5 3" xfId="6427" xr:uid="{00000000-0005-0000-0000-00008B160000}"/>
    <cellStyle name="Normal 4 6 4 5 3 2" xfId="19088" xr:uid="{63FD2D0F-4783-4374-8DD5-469D7FF944A7}"/>
    <cellStyle name="Normal 4 6 4 5 4" xfId="10659" xr:uid="{4AB49C77-9B76-4193-B0EF-BF0EAFCD21DE}"/>
    <cellStyle name="Normal 4 6 4 5 5" xfId="14870" xr:uid="{796667FA-153A-4C68-B4E4-B5F95E6FBE0D}"/>
    <cellStyle name="Normal 4 6 4 6" xfId="2557" xr:uid="{00000000-0005-0000-0000-00008C160000}"/>
    <cellStyle name="Normal 4 6 4 6 2" xfId="6840" xr:uid="{00000000-0005-0000-0000-00008D160000}"/>
    <cellStyle name="Normal 4 6 4 6 2 2" xfId="19501" xr:uid="{B7C8B4D0-294A-4ACF-91A3-1DE8E7DCFC0D}"/>
    <cellStyle name="Normal 4 6 4 6 3" xfId="11072" xr:uid="{BD2DC293-ABFC-49DF-AA3F-A0AA24257819}"/>
    <cellStyle name="Normal 4 6 4 6 4" xfId="15283" xr:uid="{69B18780-D275-425D-BEB1-16F129023E5A}"/>
    <cellStyle name="Normal 4 6 4 7" xfId="4775" xr:uid="{00000000-0005-0000-0000-00008E160000}"/>
    <cellStyle name="Normal 4 6 4 7 2" xfId="17436" xr:uid="{822B2874-42B1-4D3A-9EE8-15C96F359CEE}"/>
    <cellStyle name="Normal 4 6 4 8" xfId="9007" xr:uid="{D699A550-9620-4505-92D9-D4CFABECF5F1}"/>
    <cellStyle name="Normal 4 6 4 9" xfId="13218" xr:uid="{F6B749BF-C10F-4127-9813-F025D32A4274}"/>
    <cellStyle name="Normal 4 6 5" xfId="869" xr:uid="{00000000-0005-0000-0000-00008F160000}"/>
    <cellStyle name="Normal 4 6 5 2" xfId="3104" xr:uid="{00000000-0005-0000-0000-000090160000}"/>
    <cellStyle name="Normal 4 6 5 2 2" xfId="7326" xr:uid="{00000000-0005-0000-0000-000091160000}"/>
    <cellStyle name="Normal 4 6 5 2 2 2" xfId="19987" xr:uid="{DA70D9D0-CD0E-47B2-A05A-1F44E6436FE5}"/>
    <cellStyle name="Normal 4 6 5 2 3" xfId="11558" xr:uid="{A1349E1D-FFBC-42A5-B7C3-C2FB176942D1}"/>
    <cellStyle name="Normal 4 6 5 2 4" xfId="15769" xr:uid="{1DEFA1B5-FDF0-4618-95BE-17398CB3A0FD}"/>
    <cellStyle name="Normal 4 6 5 3" xfId="5181" xr:uid="{00000000-0005-0000-0000-000092160000}"/>
    <cellStyle name="Normal 4 6 5 3 2" xfId="17842" xr:uid="{5FBA209D-61AF-4B97-A6BF-D208CF5E104D}"/>
    <cellStyle name="Normal 4 6 5 4" xfId="9413" xr:uid="{A79DE87D-4799-4E41-BCD9-D0E0A78EF56A}"/>
    <cellStyle name="Normal 4 6 5 5" xfId="13624" xr:uid="{9A5FC80E-1700-4827-925B-56A60F3D7907}"/>
    <cellStyle name="Normal 4 6 6" xfId="1287" xr:uid="{00000000-0005-0000-0000-000093160000}"/>
    <cellStyle name="Normal 4 6 6 2" xfId="3517" xr:uid="{00000000-0005-0000-0000-000094160000}"/>
    <cellStyle name="Normal 4 6 6 2 2" xfId="7739" xr:uid="{00000000-0005-0000-0000-000095160000}"/>
    <cellStyle name="Normal 4 6 6 2 2 2" xfId="20400" xr:uid="{679CB3ED-19D3-4DDC-A466-7DC3DE585AD4}"/>
    <cellStyle name="Normal 4 6 6 2 3" xfId="11971" xr:uid="{FD40AEC7-9B0B-41FD-A5CF-5FA92A349BD2}"/>
    <cellStyle name="Normal 4 6 6 2 4" xfId="16182" xr:uid="{CF83774C-60CA-4238-B5CE-5503E8EFA071}"/>
    <cellStyle name="Normal 4 6 6 3" xfId="5594" xr:uid="{00000000-0005-0000-0000-000096160000}"/>
    <cellStyle name="Normal 4 6 6 3 2" xfId="18255" xr:uid="{D4356CB4-91FF-4C43-B4E2-EF6E98741599}"/>
    <cellStyle name="Normal 4 6 6 4" xfId="9826" xr:uid="{3DB0FF6B-5763-42AA-86C3-95E8837C3049}"/>
    <cellStyle name="Normal 4 6 6 5" xfId="14037" xr:uid="{BA6C9225-4311-4CDA-946F-101C76602C1B}"/>
    <cellStyle name="Normal 4 6 7" xfId="1700" xr:uid="{00000000-0005-0000-0000-000097160000}"/>
    <cellStyle name="Normal 4 6 7 2" xfId="3930" xr:uid="{00000000-0005-0000-0000-000098160000}"/>
    <cellStyle name="Normal 4 6 7 2 2" xfId="8152" xr:uid="{00000000-0005-0000-0000-000099160000}"/>
    <cellStyle name="Normal 4 6 7 2 2 2" xfId="20813" xr:uid="{241C2EBF-0372-4CA0-97DC-BFCCA5B33A65}"/>
    <cellStyle name="Normal 4 6 7 2 3" xfId="12384" xr:uid="{4BDCC0E4-0A33-418D-AED7-B26E93FBB8EE}"/>
    <cellStyle name="Normal 4 6 7 2 4" xfId="16595" xr:uid="{61B2F7BF-B962-4935-9A03-09ACC6897609}"/>
    <cellStyle name="Normal 4 6 7 3" xfId="6007" xr:uid="{00000000-0005-0000-0000-00009A160000}"/>
    <cellStyle name="Normal 4 6 7 3 2" xfId="18668" xr:uid="{3DBEA55C-74EC-4B76-BEA9-E66323C3C713}"/>
    <cellStyle name="Normal 4 6 7 4" xfId="10239" xr:uid="{DB089100-843F-41F8-9C5C-2FD24C5AAD60}"/>
    <cellStyle name="Normal 4 6 7 5" xfId="14450" xr:uid="{60BFA30C-8304-4AFB-8F80-9DA95C38FB38}"/>
    <cellStyle name="Normal 4 6 8" xfId="2114" xr:uid="{00000000-0005-0000-0000-00009B160000}"/>
    <cellStyle name="Normal 4 6 8 2" xfId="4343" xr:uid="{00000000-0005-0000-0000-00009C160000}"/>
    <cellStyle name="Normal 4 6 8 2 2" xfId="8565" xr:uid="{00000000-0005-0000-0000-00009D160000}"/>
    <cellStyle name="Normal 4 6 8 2 2 2" xfId="21226" xr:uid="{4DE76E06-7247-4CAE-A5E4-22BA11C90277}"/>
    <cellStyle name="Normal 4 6 8 2 3" xfId="12797" xr:uid="{04702125-F339-48F2-9770-AF9243F4B05D}"/>
    <cellStyle name="Normal 4 6 8 2 4" xfId="17008" xr:uid="{DD3EF4A0-4019-4C9F-B393-E93D0B91D310}"/>
    <cellStyle name="Normal 4 6 8 3" xfId="6420" xr:uid="{00000000-0005-0000-0000-00009E160000}"/>
    <cellStyle name="Normal 4 6 8 3 2" xfId="19081" xr:uid="{2CD38CDF-2C20-46F8-9118-6913A9AFCCE3}"/>
    <cellStyle name="Normal 4 6 8 4" xfId="10652" xr:uid="{DC476162-DEEA-4D2F-A010-7DAFF5E98352}"/>
    <cellStyle name="Normal 4 6 8 5" xfId="14863" xr:uid="{2065FB19-8B2B-40A6-AEF2-C3C817CE4768}"/>
    <cellStyle name="Normal 4 6 9" xfId="2550" xr:uid="{00000000-0005-0000-0000-00009F160000}"/>
    <cellStyle name="Normal 4 6 9 2" xfId="6833" xr:uid="{00000000-0005-0000-0000-0000A0160000}"/>
    <cellStyle name="Normal 4 6 9 2 2" xfId="19494" xr:uid="{64EDFA77-CE60-4C52-9683-F935C671C9C5}"/>
    <cellStyle name="Normal 4 6 9 3" xfId="11065" xr:uid="{3EA3F998-5DBC-4A7C-8640-6507202CF2D5}"/>
    <cellStyle name="Normal 4 6 9 4" xfId="15276" xr:uid="{5DD3BFBD-34EF-4FF2-B41C-D07356F96B7B}"/>
    <cellStyle name="Normal 4 7" xfId="403" xr:uid="{00000000-0005-0000-0000-0000A1160000}"/>
    <cellStyle name="Normal 4 7 10" xfId="13219" xr:uid="{9CA8609A-CDA4-4435-8E3D-AFF03BB6E65B}"/>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9996" xr:uid="{B28298A3-63B4-4480-97C5-462D3A4A8998}"/>
    <cellStyle name="Normal 4 7 2 2 2 3" xfId="11567" xr:uid="{492CF498-0DF8-49B9-A0A2-05B4BD803883}"/>
    <cellStyle name="Normal 4 7 2 2 2 4" xfId="15778" xr:uid="{3E61C38C-D45F-4399-BBF0-A7237D9507F6}"/>
    <cellStyle name="Normal 4 7 2 2 3" xfId="5190" xr:uid="{00000000-0005-0000-0000-0000A6160000}"/>
    <cellStyle name="Normal 4 7 2 2 3 2" xfId="17851" xr:uid="{AFA63080-9C6E-4FF5-931E-6E6B35E33992}"/>
    <cellStyle name="Normal 4 7 2 2 4" xfId="9422" xr:uid="{534D0F82-8ADE-45B7-984F-BA4F5E34D2B2}"/>
    <cellStyle name="Normal 4 7 2 2 5" xfId="13633" xr:uid="{08011423-B8F8-41A8-AEB0-D8E8C6B738A4}"/>
    <cellStyle name="Normal 4 7 2 3" xfId="1296" xr:uid="{00000000-0005-0000-0000-0000A7160000}"/>
    <cellStyle name="Normal 4 7 2 3 2" xfId="3526" xr:uid="{00000000-0005-0000-0000-0000A8160000}"/>
    <cellStyle name="Normal 4 7 2 3 2 2" xfId="7748" xr:uid="{00000000-0005-0000-0000-0000A9160000}"/>
    <cellStyle name="Normal 4 7 2 3 2 2 2" xfId="20409" xr:uid="{F65D1C9E-9F5B-43A7-8631-27EAC06A31D7}"/>
    <cellStyle name="Normal 4 7 2 3 2 3" xfId="11980" xr:uid="{6C1D1B25-EB6F-4BE5-AA0D-065799161BC4}"/>
    <cellStyle name="Normal 4 7 2 3 2 4" xfId="16191" xr:uid="{B7CF58CA-C206-4FCD-8061-CDE29B948D6A}"/>
    <cellStyle name="Normal 4 7 2 3 3" xfId="5603" xr:uid="{00000000-0005-0000-0000-0000AA160000}"/>
    <cellStyle name="Normal 4 7 2 3 3 2" xfId="18264" xr:uid="{CD749CA8-3E59-4D93-8F5B-A520C0DF0EB3}"/>
    <cellStyle name="Normal 4 7 2 3 4" xfId="9835" xr:uid="{3AB9EF15-56E0-4835-A36B-ADE6F2A3F1F3}"/>
    <cellStyle name="Normal 4 7 2 3 5" xfId="14046" xr:uid="{BAB67609-71D4-45E5-85B1-C08E725583BD}"/>
    <cellStyle name="Normal 4 7 2 4" xfId="1709" xr:uid="{00000000-0005-0000-0000-0000AB160000}"/>
    <cellStyle name="Normal 4 7 2 4 2" xfId="3939" xr:uid="{00000000-0005-0000-0000-0000AC160000}"/>
    <cellStyle name="Normal 4 7 2 4 2 2" xfId="8161" xr:uid="{00000000-0005-0000-0000-0000AD160000}"/>
    <cellStyle name="Normal 4 7 2 4 2 2 2" xfId="20822" xr:uid="{4D9D6CE9-213D-4E92-95DA-B99B2CD7D49E}"/>
    <cellStyle name="Normal 4 7 2 4 2 3" xfId="12393" xr:uid="{A654F8CC-D733-407C-A3C7-A5F09C2EE4F8}"/>
    <cellStyle name="Normal 4 7 2 4 2 4" xfId="16604" xr:uid="{E750AEA7-91CD-4928-8CBD-5CA63A7DF328}"/>
    <cellStyle name="Normal 4 7 2 4 3" xfId="6016" xr:uid="{00000000-0005-0000-0000-0000AE160000}"/>
    <cellStyle name="Normal 4 7 2 4 3 2" xfId="18677" xr:uid="{B89623CF-E174-489D-B8AC-42B4F998C8BE}"/>
    <cellStyle name="Normal 4 7 2 4 4" xfId="10248" xr:uid="{E6910D3E-3986-4812-8FDA-3A4E7840C8A5}"/>
    <cellStyle name="Normal 4 7 2 4 5" xfId="14459" xr:uid="{DE0AF915-BFAA-4E78-BD5D-3F44DFE44D44}"/>
    <cellStyle name="Normal 4 7 2 5" xfId="2123" xr:uid="{00000000-0005-0000-0000-0000AF160000}"/>
    <cellStyle name="Normal 4 7 2 5 2" xfId="4352" xr:uid="{00000000-0005-0000-0000-0000B0160000}"/>
    <cellStyle name="Normal 4 7 2 5 2 2" xfId="8574" xr:uid="{00000000-0005-0000-0000-0000B1160000}"/>
    <cellStyle name="Normal 4 7 2 5 2 2 2" xfId="21235" xr:uid="{B4A44377-C83D-499F-B2D2-95FBCA883A5B}"/>
    <cellStyle name="Normal 4 7 2 5 2 3" xfId="12806" xr:uid="{D6A900B9-6F38-495E-B28C-5135B6645D03}"/>
    <cellStyle name="Normal 4 7 2 5 2 4" xfId="17017" xr:uid="{79F34000-92C0-4FC9-80A3-995F2918B2EC}"/>
    <cellStyle name="Normal 4 7 2 5 3" xfId="6429" xr:uid="{00000000-0005-0000-0000-0000B2160000}"/>
    <cellStyle name="Normal 4 7 2 5 3 2" xfId="19090" xr:uid="{B178FF4A-C86D-4E42-A738-FAD6AE7FF440}"/>
    <cellStyle name="Normal 4 7 2 5 4" xfId="10661" xr:uid="{A113DDDF-67BB-4ADF-8000-4F8805EA2550}"/>
    <cellStyle name="Normal 4 7 2 5 5" xfId="14872" xr:uid="{18EF9AAA-CAF3-46EF-817B-D415FFF8F622}"/>
    <cellStyle name="Normal 4 7 2 6" xfId="2559" xr:uid="{00000000-0005-0000-0000-0000B3160000}"/>
    <cellStyle name="Normal 4 7 2 6 2" xfId="6842" xr:uid="{00000000-0005-0000-0000-0000B4160000}"/>
    <cellStyle name="Normal 4 7 2 6 2 2" xfId="19503" xr:uid="{3BC400E6-2880-4910-A7E3-9E21E01E13AC}"/>
    <cellStyle name="Normal 4 7 2 6 3" xfId="11074" xr:uid="{3C20C122-8B9B-4A58-8FE4-AE2BA37B8B8B}"/>
    <cellStyle name="Normal 4 7 2 6 4" xfId="15285" xr:uid="{40AEF9B6-BE17-451E-B676-15213B5086E1}"/>
    <cellStyle name="Normal 4 7 2 7" xfId="4777" xr:uid="{00000000-0005-0000-0000-0000B5160000}"/>
    <cellStyle name="Normal 4 7 2 7 2" xfId="17438" xr:uid="{9C65D176-01C7-4ED5-B4C8-8D271DD0A769}"/>
    <cellStyle name="Normal 4 7 2 8" xfId="9009" xr:uid="{5A74E523-10F5-4533-B1B9-781F8457E527}"/>
    <cellStyle name="Normal 4 7 2 9" xfId="13220" xr:uid="{759AC20D-87B2-48DD-9FE8-FB8E4EC0149D}"/>
    <cellStyle name="Normal 4 7 3" xfId="877" xr:uid="{00000000-0005-0000-0000-0000B6160000}"/>
    <cellStyle name="Normal 4 7 3 2" xfId="3112" xr:uid="{00000000-0005-0000-0000-0000B7160000}"/>
    <cellStyle name="Normal 4 7 3 2 2" xfId="7334" xr:uid="{00000000-0005-0000-0000-0000B8160000}"/>
    <cellStyle name="Normal 4 7 3 2 2 2" xfId="19995" xr:uid="{E342F56D-2324-4D75-B445-92D47EA37594}"/>
    <cellStyle name="Normal 4 7 3 2 3" xfId="11566" xr:uid="{80CCB24E-7B81-4491-98B7-F37E9B7AD314}"/>
    <cellStyle name="Normal 4 7 3 2 4" xfId="15777" xr:uid="{26187E2B-29B7-46E3-AB28-693D43D4E497}"/>
    <cellStyle name="Normal 4 7 3 3" xfId="5189" xr:uid="{00000000-0005-0000-0000-0000B9160000}"/>
    <cellStyle name="Normal 4 7 3 3 2" xfId="17850" xr:uid="{D0D58F6B-F54C-4FCD-9EE6-2687C3B7E417}"/>
    <cellStyle name="Normal 4 7 3 4" xfId="9421" xr:uid="{B603E6A9-4D5C-4D78-B4DC-F60BF83F62C8}"/>
    <cellStyle name="Normal 4 7 3 5" xfId="13632" xr:uid="{C9C6CD72-DFF5-4313-A708-ED6D3EB47975}"/>
    <cellStyle name="Normal 4 7 4" xfId="1295" xr:uid="{00000000-0005-0000-0000-0000BA160000}"/>
    <cellStyle name="Normal 4 7 4 2" xfId="3525" xr:uid="{00000000-0005-0000-0000-0000BB160000}"/>
    <cellStyle name="Normal 4 7 4 2 2" xfId="7747" xr:uid="{00000000-0005-0000-0000-0000BC160000}"/>
    <cellStyle name="Normal 4 7 4 2 2 2" xfId="20408" xr:uid="{D1AAE654-176B-415E-B02F-3981D7791355}"/>
    <cellStyle name="Normal 4 7 4 2 3" xfId="11979" xr:uid="{C4E388A9-DA13-488E-9DF3-39EBE47EFF73}"/>
    <cellStyle name="Normal 4 7 4 2 4" xfId="16190" xr:uid="{34A4B3B4-CAA2-4CD3-B19A-3E1788C3DDC1}"/>
    <cellStyle name="Normal 4 7 4 3" xfId="5602" xr:uid="{00000000-0005-0000-0000-0000BD160000}"/>
    <cellStyle name="Normal 4 7 4 3 2" xfId="18263" xr:uid="{2C6B4712-1090-411F-BE09-AA5C57B3A5D3}"/>
    <cellStyle name="Normal 4 7 4 4" xfId="9834" xr:uid="{0FFE0D65-0B24-49EE-9ACA-C3DE0B4726C0}"/>
    <cellStyle name="Normal 4 7 4 5" xfId="14045" xr:uid="{80A73CE5-FBA0-45AE-B569-EB968A21C664}"/>
    <cellStyle name="Normal 4 7 5" xfId="1708" xr:uid="{00000000-0005-0000-0000-0000BE160000}"/>
    <cellStyle name="Normal 4 7 5 2" xfId="3938" xr:uid="{00000000-0005-0000-0000-0000BF160000}"/>
    <cellStyle name="Normal 4 7 5 2 2" xfId="8160" xr:uid="{00000000-0005-0000-0000-0000C0160000}"/>
    <cellStyle name="Normal 4 7 5 2 2 2" xfId="20821" xr:uid="{6F448519-DCCB-45DA-A02C-1104E234AB63}"/>
    <cellStyle name="Normal 4 7 5 2 3" xfId="12392" xr:uid="{96F506A9-84AE-44FC-9440-6F238045E92C}"/>
    <cellStyle name="Normal 4 7 5 2 4" xfId="16603" xr:uid="{30B487CC-F3A9-4249-A7A3-A6E2897D0CA8}"/>
    <cellStyle name="Normal 4 7 5 3" xfId="6015" xr:uid="{00000000-0005-0000-0000-0000C1160000}"/>
    <cellStyle name="Normal 4 7 5 3 2" xfId="18676" xr:uid="{EA17FC78-3184-4494-8527-4EF7B7D9D51E}"/>
    <cellStyle name="Normal 4 7 5 4" xfId="10247" xr:uid="{84EB4473-0A25-4AD2-8EAD-C3AFCE58E5F6}"/>
    <cellStyle name="Normal 4 7 5 5" xfId="14458" xr:uid="{602CD77F-A860-4DBF-BD20-BDB53A687D6B}"/>
    <cellStyle name="Normal 4 7 6" xfId="2122" xr:uid="{00000000-0005-0000-0000-0000C2160000}"/>
    <cellStyle name="Normal 4 7 6 2" xfId="4351" xr:uid="{00000000-0005-0000-0000-0000C3160000}"/>
    <cellStyle name="Normal 4 7 6 2 2" xfId="8573" xr:uid="{00000000-0005-0000-0000-0000C4160000}"/>
    <cellStyle name="Normal 4 7 6 2 2 2" xfId="21234" xr:uid="{2009AFF4-288C-40EB-B27A-218CBE835C41}"/>
    <cellStyle name="Normal 4 7 6 2 3" xfId="12805" xr:uid="{B928D6E4-7BE0-415B-BF75-81356115CEF8}"/>
    <cellStyle name="Normal 4 7 6 2 4" xfId="17016" xr:uid="{24D97887-EF2C-4640-B02C-23605F522B18}"/>
    <cellStyle name="Normal 4 7 6 3" xfId="6428" xr:uid="{00000000-0005-0000-0000-0000C5160000}"/>
    <cellStyle name="Normal 4 7 6 3 2" xfId="19089" xr:uid="{B129B8FA-51A1-46B7-B831-3B9D4E945A26}"/>
    <cellStyle name="Normal 4 7 6 4" xfId="10660" xr:uid="{D247DE42-D460-4B21-9FA5-1B19E4094CC1}"/>
    <cellStyle name="Normal 4 7 6 5" xfId="14871" xr:uid="{59CBD8DA-3FF1-4610-A41E-17BFEEDA9AC7}"/>
    <cellStyle name="Normal 4 7 7" xfId="2558" xr:uid="{00000000-0005-0000-0000-0000C6160000}"/>
    <cellStyle name="Normal 4 7 7 2" xfId="6841" xr:uid="{00000000-0005-0000-0000-0000C7160000}"/>
    <cellStyle name="Normal 4 7 7 2 2" xfId="19502" xr:uid="{FF9D6493-F1D3-4940-B32C-EEA48BC612FF}"/>
    <cellStyle name="Normal 4 7 7 3" xfId="11073" xr:uid="{0A66A752-9A56-4110-A08D-4EA4C723A586}"/>
    <cellStyle name="Normal 4 7 7 4" xfId="15284" xr:uid="{BF4AB8D4-529C-48AF-A422-5A8198E1CC58}"/>
    <cellStyle name="Normal 4 7 8" xfId="4776" xr:uid="{00000000-0005-0000-0000-0000C8160000}"/>
    <cellStyle name="Normal 4 7 8 2" xfId="17437" xr:uid="{20A421FD-08DD-425A-94BE-46E7A660D623}"/>
    <cellStyle name="Normal 4 7 9" xfId="9008" xr:uid="{3CD0700B-7699-4B7F-979A-3CD27C2EF603}"/>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9997" xr:uid="{F9D46A01-A303-4487-AFC6-3275E4716E40}"/>
    <cellStyle name="Normal 4 8 2 2 3" xfId="11568" xr:uid="{24D80DFD-2501-4030-8A51-0892DE79977B}"/>
    <cellStyle name="Normal 4 8 2 2 4" xfId="15779" xr:uid="{F67F9678-D4CC-473A-BF63-DC7757DA1FDE}"/>
    <cellStyle name="Normal 4 8 2 3" xfId="5191" xr:uid="{00000000-0005-0000-0000-0000CD160000}"/>
    <cellStyle name="Normal 4 8 2 3 2" xfId="17852" xr:uid="{E87B2C92-3C0F-41B1-9847-BF1DC809C31F}"/>
    <cellStyle name="Normal 4 8 2 4" xfId="9423" xr:uid="{B5DF62DA-F3C2-4720-9839-2813FC0A47A0}"/>
    <cellStyle name="Normal 4 8 2 5" xfId="13634" xr:uid="{D3E26EE2-410B-45F2-8F72-D8F8B481D554}"/>
    <cellStyle name="Normal 4 8 3" xfId="1297" xr:uid="{00000000-0005-0000-0000-0000CE160000}"/>
    <cellStyle name="Normal 4 8 3 2" xfId="3527" xr:uid="{00000000-0005-0000-0000-0000CF160000}"/>
    <cellStyle name="Normal 4 8 3 2 2" xfId="7749" xr:uid="{00000000-0005-0000-0000-0000D0160000}"/>
    <cellStyle name="Normal 4 8 3 2 2 2" xfId="20410" xr:uid="{7D64D307-03A2-4FDA-8578-BA990454079C}"/>
    <cellStyle name="Normal 4 8 3 2 3" xfId="11981" xr:uid="{6A4C4443-9D90-4CDA-97C7-939E1DCA4C48}"/>
    <cellStyle name="Normal 4 8 3 2 4" xfId="16192" xr:uid="{7988BE5D-C6D4-47AC-B0E5-6889B2F553CE}"/>
    <cellStyle name="Normal 4 8 3 3" xfId="5604" xr:uid="{00000000-0005-0000-0000-0000D1160000}"/>
    <cellStyle name="Normal 4 8 3 3 2" xfId="18265" xr:uid="{EFBA8F9A-7F15-4142-9843-329B6A1208F0}"/>
    <cellStyle name="Normal 4 8 3 4" xfId="9836" xr:uid="{B48661F1-803A-4048-99F7-4EFC345E0C68}"/>
    <cellStyle name="Normal 4 8 3 5" xfId="14047" xr:uid="{E511C01F-7863-445A-95A6-6AB5C861E215}"/>
    <cellStyle name="Normal 4 8 4" xfId="1710" xr:uid="{00000000-0005-0000-0000-0000D2160000}"/>
    <cellStyle name="Normal 4 8 4 2" xfId="3940" xr:uid="{00000000-0005-0000-0000-0000D3160000}"/>
    <cellStyle name="Normal 4 8 4 2 2" xfId="8162" xr:uid="{00000000-0005-0000-0000-0000D4160000}"/>
    <cellStyle name="Normal 4 8 4 2 2 2" xfId="20823" xr:uid="{7C2C0081-F812-47EE-A408-78DB3E2A473A}"/>
    <cellStyle name="Normal 4 8 4 2 3" xfId="12394" xr:uid="{DB28FFE8-E823-458A-A133-1F4E5B3B24CF}"/>
    <cellStyle name="Normal 4 8 4 2 4" xfId="16605" xr:uid="{204AE724-D7A0-43ED-9DC2-CC7012EE9DA7}"/>
    <cellStyle name="Normal 4 8 4 3" xfId="6017" xr:uid="{00000000-0005-0000-0000-0000D5160000}"/>
    <cellStyle name="Normal 4 8 4 3 2" xfId="18678" xr:uid="{D22CB6F3-9290-424A-9D4E-0CB78C10E2FC}"/>
    <cellStyle name="Normal 4 8 4 4" xfId="10249" xr:uid="{3C78130A-5BC8-4D72-A746-C82122692040}"/>
    <cellStyle name="Normal 4 8 4 5" xfId="14460" xr:uid="{0CC9BA59-EEB2-4DB4-8BE9-63FB08E68DF5}"/>
    <cellStyle name="Normal 4 8 5" xfId="2124" xr:uid="{00000000-0005-0000-0000-0000D6160000}"/>
    <cellStyle name="Normal 4 8 5 2" xfId="4353" xr:uid="{00000000-0005-0000-0000-0000D7160000}"/>
    <cellStyle name="Normal 4 8 5 2 2" xfId="8575" xr:uid="{00000000-0005-0000-0000-0000D8160000}"/>
    <cellStyle name="Normal 4 8 5 2 2 2" xfId="21236" xr:uid="{1D497B20-7955-4771-A229-640C2A5E7ACA}"/>
    <cellStyle name="Normal 4 8 5 2 3" xfId="12807" xr:uid="{9E4FD82F-B9B0-403E-A256-9A532BA47021}"/>
    <cellStyle name="Normal 4 8 5 2 4" xfId="17018" xr:uid="{A0719F4C-C319-43E7-90CE-7037E0336002}"/>
    <cellStyle name="Normal 4 8 5 3" xfId="6430" xr:uid="{00000000-0005-0000-0000-0000D9160000}"/>
    <cellStyle name="Normal 4 8 5 3 2" xfId="19091" xr:uid="{3C99173C-C8C0-43FE-8908-9C0E0B21081A}"/>
    <cellStyle name="Normal 4 8 5 4" xfId="10662" xr:uid="{59BF57A0-1381-4BDA-8AE1-B8E0E284DB9B}"/>
    <cellStyle name="Normal 4 8 5 5" xfId="14873" xr:uid="{D675FE10-C1D5-4940-8820-F42E63A0B44B}"/>
    <cellStyle name="Normal 4 8 6" xfId="2560" xr:uid="{00000000-0005-0000-0000-0000DA160000}"/>
    <cellStyle name="Normal 4 8 6 2" xfId="6843" xr:uid="{00000000-0005-0000-0000-0000DB160000}"/>
    <cellStyle name="Normal 4 8 6 2 2" xfId="19504" xr:uid="{A5575DD9-66B5-47A9-AA64-DB632C376E50}"/>
    <cellStyle name="Normal 4 8 6 3" xfId="11075" xr:uid="{973463EE-0495-4CBE-B322-E9F555D81438}"/>
    <cellStyle name="Normal 4 8 6 4" xfId="15286" xr:uid="{2FDFE3C8-26E8-452E-A7DF-30FC9A0F3D50}"/>
    <cellStyle name="Normal 4 8 7" xfId="4778" xr:uid="{00000000-0005-0000-0000-0000DC160000}"/>
    <cellStyle name="Normal 4 8 7 2" xfId="17439" xr:uid="{8B7D7C7E-995E-49FE-ABFF-03BFB9F8C1CC}"/>
    <cellStyle name="Normal 4 8 8" xfId="9010" xr:uid="{427B1293-0A83-4983-8D0A-40A3E5AD06C9}"/>
    <cellStyle name="Normal 4 8 9" xfId="13221" xr:uid="{B9A00F2F-F439-4A84-85AA-F9CE4137B2AE}"/>
    <cellStyle name="Normal 4 9" xfId="4715" xr:uid="{00000000-0005-0000-0000-0000DD160000}"/>
    <cellStyle name="Normal 4 9 2" xfId="17376" xr:uid="{2CCC1A1B-B1AD-414E-81C0-ED6F79DA9918}"/>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20824" xr:uid="{855F100D-14F4-4EDF-ADD2-0143C3811E91}"/>
    <cellStyle name="Normal 5 10 2 3" xfId="12395" xr:uid="{7C0C74B0-FB1E-4740-A09D-73D59B577496}"/>
    <cellStyle name="Normal 5 10 2 4" xfId="16606" xr:uid="{3C9962EF-0413-4071-912B-9B59B8D1A6BF}"/>
    <cellStyle name="Normal 5 10 3" xfId="6018" xr:uid="{00000000-0005-0000-0000-0000E2160000}"/>
    <cellStyle name="Normal 5 10 3 2" xfId="18679" xr:uid="{02570367-2EF4-47B3-AD70-6B2FBC35C9C6}"/>
    <cellStyle name="Normal 5 10 4" xfId="10250" xr:uid="{264B6E1E-F515-4F14-91EC-C1D899CA8432}"/>
    <cellStyle name="Normal 5 10 5" xfId="14461" xr:uid="{21A570F0-43F6-4EC1-A833-4CED7E986DEB}"/>
    <cellStyle name="Normal 5 11" xfId="2125" xr:uid="{00000000-0005-0000-0000-0000E3160000}"/>
    <cellStyle name="Normal 5 11 2" xfId="4354" xr:uid="{00000000-0005-0000-0000-0000E4160000}"/>
    <cellStyle name="Normal 5 11 2 2" xfId="8576" xr:uid="{00000000-0005-0000-0000-0000E5160000}"/>
    <cellStyle name="Normal 5 11 2 2 2" xfId="21237" xr:uid="{31738FAB-2813-44BE-B3B4-CC93BA693817}"/>
    <cellStyle name="Normal 5 11 2 3" xfId="12808" xr:uid="{2B95E1DB-A93C-4A1C-BAB1-BB4D70C294B7}"/>
    <cellStyle name="Normal 5 11 2 4" xfId="17019" xr:uid="{910BCD48-A236-49A7-9E01-B74BA7E5F535}"/>
    <cellStyle name="Normal 5 11 3" xfId="6431" xr:uid="{00000000-0005-0000-0000-0000E6160000}"/>
    <cellStyle name="Normal 5 11 3 2" xfId="19092" xr:uid="{C4BFB490-D2BE-4980-98B5-A22CBFDA33F8}"/>
    <cellStyle name="Normal 5 11 4" xfId="10663" xr:uid="{E2E9AC31-A4F2-4464-B3DE-20998F663798}"/>
    <cellStyle name="Normal 5 11 5" xfId="14874" xr:uid="{57DBBEDF-9460-449F-85C6-1506646BCD84}"/>
    <cellStyle name="Normal 5 12" xfId="2561" xr:uid="{00000000-0005-0000-0000-0000E7160000}"/>
    <cellStyle name="Normal 5 12 2" xfId="6844" xr:uid="{00000000-0005-0000-0000-0000E8160000}"/>
    <cellStyle name="Normal 5 12 2 2" xfId="19505" xr:uid="{D2C4F6C0-CCC0-4C5F-87C9-175E8309D682}"/>
    <cellStyle name="Normal 5 12 3" xfId="11076" xr:uid="{F465DADE-BB70-4A56-BA71-352F81ABA26A}"/>
    <cellStyle name="Normal 5 12 4" xfId="15287" xr:uid="{5F47AD2D-0D1C-472E-901E-383B0F03484A}"/>
    <cellStyle name="Normal 5 13" xfId="4779" xr:uid="{00000000-0005-0000-0000-0000E9160000}"/>
    <cellStyle name="Normal 5 13 2" xfId="17440" xr:uid="{2CCE5B01-2685-4279-8A50-F289EC4B09FC}"/>
    <cellStyle name="Normal 5 14" xfId="9011" xr:uid="{1459CDA4-411E-4EF4-BCFD-9D81C7F49928}"/>
    <cellStyle name="Normal 5 15" xfId="13222" xr:uid="{7FDBF45D-ABF2-4D66-96F9-7EE17EB06335}"/>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21238" xr:uid="{EDBAAF19-D653-4B12-AAD4-B8B307459AFF}"/>
    <cellStyle name="Normal 5 2 10 2 3" xfId="12809" xr:uid="{87524C87-4AA1-46D2-9D1A-19D1442550A5}"/>
    <cellStyle name="Normal 5 2 10 2 4" xfId="17020" xr:uid="{1F653496-2152-4B1A-82ED-ACB097BFE70E}"/>
    <cellStyle name="Normal 5 2 10 3" xfId="6432" xr:uid="{00000000-0005-0000-0000-0000EE160000}"/>
    <cellStyle name="Normal 5 2 10 3 2" xfId="19093" xr:uid="{02D02555-96B7-4849-A718-04E7034EC42B}"/>
    <cellStyle name="Normal 5 2 10 4" xfId="10664" xr:uid="{989E3EBA-8D7C-4A8F-9E08-30779B3A340A}"/>
    <cellStyle name="Normal 5 2 10 5" xfId="14875" xr:uid="{726F6023-0175-4DA6-82DA-F2396723DB80}"/>
    <cellStyle name="Normal 5 2 11" xfId="2562" xr:uid="{00000000-0005-0000-0000-0000EF160000}"/>
    <cellStyle name="Normal 5 2 11 2" xfId="6845" xr:uid="{00000000-0005-0000-0000-0000F0160000}"/>
    <cellStyle name="Normal 5 2 11 2 2" xfId="19506" xr:uid="{ECF6C0F3-8F71-4997-BFE3-AF6D035196F5}"/>
    <cellStyle name="Normal 5 2 11 3" xfId="11077" xr:uid="{348192B1-1F27-4BE2-A8EB-DA4F62D79E8F}"/>
    <cellStyle name="Normal 5 2 11 4" xfId="15288" xr:uid="{09215999-57DF-446A-A164-9FCAFE159A06}"/>
    <cellStyle name="Normal 5 2 12" xfId="4780" xr:uid="{00000000-0005-0000-0000-0000F1160000}"/>
    <cellStyle name="Normal 5 2 12 2" xfId="17441" xr:uid="{D4D800CC-D4C4-4851-872A-4F01E159B361}"/>
    <cellStyle name="Normal 5 2 13" xfId="9012" xr:uid="{3CFDD1F3-2343-4151-B48D-A8B5C102C9AD}"/>
    <cellStyle name="Normal 5 2 14" xfId="13223" xr:uid="{617791CE-14E6-4BDB-AD1A-8A5F984B91C8}"/>
    <cellStyle name="Normal 5 2 2" xfId="408" xr:uid="{00000000-0005-0000-0000-0000F2160000}"/>
    <cellStyle name="Normal 5 2 2 10" xfId="2563" xr:uid="{00000000-0005-0000-0000-0000F3160000}"/>
    <cellStyle name="Normal 5 2 2 10 2" xfId="6846" xr:uid="{00000000-0005-0000-0000-0000F4160000}"/>
    <cellStyle name="Normal 5 2 2 10 2 2" xfId="19507" xr:uid="{CF19B2A2-B951-417C-A8C5-E2B1AEDD2853}"/>
    <cellStyle name="Normal 5 2 2 10 3" xfId="11078" xr:uid="{061CE653-9D17-4897-B570-C320F9F3691B}"/>
    <cellStyle name="Normal 5 2 2 10 4" xfId="15289" xr:uid="{ED7692AB-478F-4E19-8C8B-2C7EE5A73532}"/>
    <cellStyle name="Normal 5 2 2 11" xfId="4781" xr:uid="{00000000-0005-0000-0000-0000F5160000}"/>
    <cellStyle name="Normal 5 2 2 11 2" xfId="17442" xr:uid="{0FD54867-7AEF-42EC-85AA-091B6C01AF80}"/>
    <cellStyle name="Normal 5 2 2 12" xfId="9013" xr:uid="{E1B0B938-8168-433D-8A43-0C0DCB54B3ED}"/>
    <cellStyle name="Normal 5 2 2 13" xfId="13224" xr:uid="{9F290D73-5453-441A-A4AD-82577C13B28A}"/>
    <cellStyle name="Normal 5 2 2 2" xfId="409" xr:uid="{00000000-0005-0000-0000-0000F6160000}"/>
    <cellStyle name="Normal 5 2 2 2 10" xfId="4782" xr:uid="{00000000-0005-0000-0000-0000F7160000}"/>
    <cellStyle name="Normal 5 2 2 2 10 2" xfId="17443" xr:uid="{BB94BD49-F5B1-4C1C-8111-336BDFE602D4}"/>
    <cellStyle name="Normal 5 2 2 2 11" xfId="9014" xr:uid="{A3389B0F-B563-416A-81E1-C9E7AF2F2B4F}"/>
    <cellStyle name="Normal 5 2 2 2 12" xfId="13225" xr:uid="{4A4F93BF-AE62-4BE9-9DCA-5B711682961E}"/>
    <cellStyle name="Normal 5 2 2 2 2" xfId="410" xr:uid="{00000000-0005-0000-0000-0000F8160000}"/>
    <cellStyle name="Normal 5 2 2 2 2 10" xfId="9015" xr:uid="{BBF10A21-7CC3-433A-876F-0E3A19AD012F}"/>
    <cellStyle name="Normal 5 2 2 2 2 11" xfId="13226" xr:uid="{1E3EF024-5325-488D-8251-9AED6B8D4F93}"/>
    <cellStyle name="Normal 5 2 2 2 2 2" xfId="411" xr:uid="{00000000-0005-0000-0000-0000F9160000}"/>
    <cellStyle name="Normal 5 2 2 2 2 2 10" xfId="13227" xr:uid="{AF7A9A77-FB76-4A4E-9F41-9E8A80DDC13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20004" xr:uid="{F55A1D9F-BAA1-4CB1-9CC3-11CD7EFF271E}"/>
    <cellStyle name="Normal 5 2 2 2 2 2 2 2 2 3" xfId="11575" xr:uid="{93D6CAEB-89EB-47A0-B4A1-275589B8D2CA}"/>
    <cellStyle name="Normal 5 2 2 2 2 2 2 2 2 4" xfId="15786" xr:uid="{A2C29231-E88F-4FDA-8A7A-93BE1FC15959}"/>
    <cellStyle name="Normal 5 2 2 2 2 2 2 2 3" xfId="5198" xr:uid="{00000000-0005-0000-0000-0000FE160000}"/>
    <cellStyle name="Normal 5 2 2 2 2 2 2 2 3 2" xfId="17859" xr:uid="{A695938E-0CBD-428B-B15F-98EC1F032067}"/>
    <cellStyle name="Normal 5 2 2 2 2 2 2 2 4" xfId="9430" xr:uid="{312F79BA-9DAD-44D1-B9FD-304367269A12}"/>
    <cellStyle name="Normal 5 2 2 2 2 2 2 2 5" xfId="13641" xr:uid="{C1278EC0-53A3-4659-968F-7EC7E967E101}"/>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20417" xr:uid="{1DBB067D-6E4A-4123-ADC5-89F239F07082}"/>
    <cellStyle name="Normal 5 2 2 2 2 2 2 3 2 3" xfId="11988" xr:uid="{DB35B7B0-4F00-49BE-8002-20C37A1BA254}"/>
    <cellStyle name="Normal 5 2 2 2 2 2 2 3 2 4" xfId="16199" xr:uid="{B25CF667-30E6-45B3-82E2-50FC951F6236}"/>
    <cellStyle name="Normal 5 2 2 2 2 2 2 3 3" xfId="5611" xr:uid="{00000000-0005-0000-0000-000002170000}"/>
    <cellStyle name="Normal 5 2 2 2 2 2 2 3 3 2" xfId="18272" xr:uid="{A78D47B9-0B00-4AB1-876B-55D256CA6565}"/>
    <cellStyle name="Normal 5 2 2 2 2 2 2 3 4" xfId="9843" xr:uid="{FC8B8B46-ED99-432B-B4B9-99DE52D1896A}"/>
    <cellStyle name="Normal 5 2 2 2 2 2 2 3 5" xfId="14054" xr:uid="{5EB60297-7F2A-43CE-B733-8352AA9130DD}"/>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20830" xr:uid="{ED62BA98-6DBE-4F51-9D58-D86A968A1729}"/>
    <cellStyle name="Normal 5 2 2 2 2 2 2 4 2 3" xfId="12401" xr:uid="{7D7B3C61-A8B1-4871-A8F0-3C0B2CB1AF99}"/>
    <cellStyle name="Normal 5 2 2 2 2 2 2 4 2 4" xfId="16612" xr:uid="{AE89E6B6-3632-490F-B5D9-C879251880EE}"/>
    <cellStyle name="Normal 5 2 2 2 2 2 2 4 3" xfId="6024" xr:uid="{00000000-0005-0000-0000-000006170000}"/>
    <cellStyle name="Normal 5 2 2 2 2 2 2 4 3 2" xfId="18685" xr:uid="{A1F150EE-C016-484E-9B09-F0CD7D1A2599}"/>
    <cellStyle name="Normal 5 2 2 2 2 2 2 4 4" xfId="10256" xr:uid="{2666D102-18CC-4AF3-B46E-F675C6815CB4}"/>
    <cellStyle name="Normal 5 2 2 2 2 2 2 4 5" xfId="14467" xr:uid="{C0F7AC1B-A74A-4810-BB07-6AD57EAAF5A2}"/>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21243" xr:uid="{897C2886-6B9C-44AD-944B-9EAA9A95CAB6}"/>
    <cellStyle name="Normal 5 2 2 2 2 2 2 5 2 3" xfId="12814" xr:uid="{E0F2625B-3289-446E-8BF9-D14CF85C7451}"/>
    <cellStyle name="Normal 5 2 2 2 2 2 2 5 2 4" xfId="17025" xr:uid="{F6D23137-D6B8-4C30-8D21-C184ED3A4FC5}"/>
    <cellStyle name="Normal 5 2 2 2 2 2 2 5 3" xfId="6437" xr:uid="{00000000-0005-0000-0000-00000A170000}"/>
    <cellStyle name="Normal 5 2 2 2 2 2 2 5 3 2" xfId="19098" xr:uid="{07BD6B34-03A3-42C9-9B51-99F13E0B062C}"/>
    <cellStyle name="Normal 5 2 2 2 2 2 2 5 4" xfId="10669" xr:uid="{24CD634E-9360-47F7-9702-0CEF4432835B}"/>
    <cellStyle name="Normal 5 2 2 2 2 2 2 5 5" xfId="14880" xr:uid="{0645BFF9-51A6-4C99-BF7B-B19F2E4E107D}"/>
    <cellStyle name="Normal 5 2 2 2 2 2 2 6" xfId="2567" xr:uid="{00000000-0005-0000-0000-00000B170000}"/>
    <cellStyle name="Normal 5 2 2 2 2 2 2 6 2" xfId="6850" xr:uid="{00000000-0005-0000-0000-00000C170000}"/>
    <cellStyle name="Normal 5 2 2 2 2 2 2 6 2 2" xfId="19511" xr:uid="{1D31ECD0-A79C-4DEB-81E5-D04E9E0DEA0D}"/>
    <cellStyle name="Normal 5 2 2 2 2 2 2 6 3" xfId="11082" xr:uid="{4B742813-CCA4-4065-AD29-F3259DED23C2}"/>
    <cellStyle name="Normal 5 2 2 2 2 2 2 6 4" xfId="15293" xr:uid="{2C5D364A-3A7F-4AF7-8FB1-6E426D9272D5}"/>
    <cellStyle name="Normal 5 2 2 2 2 2 2 7" xfId="4785" xr:uid="{00000000-0005-0000-0000-00000D170000}"/>
    <cellStyle name="Normal 5 2 2 2 2 2 2 7 2" xfId="17446" xr:uid="{96C3C0DA-9B55-48D8-BC47-8DA9DE1A501F}"/>
    <cellStyle name="Normal 5 2 2 2 2 2 2 8" xfId="9017" xr:uid="{08862AC0-2523-4A47-970E-273BF82AF771}"/>
    <cellStyle name="Normal 5 2 2 2 2 2 2 9" xfId="13228" xr:uid="{8B41FB6C-896B-4B82-B2B1-786A933A3CAE}"/>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20003" xr:uid="{DBD3342C-67D4-4D0A-8D96-185106470641}"/>
    <cellStyle name="Normal 5 2 2 2 2 2 3 2 3" xfId="11574" xr:uid="{EE25FD13-D8ED-4D5C-A438-9D165A82A972}"/>
    <cellStyle name="Normal 5 2 2 2 2 2 3 2 4" xfId="15785" xr:uid="{78AE82FB-CF67-4C50-8BCF-E65946E66E67}"/>
    <cellStyle name="Normal 5 2 2 2 2 2 3 3" xfId="5197" xr:uid="{00000000-0005-0000-0000-000011170000}"/>
    <cellStyle name="Normal 5 2 2 2 2 2 3 3 2" xfId="17858" xr:uid="{595C84F2-6121-4318-BCD6-B5D0A7E7DBC5}"/>
    <cellStyle name="Normal 5 2 2 2 2 2 3 4" xfId="9429" xr:uid="{4E3BCA9B-4A49-4950-8BD1-AC0BAD0B4764}"/>
    <cellStyle name="Normal 5 2 2 2 2 2 3 5" xfId="13640" xr:uid="{4E818CD2-F2C2-42C3-B5E1-F316FC9E72B5}"/>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20416" xr:uid="{DD76311F-6306-4877-B9B5-F673872684FC}"/>
    <cellStyle name="Normal 5 2 2 2 2 2 4 2 3" xfId="11987" xr:uid="{D43E5CC4-7A5C-48E9-BEEC-D46D4BB29FEA}"/>
    <cellStyle name="Normal 5 2 2 2 2 2 4 2 4" xfId="16198" xr:uid="{B1048F2D-72A5-4B7A-84D5-777AA2F1C740}"/>
    <cellStyle name="Normal 5 2 2 2 2 2 4 3" xfId="5610" xr:uid="{00000000-0005-0000-0000-000015170000}"/>
    <cellStyle name="Normal 5 2 2 2 2 2 4 3 2" xfId="18271" xr:uid="{B5A10BBF-B5AE-4DA1-94FE-AAD49B269B15}"/>
    <cellStyle name="Normal 5 2 2 2 2 2 4 4" xfId="9842" xr:uid="{1B13BB79-4A39-4C99-931A-88F33C2FE35B}"/>
    <cellStyle name="Normal 5 2 2 2 2 2 4 5" xfId="14053" xr:uid="{58C42852-69E1-4D97-8FA3-D9E67EB64FB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20829" xr:uid="{044176A3-20F0-4631-B879-797EDCBD3CCE}"/>
    <cellStyle name="Normal 5 2 2 2 2 2 5 2 3" xfId="12400" xr:uid="{0A6C6B26-5B29-4265-AB11-E6AB74E5870D}"/>
    <cellStyle name="Normal 5 2 2 2 2 2 5 2 4" xfId="16611" xr:uid="{E552AFB4-FA44-41FB-B503-DD2820223E46}"/>
    <cellStyle name="Normal 5 2 2 2 2 2 5 3" xfId="6023" xr:uid="{00000000-0005-0000-0000-000019170000}"/>
    <cellStyle name="Normal 5 2 2 2 2 2 5 3 2" xfId="18684" xr:uid="{8C3F380B-35A9-4A8E-80BF-B4F3578890E8}"/>
    <cellStyle name="Normal 5 2 2 2 2 2 5 4" xfId="10255" xr:uid="{427146ED-7B72-4667-8472-CFE583D2D1DE}"/>
    <cellStyle name="Normal 5 2 2 2 2 2 5 5" xfId="14466" xr:uid="{4AE8A3F8-FAFC-4A47-B120-20C7BD915DCD}"/>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21242" xr:uid="{B713FCAA-BCA4-4F3F-B81E-371A7180200A}"/>
    <cellStyle name="Normal 5 2 2 2 2 2 6 2 3" xfId="12813" xr:uid="{E274A479-6935-4A2C-89B6-6440995252BB}"/>
    <cellStyle name="Normal 5 2 2 2 2 2 6 2 4" xfId="17024" xr:uid="{87DCF89D-F9D7-4780-9A70-48F68B7BE6B2}"/>
    <cellStyle name="Normal 5 2 2 2 2 2 6 3" xfId="6436" xr:uid="{00000000-0005-0000-0000-00001D170000}"/>
    <cellStyle name="Normal 5 2 2 2 2 2 6 3 2" xfId="19097" xr:uid="{42C77F5A-EBE4-425F-B56A-A6498640E5E9}"/>
    <cellStyle name="Normal 5 2 2 2 2 2 6 4" xfId="10668" xr:uid="{5A0EB14E-657C-4CF0-987B-C771821B0078}"/>
    <cellStyle name="Normal 5 2 2 2 2 2 6 5" xfId="14879" xr:uid="{36560EC3-F94D-491E-BAC1-2567E512FEAE}"/>
    <cellStyle name="Normal 5 2 2 2 2 2 7" xfId="2566" xr:uid="{00000000-0005-0000-0000-00001E170000}"/>
    <cellStyle name="Normal 5 2 2 2 2 2 7 2" xfId="6849" xr:uid="{00000000-0005-0000-0000-00001F170000}"/>
    <cellStyle name="Normal 5 2 2 2 2 2 7 2 2" xfId="19510" xr:uid="{6281E430-8E39-481B-ACD7-A1629F474004}"/>
    <cellStyle name="Normal 5 2 2 2 2 2 7 3" xfId="11081" xr:uid="{723686B1-4DD1-4499-BF12-072938157465}"/>
    <cellStyle name="Normal 5 2 2 2 2 2 7 4" xfId="15292" xr:uid="{DFBF6F64-E5C7-4044-A500-513F9A5DDDB2}"/>
    <cellStyle name="Normal 5 2 2 2 2 2 8" xfId="4784" xr:uid="{00000000-0005-0000-0000-000020170000}"/>
    <cellStyle name="Normal 5 2 2 2 2 2 8 2" xfId="17445" xr:uid="{B140F9AB-1A24-40AF-9194-4AC0D865D7F7}"/>
    <cellStyle name="Normal 5 2 2 2 2 2 9" xfId="9016" xr:uid="{B0F913FB-52EF-4C07-992B-A56B21B094F8}"/>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20005" xr:uid="{F1AA83C9-4F20-4B1D-8466-1D0A91C3443F}"/>
    <cellStyle name="Normal 5 2 2 2 2 3 2 2 3" xfId="11576" xr:uid="{5E66FC57-4FE1-4EC0-A449-50B81B890278}"/>
    <cellStyle name="Normal 5 2 2 2 2 3 2 2 4" xfId="15787" xr:uid="{BFD323CD-B53F-48E4-B52F-69A9E3121004}"/>
    <cellStyle name="Normal 5 2 2 2 2 3 2 3" xfId="5199" xr:uid="{00000000-0005-0000-0000-000025170000}"/>
    <cellStyle name="Normal 5 2 2 2 2 3 2 3 2" xfId="17860" xr:uid="{C3D29489-001B-4F3D-A63B-79AC1E388B93}"/>
    <cellStyle name="Normal 5 2 2 2 2 3 2 4" xfId="9431" xr:uid="{C1379B7E-84CE-4504-A098-846C20238D7C}"/>
    <cellStyle name="Normal 5 2 2 2 2 3 2 5" xfId="13642" xr:uid="{97BB5AB9-2126-44BC-AF75-FF53CFB4B152}"/>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20418" xr:uid="{E10681B5-FE73-4DAE-A9F1-32CA0EDBC7EA}"/>
    <cellStyle name="Normal 5 2 2 2 2 3 3 2 3" xfId="11989" xr:uid="{8C5C1B1B-B6BF-4EAC-8F10-4028245F261E}"/>
    <cellStyle name="Normal 5 2 2 2 2 3 3 2 4" xfId="16200" xr:uid="{ABFF1950-B4AB-48A5-9EEA-FC8EF8AFD046}"/>
    <cellStyle name="Normal 5 2 2 2 2 3 3 3" xfId="5612" xr:uid="{00000000-0005-0000-0000-000029170000}"/>
    <cellStyle name="Normal 5 2 2 2 2 3 3 3 2" xfId="18273" xr:uid="{1267F34D-F825-48E8-9F3F-08EFC0B36C29}"/>
    <cellStyle name="Normal 5 2 2 2 2 3 3 4" xfId="9844" xr:uid="{9A841CD2-ADE9-4B9D-AD11-DA3203ADC82C}"/>
    <cellStyle name="Normal 5 2 2 2 2 3 3 5" xfId="14055" xr:uid="{CA7E7480-A4BC-4854-9602-8B4854EF6AF3}"/>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20831" xr:uid="{096E9A01-16DD-42BC-BCC9-B6E4942C421B}"/>
    <cellStyle name="Normal 5 2 2 2 2 3 4 2 3" xfId="12402" xr:uid="{0A84CEA0-D06B-4690-9CCE-17FEFA3524D3}"/>
    <cellStyle name="Normal 5 2 2 2 2 3 4 2 4" xfId="16613" xr:uid="{2E485316-ED3C-44A6-AD1A-F7AF59CA5D68}"/>
    <cellStyle name="Normal 5 2 2 2 2 3 4 3" xfId="6025" xr:uid="{00000000-0005-0000-0000-00002D170000}"/>
    <cellStyle name="Normal 5 2 2 2 2 3 4 3 2" xfId="18686" xr:uid="{0F44DF3D-759F-4C75-AF74-1D198D4BEB45}"/>
    <cellStyle name="Normal 5 2 2 2 2 3 4 4" xfId="10257" xr:uid="{D22AC4C3-00DE-4A18-AB9D-CC0E8336A81D}"/>
    <cellStyle name="Normal 5 2 2 2 2 3 4 5" xfId="14468" xr:uid="{A6889DF5-6509-4F2E-8182-416B2F3EFBEC}"/>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21244" xr:uid="{12028CAB-D551-458D-97ED-E5394282E573}"/>
    <cellStyle name="Normal 5 2 2 2 2 3 5 2 3" xfId="12815" xr:uid="{59B53D69-07D6-49A9-B1AE-767FCE154793}"/>
    <cellStyle name="Normal 5 2 2 2 2 3 5 2 4" xfId="17026" xr:uid="{76701392-CC64-411B-8CB4-6CBC8B8581B8}"/>
    <cellStyle name="Normal 5 2 2 2 2 3 5 3" xfId="6438" xr:uid="{00000000-0005-0000-0000-000031170000}"/>
    <cellStyle name="Normal 5 2 2 2 2 3 5 3 2" xfId="19099" xr:uid="{8FA91CBE-BFB6-4630-9D35-48EF5E6AD80F}"/>
    <cellStyle name="Normal 5 2 2 2 2 3 5 4" xfId="10670" xr:uid="{D5472DE9-10D5-4DBC-81DE-7EBB9C593D90}"/>
    <cellStyle name="Normal 5 2 2 2 2 3 5 5" xfId="14881" xr:uid="{EA89479B-0614-473A-BC5A-17A96C14518E}"/>
    <cellStyle name="Normal 5 2 2 2 2 3 6" xfId="2568" xr:uid="{00000000-0005-0000-0000-000032170000}"/>
    <cellStyle name="Normal 5 2 2 2 2 3 6 2" xfId="6851" xr:uid="{00000000-0005-0000-0000-000033170000}"/>
    <cellStyle name="Normal 5 2 2 2 2 3 6 2 2" xfId="19512" xr:uid="{52A5AD6E-4A26-4334-8C19-018EE04D3BDD}"/>
    <cellStyle name="Normal 5 2 2 2 2 3 6 3" xfId="11083" xr:uid="{DDDB5910-D8CA-4155-8778-42F014362F78}"/>
    <cellStyle name="Normal 5 2 2 2 2 3 6 4" xfId="15294" xr:uid="{9102B03E-31DC-4A20-994D-4F79D39D2492}"/>
    <cellStyle name="Normal 5 2 2 2 2 3 7" xfId="4786" xr:uid="{00000000-0005-0000-0000-000034170000}"/>
    <cellStyle name="Normal 5 2 2 2 2 3 7 2" xfId="17447" xr:uid="{593672C0-E178-4A6E-823E-065BE1F6ACD9}"/>
    <cellStyle name="Normal 5 2 2 2 2 3 8" xfId="9018" xr:uid="{9AF3191C-BC7E-46CD-80A7-2E042934684C}"/>
    <cellStyle name="Normal 5 2 2 2 2 3 9" xfId="13229" xr:uid="{DEB04538-A99E-4CA6-A138-ACB80B6C9285}"/>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20002" xr:uid="{01D9435D-EDF8-4D15-83B5-3283EB76B5C9}"/>
    <cellStyle name="Normal 5 2 2 2 2 4 2 3" xfId="11573" xr:uid="{717792C3-4390-46C2-A8FB-77E23249792B}"/>
    <cellStyle name="Normal 5 2 2 2 2 4 2 4" xfId="15784" xr:uid="{974E24DC-B1E0-4A23-86EF-38B5E4F7820B}"/>
    <cellStyle name="Normal 5 2 2 2 2 4 3" xfId="5196" xr:uid="{00000000-0005-0000-0000-000038170000}"/>
    <cellStyle name="Normal 5 2 2 2 2 4 3 2" xfId="17857" xr:uid="{4C75C112-FBE2-45BF-B332-FAEEB1AD030A}"/>
    <cellStyle name="Normal 5 2 2 2 2 4 4" xfId="9428" xr:uid="{1FB73C12-3185-456C-9027-430EC7DC8B2C}"/>
    <cellStyle name="Normal 5 2 2 2 2 4 5" xfId="13639" xr:uid="{B59EAA16-9224-4F73-A73A-F9C20BFBA317}"/>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20415" xr:uid="{FFD4EF69-F468-418C-866F-6D273340B996}"/>
    <cellStyle name="Normal 5 2 2 2 2 5 2 3" xfId="11986" xr:uid="{5292EEBF-E5FD-46C7-8033-B6FDA0709A43}"/>
    <cellStyle name="Normal 5 2 2 2 2 5 2 4" xfId="16197" xr:uid="{5E21E595-3B87-41BE-9C8D-1772CD236F3D}"/>
    <cellStyle name="Normal 5 2 2 2 2 5 3" xfId="5609" xr:uid="{00000000-0005-0000-0000-00003C170000}"/>
    <cellStyle name="Normal 5 2 2 2 2 5 3 2" xfId="18270" xr:uid="{37C1BC98-E08A-4056-A776-386D16E6A392}"/>
    <cellStyle name="Normal 5 2 2 2 2 5 4" xfId="9841" xr:uid="{8A50BB75-3CF0-4795-A2D6-98B289E6BA58}"/>
    <cellStyle name="Normal 5 2 2 2 2 5 5" xfId="14052" xr:uid="{ABC679D7-E8D1-4FB1-BAD8-E5862B3435E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20828" xr:uid="{A053CB34-0CCB-4291-B364-08E613A15F77}"/>
    <cellStyle name="Normal 5 2 2 2 2 6 2 3" xfId="12399" xr:uid="{34FDD446-0EA5-4E1A-AC7E-54D90C6794D2}"/>
    <cellStyle name="Normal 5 2 2 2 2 6 2 4" xfId="16610" xr:uid="{8F3A6A89-D3B4-4F42-B8A1-543BCAEBA7B4}"/>
    <cellStyle name="Normal 5 2 2 2 2 6 3" xfId="6022" xr:uid="{00000000-0005-0000-0000-000040170000}"/>
    <cellStyle name="Normal 5 2 2 2 2 6 3 2" xfId="18683" xr:uid="{3A578908-B22C-435B-83CC-3E7B572FEA4D}"/>
    <cellStyle name="Normal 5 2 2 2 2 6 4" xfId="10254" xr:uid="{EB4AD41F-5098-4FB4-9B78-AD1BA1263CB1}"/>
    <cellStyle name="Normal 5 2 2 2 2 6 5" xfId="14465" xr:uid="{FE7939D0-A6A3-4256-BA17-93484D7DAA21}"/>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21241" xr:uid="{0D804EDE-ABF0-406D-B0B6-911F537BC9EE}"/>
    <cellStyle name="Normal 5 2 2 2 2 7 2 3" xfId="12812" xr:uid="{AA5BCB36-74B1-4928-9AA3-304FD55549C6}"/>
    <cellStyle name="Normal 5 2 2 2 2 7 2 4" xfId="17023" xr:uid="{020E2900-6704-40D4-8856-AD761DC77A24}"/>
    <cellStyle name="Normal 5 2 2 2 2 7 3" xfId="6435" xr:uid="{00000000-0005-0000-0000-000044170000}"/>
    <cellStyle name="Normal 5 2 2 2 2 7 3 2" xfId="19096" xr:uid="{BCF47334-B36E-4BCD-852A-B4008E00D8DD}"/>
    <cellStyle name="Normal 5 2 2 2 2 7 4" xfId="10667" xr:uid="{F4CE214A-A7FC-4367-89D1-AAFCD9730302}"/>
    <cellStyle name="Normal 5 2 2 2 2 7 5" xfId="14878" xr:uid="{FA36DC7D-7D14-481B-AE90-8F041557E321}"/>
    <cellStyle name="Normal 5 2 2 2 2 8" xfId="2565" xr:uid="{00000000-0005-0000-0000-000045170000}"/>
    <cellStyle name="Normal 5 2 2 2 2 8 2" xfId="6848" xr:uid="{00000000-0005-0000-0000-000046170000}"/>
    <cellStyle name="Normal 5 2 2 2 2 8 2 2" xfId="19509" xr:uid="{F0AE1786-2AAE-44DC-8AA1-198ABDAB2AE8}"/>
    <cellStyle name="Normal 5 2 2 2 2 8 3" xfId="11080" xr:uid="{CE9D696F-50B4-42DD-B444-716A3E4FAC1A}"/>
    <cellStyle name="Normal 5 2 2 2 2 8 4" xfId="15291" xr:uid="{57013DCE-C859-4F5F-BF12-05DDE48C650A}"/>
    <cellStyle name="Normal 5 2 2 2 2 9" xfId="4783" xr:uid="{00000000-0005-0000-0000-000047170000}"/>
    <cellStyle name="Normal 5 2 2 2 2 9 2" xfId="17444" xr:uid="{731F00AE-E737-4686-97CA-6FD115BFBA1A}"/>
    <cellStyle name="Normal 5 2 2 2 3" xfId="414" xr:uid="{00000000-0005-0000-0000-000048170000}"/>
    <cellStyle name="Normal 5 2 2 2 3 10" xfId="13230" xr:uid="{0D1591FA-9247-4C28-A04B-5DB134EEC585}"/>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20007" xr:uid="{CC5E10A3-9BA3-47A0-86A8-6F94813170A9}"/>
    <cellStyle name="Normal 5 2 2 2 3 2 2 2 3" xfId="11578" xr:uid="{766D042C-D9C3-436F-BE5E-E00197AB1698}"/>
    <cellStyle name="Normal 5 2 2 2 3 2 2 2 4" xfId="15789" xr:uid="{97DF4FFC-7AC6-4BBD-875F-7E06ADFDF542}"/>
    <cellStyle name="Normal 5 2 2 2 3 2 2 3" xfId="5201" xr:uid="{00000000-0005-0000-0000-00004D170000}"/>
    <cellStyle name="Normal 5 2 2 2 3 2 2 3 2" xfId="17862" xr:uid="{D51877DA-9255-488C-9CA9-74FB46895DEA}"/>
    <cellStyle name="Normal 5 2 2 2 3 2 2 4" xfId="9433" xr:uid="{02567F3C-A1AB-4F9D-9608-1D71A1077A2A}"/>
    <cellStyle name="Normal 5 2 2 2 3 2 2 5" xfId="13644" xr:uid="{B192A4FE-C2C1-4C00-9C5F-E4944B690297}"/>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20420" xr:uid="{47B35D12-71E8-4ED6-B9A4-A28D63A552D7}"/>
    <cellStyle name="Normal 5 2 2 2 3 2 3 2 3" xfId="11991" xr:uid="{DD52265C-40F7-4315-98D9-EE1708B7DCE7}"/>
    <cellStyle name="Normal 5 2 2 2 3 2 3 2 4" xfId="16202" xr:uid="{316A90F9-E227-497B-9304-4115F3031ECC}"/>
    <cellStyle name="Normal 5 2 2 2 3 2 3 3" xfId="5614" xr:uid="{00000000-0005-0000-0000-000051170000}"/>
    <cellStyle name="Normal 5 2 2 2 3 2 3 3 2" xfId="18275" xr:uid="{EA883BEB-A278-442D-9BAF-B2C67F6992C1}"/>
    <cellStyle name="Normal 5 2 2 2 3 2 3 4" xfId="9846" xr:uid="{36C19D3B-9A8D-4519-BCB4-8DB2D2CB1A46}"/>
    <cellStyle name="Normal 5 2 2 2 3 2 3 5" xfId="14057" xr:uid="{BAB862FC-CDF8-4183-9D85-D664D38BE48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20833" xr:uid="{D67622B9-A94F-4475-AA78-75229CCD8229}"/>
    <cellStyle name="Normal 5 2 2 2 3 2 4 2 3" xfId="12404" xr:uid="{9D839B77-3BA9-4E08-8BC1-A7AB639E2649}"/>
    <cellStyle name="Normal 5 2 2 2 3 2 4 2 4" xfId="16615" xr:uid="{4D621752-E7FF-4C61-BF54-B50C32EB8C78}"/>
    <cellStyle name="Normal 5 2 2 2 3 2 4 3" xfId="6027" xr:uid="{00000000-0005-0000-0000-000055170000}"/>
    <cellStyle name="Normal 5 2 2 2 3 2 4 3 2" xfId="18688" xr:uid="{A3F4786F-2BED-403A-8DBE-0601F1699D50}"/>
    <cellStyle name="Normal 5 2 2 2 3 2 4 4" xfId="10259" xr:uid="{89FFC3C8-FBC8-45D9-92FE-AC83E976727F}"/>
    <cellStyle name="Normal 5 2 2 2 3 2 4 5" xfId="14470" xr:uid="{AA8FB4A7-DFDC-4CBC-AA47-CDDCF3E9399D}"/>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21246" xr:uid="{61912D16-3FBE-4115-878A-7A2B143993A9}"/>
    <cellStyle name="Normal 5 2 2 2 3 2 5 2 3" xfId="12817" xr:uid="{9804057E-DE3A-4A87-A682-10A5A5ABBA96}"/>
    <cellStyle name="Normal 5 2 2 2 3 2 5 2 4" xfId="17028" xr:uid="{374B8FD9-7877-4A5D-B9FE-9B56D620E0A7}"/>
    <cellStyle name="Normal 5 2 2 2 3 2 5 3" xfId="6440" xr:uid="{00000000-0005-0000-0000-000059170000}"/>
    <cellStyle name="Normal 5 2 2 2 3 2 5 3 2" xfId="19101" xr:uid="{DAAB7787-DE1B-423A-BEA1-256920DA47DF}"/>
    <cellStyle name="Normal 5 2 2 2 3 2 5 4" xfId="10672" xr:uid="{DBDCA118-F918-405E-8A8A-6508BE71CD91}"/>
    <cellStyle name="Normal 5 2 2 2 3 2 5 5" xfId="14883" xr:uid="{6BC8D8A0-204E-4183-9C29-56A940498BA6}"/>
    <cellStyle name="Normal 5 2 2 2 3 2 6" xfId="2570" xr:uid="{00000000-0005-0000-0000-00005A170000}"/>
    <cellStyle name="Normal 5 2 2 2 3 2 6 2" xfId="6853" xr:uid="{00000000-0005-0000-0000-00005B170000}"/>
    <cellStyle name="Normal 5 2 2 2 3 2 6 2 2" xfId="19514" xr:uid="{2042B999-CBE1-4F58-A7C6-A4B649DC7825}"/>
    <cellStyle name="Normal 5 2 2 2 3 2 6 3" xfId="11085" xr:uid="{79660A0D-1466-4BF4-8DBC-7C6698F5FEB1}"/>
    <cellStyle name="Normal 5 2 2 2 3 2 6 4" xfId="15296" xr:uid="{5ED94957-BFD0-43F2-BE6F-6E369A68F12E}"/>
    <cellStyle name="Normal 5 2 2 2 3 2 7" xfId="4788" xr:uid="{00000000-0005-0000-0000-00005C170000}"/>
    <cellStyle name="Normal 5 2 2 2 3 2 7 2" xfId="17449" xr:uid="{2D072F50-203C-4CE5-B1DE-39BD02D239B7}"/>
    <cellStyle name="Normal 5 2 2 2 3 2 8" xfId="9020" xr:uid="{33DCA44D-1170-44D4-8F4C-8433C14AB4A8}"/>
    <cellStyle name="Normal 5 2 2 2 3 2 9" xfId="13231" xr:uid="{4E30A745-D498-4E0F-8A2D-4C97BD7FCB53}"/>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20006" xr:uid="{B21495B3-DC5D-4FBF-9532-2D0BC3E3EECC}"/>
    <cellStyle name="Normal 5 2 2 2 3 3 2 3" xfId="11577" xr:uid="{EFDFE2B9-9D4C-43B4-8B13-E767040246A7}"/>
    <cellStyle name="Normal 5 2 2 2 3 3 2 4" xfId="15788" xr:uid="{728C58A9-7A3B-46B3-8BA9-E379648E0DA7}"/>
    <cellStyle name="Normal 5 2 2 2 3 3 3" xfId="5200" xr:uid="{00000000-0005-0000-0000-000060170000}"/>
    <cellStyle name="Normal 5 2 2 2 3 3 3 2" xfId="17861" xr:uid="{5A52C93F-5694-46A6-ADBE-E92380E28750}"/>
    <cellStyle name="Normal 5 2 2 2 3 3 4" xfId="9432" xr:uid="{C9D73E99-C21E-4FAF-8B7C-3C2A7C386BA2}"/>
    <cellStyle name="Normal 5 2 2 2 3 3 5" xfId="13643" xr:uid="{3D190024-CF87-4A21-A510-2F92169B4C8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20419" xr:uid="{DA55D63B-7472-4ACE-AEDF-B49130115415}"/>
    <cellStyle name="Normal 5 2 2 2 3 4 2 3" xfId="11990" xr:uid="{9ED43AC9-953C-43ED-A63A-3F090BBB0DD2}"/>
    <cellStyle name="Normal 5 2 2 2 3 4 2 4" xfId="16201" xr:uid="{C1BC924A-D003-4AA4-BF1C-3F156B9FE874}"/>
    <cellStyle name="Normal 5 2 2 2 3 4 3" xfId="5613" xr:uid="{00000000-0005-0000-0000-000064170000}"/>
    <cellStyle name="Normal 5 2 2 2 3 4 3 2" xfId="18274" xr:uid="{A09909AD-7F89-4E2C-892A-14132EA296B3}"/>
    <cellStyle name="Normal 5 2 2 2 3 4 4" xfId="9845" xr:uid="{58D13503-F20A-45F8-8B64-17B203D36E65}"/>
    <cellStyle name="Normal 5 2 2 2 3 4 5" xfId="14056" xr:uid="{216A0B41-B70A-41D4-81B8-D782903A7321}"/>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20832" xr:uid="{C070045C-B4ED-4A0C-B94B-EA89A45A17BE}"/>
    <cellStyle name="Normal 5 2 2 2 3 5 2 3" xfId="12403" xr:uid="{1263EA56-D18D-429E-94A1-2AF5CB44E64C}"/>
    <cellStyle name="Normal 5 2 2 2 3 5 2 4" xfId="16614" xr:uid="{26101447-9DEB-4368-9125-75B68F0A6B86}"/>
    <cellStyle name="Normal 5 2 2 2 3 5 3" xfId="6026" xr:uid="{00000000-0005-0000-0000-000068170000}"/>
    <cellStyle name="Normal 5 2 2 2 3 5 3 2" xfId="18687" xr:uid="{A26B7CBA-6363-4B01-B6CA-DD342269077C}"/>
    <cellStyle name="Normal 5 2 2 2 3 5 4" xfId="10258" xr:uid="{31531F78-3A10-4957-8888-1BF634777114}"/>
    <cellStyle name="Normal 5 2 2 2 3 5 5" xfId="14469" xr:uid="{B2FE5652-DE46-4701-90A1-5F2EAD9AD012}"/>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21245" xr:uid="{0DD07400-B0D7-493F-B3D0-95707F83AE61}"/>
    <cellStyle name="Normal 5 2 2 2 3 6 2 3" xfId="12816" xr:uid="{CEF5C89C-D7EC-4DCA-8EC2-6E924DE4AD8F}"/>
    <cellStyle name="Normal 5 2 2 2 3 6 2 4" xfId="17027" xr:uid="{1F424886-4585-4C06-ACED-D20FA1230F6F}"/>
    <cellStyle name="Normal 5 2 2 2 3 6 3" xfId="6439" xr:uid="{00000000-0005-0000-0000-00006C170000}"/>
    <cellStyle name="Normal 5 2 2 2 3 6 3 2" xfId="19100" xr:uid="{2DBAE63D-3954-4CE1-A8EC-2B7A8F19BDF4}"/>
    <cellStyle name="Normal 5 2 2 2 3 6 4" xfId="10671" xr:uid="{88D36D44-9C30-465B-9C8A-6E56B3C6FC62}"/>
    <cellStyle name="Normal 5 2 2 2 3 6 5" xfId="14882" xr:uid="{B73C6860-511A-459A-9595-EDE761D1BF3D}"/>
    <cellStyle name="Normal 5 2 2 2 3 7" xfId="2569" xr:uid="{00000000-0005-0000-0000-00006D170000}"/>
    <cellStyle name="Normal 5 2 2 2 3 7 2" xfId="6852" xr:uid="{00000000-0005-0000-0000-00006E170000}"/>
    <cellStyle name="Normal 5 2 2 2 3 7 2 2" xfId="19513" xr:uid="{541B3491-F7A7-45EF-B246-FCD7FDA95517}"/>
    <cellStyle name="Normal 5 2 2 2 3 7 3" xfId="11084" xr:uid="{405EBB2F-0CA6-41BA-94DB-85F3D4F76117}"/>
    <cellStyle name="Normal 5 2 2 2 3 7 4" xfId="15295" xr:uid="{6BC67805-E52C-4A6D-BDB4-15C848F8F975}"/>
    <cellStyle name="Normal 5 2 2 2 3 8" xfId="4787" xr:uid="{00000000-0005-0000-0000-00006F170000}"/>
    <cellStyle name="Normal 5 2 2 2 3 8 2" xfId="17448" xr:uid="{8B643095-E7E0-4CBF-9B98-613D5F6D240B}"/>
    <cellStyle name="Normal 5 2 2 2 3 9" xfId="9019" xr:uid="{278F0BCC-0E55-4DA2-9145-F735D6142573}"/>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20008" xr:uid="{5E35A262-FAA6-473E-9C88-1CA03D42C753}"/>
    <cellStyle name="Normal 5 2 2 2 4 2 2 3" xfId="11579" xr:uid="{C17E2B7A-A854-416A-9209-7E34141C80FB}"/>
    <cellStyle name="Normal 5 2 2 2 4 2 2 4" xfId="15790" xr:uid="{A36E68FF-05E0-4771-9DBE-E5B5ED4270FA}"/>
    <cellStyle name="Normal 5 2 2 2 4 2 3" xfId="5202" xr:uid="{00000000-0005-0000-0000-000074170000}"/>
    <cellStyle name="Normal 5 2 2 2 4 2 3 2" xfId="17863" xr:uid="{F0FE64D2-227F-4363-B4F0-DF682DB2394C}"/>
    <cellStyle name="Normal 5 2 2 2 4 2 4" xfId="9434" xr:uid="{DDCA79B9-D766-4AD6-B8FD-C03B0BF3E0AC}"/>
    <cellStyle name="Normal 5 2 2 2 4 2 5" xfId="13645" xr:uid="{6CD4C8E8-B22B-40F1-B45E-7E2C181FEF9E}"/>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20421" xr:uid="{B87A851C-C22E-4BAF-B3A7-763B56984AB4}"/>
    <cellStyle name="Normal 5 2 2 2 4 3 2 3" xfId="11992" xr:uid="{9D55A2D9-EF83-4047-9FDC-785B26B99176}"/>
    <cellStyle name="Normal 5 2 2 2 4 3 2 4" xfId="16203" xr:uid="{CFEF96F2-17E3-4648-BEDE-5A996161BA31}"/>
    <cellStyle name="Normal 5 2 2 2 4 3 3" xfId="5615" xr:uid="{00000000-0005-0000-0000-000078170000}"/>
    <cellStyle name="Normal 5 2 2 2 4 3 3 2" xfId="18276" xr:uid="{00316851-D565-4798-BA6F-E0778554ACEA}"/>
    <cellStyle name="Normal 5 2 2 2 4 3 4" xfId="9847" xr:uid="{239725C4-8B3F-49A8-9442-A4BB835FC552}"/>
    <cellStyle name="Normal 5 2 2 2 4 3 5" xfId="14058" xr:uid="{E097B8D4-742D-46A6-BCC8-05C01BE97CF4}"/>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20834" xr:uid="{93D2A62E-A05D-4C66-B183-09FDDE1C2B44}"/>
    <cellStyle name="Normal 5 2 2 2 4 4 2 3" xfId="12405" xr:uid="{38540B9B-1F35-48B0-A3F0-AE06AF448A95}"/>
    <cellStyle name="Normal 5 2 2 2 4 4 2 4" xfId="16616" xr:uid="{DF5C80C8-1E8E-4F48-9D6B-3BC7EA2030E0}"/>
    <cellStyle name="Normal 5 2 2 2 4 4 3" xfId="6028" xr:uid="{00000000-0005-0000-0000-00007C170000}"/>
    <cellStyle name="Normal 5 2 2 2 4 4 3 2" xfId="18689" xr:uid="{03F8C1CF-5A46-4507-9C72-96CDE45DC672}"/>
    <cellStyle name="Normal 5 2 2 2 4 4 4" xfId="10260" xr:uid="{6820E378-45DB-46C5-AF42-0BE0000F06DA}"/>
    <cellStyle name="Normal 5 2 2 2 4 4 5" xfId="14471" xr:uid="{3653F47C-5C4C-4725-B05E-AEB6CFBF2965}"/>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21247" xr:uid="{61D71041-4CBE-4055-B0E1-A3DC4FF61023}"/>
    <cellStyle name="Normal 5 2 2 2 4 5 2 3" xfId="12818" xr:uid="{3CBB1366-84EB-4583-968B-41FE3BFA9FE6}"/>
    <cellStyle name="Normal 5 2 2 2 4 5 2 4" xfId="17029" xr:uid="{05645476-8D79-4B46-8DC0-3707DA728253}"/>
    <cellStyle name="Normal 5 2 2 2 4 5 3" xfId="6441" xr:uid="{00000000-0005-0000-0000-000080170000}"/>
    <cellStyle name="Normal 5 2 2 2 4 5 3 2" xfId="19102" xr:uid="{DF3BB2BB-DEA6-4469-B87C-0CC55AA069DF}"/>
    <cellStyle name="Normal 5 2 2 2 4 5 4" xfId="10673" xr:uid="{93914302-8079-418B-AFB0-824BDC967C76}"/>
    <cellStyle name="Normal 5 2 2 2 4 5 5" xfId="14884" xr:uid="{63828DB5-2AFD-4E14-920B-96035AD0CDEB}"/>
    <cellStyle name="Normal 5 2 2 2 4 6" xfId="2571" xr:uid="{00000000-0005-0000-0000-000081170000}"/>
    <cellStyle name="Normal 5 2 2 2 4 6 2" xfId="6854" xr:uid="{00000000-0005-0000-0000-000082170000}"/>
    <cellStyle name="Normal 5 2 2 2 4 6 2 2" xfId="19515" xr:uid="{43AC1BBC-9A83-4C2F-83CC-2D45B7B61381}"/>
    <cellStyle name="Normal 5 2 2 2 4 6 3" xfId="11086" xr:uid="{9EB30786-6234-434F-991D-795D97FD689E}"/>
    <cellStyle name="Normal 5 2 2 2 4 6 4" xfId="15297" xr:uid="{48C60059-D301-4BE8-B7A4-2A0C907EC6BB}"/>
    <cellStyle name="Normal 5 2 2 2 4 7" xfId="4789" xr:uid="{00000000-0005-0000-0000-000083170000}"/>
    <cellStyle name="Normal 5 2 2 2 4 7 2" xfId="17450" xr:uid="{F2C2B798-8D1D-4FA1-A1EA-DEE8DB3C7564}"/>
    <cellStyle name="Normal 5 2 2 2 4 8" xfId="9021" xr:uid="{57C17563-214B-45D5-B00E-BAED12E23666}"/>
    <cellStyle name="Normal 5 2 2 2 4 9" xfId="13232" xr:uid="{9A56509D-F4C8-45C1-AC05-72858847AFE8}"/>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20001" xr:uid="{70E1B0C1-18F0-4780-AF6F-740F18DF94E7}"/>
    <cellStyle name="Normal 5 2 2 2 5 2 3" xfId="11572" xr:uid="{F5E44F43-E995-41FC-BDE4-ACB7519E37AC}"/>
    <cellStyle name="Normal 5 2 2 2 5 2 4" xfId="15783" xr:uid="{F6B4D61E-FE5F-4DD2-9B32-3B5BCCA138E0}"/>
    <cellStyle name="Normal 5 2 2 2 5 3" xfId="5195" xr:uid="{00000000-0005-0000-0000-000087170000}"/>
    <cellStyle name="Normal 5 2 2 2 5 3 2" xfId="17856" xr:uid="{E45E9C79-5B58-4392-A958-2EE93C120A8C}"/>
    <cellStyle name="Normal 5 2 2 2 5 4" xfId="9427" xr:uid="{B8EADBBC-A0C8-43B3-B96C-E5B8B548C80A}"/>
    <cellStyle name="Normal 5 2 2 2 5 5" xfId="13638" xr:uid="{A5A04BFF-1A02-4D5D-8055-FAA52A35BADE}"/>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20414" xr:uid="{5A7E8C35-ED19-4AFC-9D8E-31C2DEA9F1C1}"/>
    <cellStyle name="Normal 5 2 2 2 6 2 3" xfId="11985" xr:uid="{FF51674C-87E3-45BC-A3B4-60A63C0A1D9C}"/>
    <cellStyle name="Normal 5 2 2 2 6 2 4" xfId="16196" xr:uid="{724A7125-30F7-4FDB-8185-31239E0BD898}"/>
    <cellStyle name="Normal 5 2 2 2 6 3" xfId="5608" xr:uid="{00000000-0005-0000-0000-00008B170000}"/>
    <cellStyle name="Normal 5 2 2 2 6 3 2" xfId="18269" xr:uid="{F4EE1781-7CE6-405F-893B-AE6E7C70AFCB}"/>
    <cellStyle name="Normal 5 2 2 2 6 4" xfId="9840" xr:uid="{74694756-BF9C-41D5-92B7-B3433DF76043}"/>
    <cellStyle name="Normal 5 2 2 2 6 5" xfId="14051" xr:uid="{6284F0B8-F326-469E-8297-08DF08E30A2F}"/>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20827" xr:uid="{9A81797E-53E1-4A8A-AAA2-23FFA270B64E}"/>
    <cellStyle name="Normal 5 2 2 2 7 2 3" xfId="12398" xr:uid="{89B14D8D-171F-4D9E-8CF6-311053BCE5C1}"/>
    <cellStyle name="Normal 5 2 2 2 7 2 4" xfId="16609" xr:uid="{4B033AD1-35F8-4CDC-91AF-755F7A667029}"/>
    <cellStyle name="Normal 5 2 2 2 7 3" xfId="6021" xr:uid="{00000000-0005-0000-0000-00008F170000}"/>
    <cellStyle name="Normal 5 2 2 2 7 3 2" xfId="18682" xr:uid="{404333F9-C387-4768-ACCE-59FA83878811}"/>
    <cellStyle name="Normal 5 2 2 2 7 4" xfId="10253" xr:uid="{5CDBCA08-BDE3-476F-A812-4E2CE319F121}"/>
    <cellStyle name="Normal 5 2 2 2 7 5" xfId="14464" xr:uid="{F9D549FD-A536-4F0F-94BD-96AABE3AC9A1}"/>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21240" xr:uid="{92693E75-9D20-48A2-AC38-2C70DDF600C8}"/>
    <cellStyle name="Normal 5 2 2 2 8 2 3" xfId="12811" xr:uid="{CEB16476-3C78-46BE-B9C1-EF340E4FF593}"/>
    <cellStyle name="Normal 5 2 2 2 8 2 4" xfId="17022" xr:uid="{A079DC8D-1BA6-46ED-AD0A-4A9005720F04}"/>
    <cellStyle name="Normal 5 2 2 2 8 3" xfId="6434" xr:uid="{00000000-0005-0000-0000-000093170000}"/>
    <cellStyle name="Normal 5 2 2 2 8 3 2" xfId="19095" xr:uid="{B4A42BDD-C82B-4DCA-B7DB-95983367A798}"/>
    <cellStyle name="Normal 5 2 2 2 8 4" xfId="10666" xr:uid="{9A228F4B-E2B2-4562-B4D2-C08FDEE86A12}"/>
    <cellStyle name="Normal 5 2 2 2 8 5" xfId="14877" xr:uid="{CD8D1DAA-ABF9-45CF-886F-0E0E19B7F8E4}"/>
    <cellStyle name="Normal 5 2 2 2 9" xfId="2564" xr:uid="{00000000-0005-0000-0000-000094170000}"/>
    <cellStyle name="Normal 5 2 2 2 9 2" xfId="6847" xr:uid="{00000000-0005-0000-0000-000095170000}"/>
    <cellStyle name="Normal 5 2 2 2 9 2 2" xfId="19508" xr:uid="{CAE1488F-2467-4C87-9851-CCA8D3DF04FF}"/>
    <cellStyle name="Normal 5 2 2 2 9 3" xfId="11079" xr:uid="{5BF9D097-EE45-4E8B-8C3F-0DD68A699258}"/>
    <cellStyle name="Normal 5 2 2 2 9 4" xfId="15290" xr:uid="{7A5ACA4F-A485-408A-8894-3FCA832B54CB}"/>
    <cellStyle name="Normal 5 2 2 3" xfId="417" xr:uid="{00000000-0005-0000-0000-000096170000}"/>
    <cellStyle name="Normal 5 2 2 3 10" xfId="9022" xr:uid="{B34F0327-4861-4CAB-B5A2-6BC89B3CEA0B}"/>
    <cellStyle name="Normal 5 2 2 3 11" xfId="13233" xr:uid="{1171CA7B-2AE8-420F-AC30-6364E0325F23}"/>
    <cellStyle name="Normal 5 2 2 3 2" xfId="418" xr:uid="{00000000-0005-0000-0000-000097170000}"/>
    <cellStyle name="Normal 5 2 2 3 2 10" xfId="13234" xr:uid="{6AA8DE0B-81C9-4ECC-9E89-ABAF106806BA}"/>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20011" xr:uid="{EB8DA144-C440-4A11-9DB2-AD665D069284}"/>
    <cellStyle name="Normal 5 2 2 3 2 2 2 2 3" xfId="11582" xr:uid="{E94A4A6E-E8F2-4036-AE3D-181C2D106791}"/>
    <cellStyle name="Normal 5 2 2 3 2 2 2 2 4" xfId="15793" xr:uid="{CADBF7CE-33E0-4980-BB96-C77EB24A17A8}"/>
    <cellStyle name="Normal 5 2 2 3 2 2 2 3" xfId="5205" xr:uid="{00000000-0005-0000-0000-00009C170000}"/>
    <cellStyle name="Normal 5 2 2 3 2 2 2 3 2" xfId="17866" xr:uid="{EEF567A1-1EC0-4993-936D-AD84A57AB9AD}"/>
    <cellStyle name="Normal 5 2 2 3 2 2 2 4" xfId="9437" xr:uid="{DF57FB9C-525F-4EB6-BB15-EC2A00BF28B9}"/>
    <cellStyle name="Normal 5 2 2 3 2 2 2 5" xfId="13648" xr:uid="{7504852D-F905-43C0-9309-DD293D7876B4}"/>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20424" xr:uid="{69B1A2DF-AFB2-45D6-975C-BC2C41D94BC9}"/>
    <cellStyle name="Normal 5 2 2 3 2 2 3 2 3" xfId="11995" xr:uid="{7F92215E-402B-4CA7-B9C1-B2CAF5A95D12}"/>
    <cellStyle name="Normal 5 2 2 3 2 2 3 2 4" xfId="16206" xr:uid="{CCAFBF5D-BA1D-4C97-A475-74E72D7634B0}"/>
    <cellStyle name="Normal 5 2 2 3 2 2 3 3" xfId="5618" xr:uid="{00000000-0005-0000-0000-0000A0170000}"/>
    <cellStyle name="Normal 5 2 2 3 2 2 3 3 2" xfId="18279" xr:uid="{39FCE5CF-DE29-48EB-87F3-BBBF286D9A51}"/>
    <cellStyle name="Normal 5 2 2 3 2 2 3 4" xfId="9850" xr:uid="{41231478-C926-415B-BE62-00FC1EAA6737}"/>
    <cellStyle name="Normal 5 2 2 3 2 2 3 5" xfId="14061" xr:uid="{A5B43D60-FA79-409A-9F95-C2C3B84A519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20837" xr:uid="{84EC0679-BB97-4F3B-8C47-0149FC66CE9B}"/>
    <cellStyle name="Normal 5 2 2 3 2 2 4 2 3" xfId="12408" xr:uid="{20A0F4B3-4BE2-4B16-BFB6-DE0AA4FD58AC}"/>
    <cellStyle name="Normal 5 2 2 3 2 2 4 2 4" xfId="16619" xr:uid="{37ED3389-9B11-488A-A73C-F97D3E0AF7B7}"/>
    <cellStyle name="Normal 5 2 2 3 2 2 4 3" xfId="6031" xr:uid="{00000000-0005-0000-0000-0000A4170000}"/>
    <cellStyle name="Normal 5 2 2 3 2 2 4 3 2" xfId="18692" xr:uid="{E79591C8-664B-44FD-A4B7-9DFC055CD93D}"/>
    <cellStyle name="Normal 5 2 2 3 2 2 4 4" xfId="10263" xr:uid="{585A84F5-A492-417E-A454-A2875C6BC2CA}"/>
    <cellStyle name="Normal 5 2 2 3 2 2 4 5" xfId="14474" xr:uid="{0C205B01-0D67-45B6-A58C-3F05C35A813B}"/>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21250" xr:uid="{924567B3-BC52-4C67-8A4A-6B1A1C918DBC}"/>
    <cellStyle name="Normal 5 2 2 3 2 2 5 2 3" xfId="12821" xr:uid="{94980818-7E48-419C-888A-BA1E3F617911}"/>
    <cellStyle name="Normal 5 2 2 3 2 2 5 2 4" xfId="17032" xr:uid="{D8AF073E-CCD1-4FE5-8658-760F2B9D5AD1}"/>
    <cellStyle name="Normal 5 2 2 3 2 2 5 3" xfId="6444" xr:uid="{00000000-0005-0000-0000-0000A8170000}"/>
    <cellStyle name="Normal 5 2 2 3 2 2 5 3 2" xfId="19105" xr:uid="{8B2DCB43-761A-4EC9-97F2-BAC185DFEEA2}"/>
    <cellStyle name="Normal 5 2 2 3 2 2 5 4" xfId="10676" xr:uid="{96FE5639-CEAA-4880-849F-37768EF4202C}"/>
    <cellStyle name="Normal 5 2 2 3 2 2 5 5" xfId="14887" xr:uid="{F2B8AFDE-9855-46B9-959F-7D392A0BCA62}"/>
    <cellStyle name="Normal 5 2 2 3 2 2 6" xfId="2574" xr:uid="{00000000-0005-0000-0000-0000A9170000}"/>
    <cellStyle name="Normal 5 2 2 3 2 2 6 2" xfId="6857" xr:uid="{00000000-0005-0000-0000-0000AA170000}"/>
    <cellStyle name="Normal 5 2 2 3 2 2 6 2 2" xfId="19518" xr:uid="{068B741D-162E-4310-817F-7B33F7275F1A}"/>
    <cellStyle name="Normal 5 2 2 3 2 2 6 3" xfId="11089" xr:uid="{2278B3EE-092D-40A2-83DC-A9CC23C12370}"/>
    <cellStyle name="Normal 5 2 2 3 2 2 6 4" xfId="15300" xr:uid="{1D7E619C-4523-4C43-AAD9-5A74C2A25B0E}"/>
    <cellStyle name="Normal 5 2 2 3 2 2 7" xfId="4792" xr:uid="{00000000-0005-0000-0000-0000AB170000}"/>
    <cellStyle name="Normal 5 2 2 3 2 2 7 2" xfId="17453" xr:uid="{EDB5B71E-D133-4EC4-9064-3BC727AE4A8B}"/>
    <cellStyle name="Normal 5 2 2 3 2 2 8" xfId="9024" xr:uid="{12EF6919-09CE-4AFD-99D3-6E422F14A03C}"/>
    <cellStyle name="Normal 5 2 2 3 2 2 9" xfId="13235" xr:uid="{B70CA8FA-9D3A-49F0-9183-DDBBDE49D0BB}"/>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20010" xr:uid="{A7A843FB-90E2-455F-826F-3D9B774E19FC}"/>
    <cellStyle name="Normal 5 2 2 3 2 3 2 3" xfId="11581" xr:uid="{5C4835FD-432A-4714-B945-947992FE83EE}"/>
    <cellStyle name="Normal 5 2 2 3 2 3 2 4" xfId="15792" xr:uid="{8770F94C-4932-4193-B73F-FB742B78776B}"/>
    <cellStyle name="Normal 5 2 2 3 2 3 3" xfId="5204" xr:uid="{00000000-0005-0000-0000-0000AF170000}"/>
    <cellStyle name="Normal 5 2 2 3 2 3 3 2" xfId="17865" xr:uid="{8BED1E53-9264-4852-9650-FB6D6E378DFA}"/>
    <cellStyle name="Normal 5 2 2 3 2 3 4" xfId="9436" xr:uid="{635C0FC3-4A33-431A-9FE9-5FF4F5C403BC}"/>
    <cellStyle name="Normal 5 2 2 3 2 3 5" xfId="13647" xr:uid="{FFED1145-7EDD-4BBE-9FAD-A2A21FCB50B8}"/>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20423" xr:uid="{0FC125B0-AFB2-4E73-850B-91E286009240}"/>
    <cellStyle name="Normal 5 2 2 3 2 4 2 3" xfId="11994" xr:uid="{0C7C1ECE-90FE-49E4-9FCB-EB6BE44A9EFE}"/>
    <cellStyle name="Normal 5 2 2 3 2 4 2 4" xfId="16205" xr:uid="{C1E7590A-1DDC-491C-9554-D670D3E1B979}"/>
    <cellStyle name="Normal 5 2 2 3 2 4 3" xfId="5617" xr:uid="{00000000-0005-0000-0000-0000B3170000}"/>
    <cellStyle name="Normal 5 2 2 3 2 4 3 2" xfId="18278" xr:uid="{5010CA78-80AF-49F5-B0AE-CEF616E81F03}"/>
    <cellStyle name="Normal 5 2 2 3 2 4 4" xfId="9849" xr:uid="{68BB9A41-2F6B-4322-91DB-FCBE5FC5915E}"/>
    <cellStyle name="Normal 5 2 2 3 2 4 5" xfId="14060" xr:uid="{ABD2CDF9-120D-47FD-AFAF-D821F9C43F39}"/>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20836" xr:uid="{930ED648-1DAA-4E25-A13A-586333C23CFD}"/>
    <cellStyle name="Normal 5 2 2 3 2 5 2 3" xfId="12407" xr:uid="{50A2ECCD-36C4-4B83-8B47-847ADF3E9645}"/>
    <cellStyle name="Normal 5 2 2 3 2 5 2 4" xfId="16618" xr:uid="{801F2D7C-C96F-4777-B460-E89A25042E27}"/>
    <cellStyle name="Normal 5 2 2 3 2 5 3" xfId="6030" xr:uid="{00000000-0005-0000-0000-0000B7170000}"/>
    <cellStyle name="Normal 5 2 2 3 2 5 3 2" xfId="18691" xr:uid="{A196BB59-DC71-47D1-A9B0-890D2AB802C2}"/>
    <cellStyle name="Normal 5 2 2 3 2 5 4" xfId="10262" xr:uid="{78B6C011-A944-4241-860C-ECA62A8EA424}"/>
    <cellStyle name="Normal 5 2 2 3 2 5 5" xfId="14473" xr:uid="{76D041FC-6160-419E-812F-CAAD378B087C}"/>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21249" xr:uid="{CAF51622-DD16-4632-8285-516292BCD057}"/>
    <cellStyle name="Normal 5 2 2 3 2 6 2 3" xfId="12820" xr:uid="{B4C1B8FD-CB4A-4419-A062-200D762CFAFB}"/>
    <cellStyle name="Normal 5 2 2 3 2 6 2 4" xfId="17031" xr:uid="{740D51E0-27D9-4486-BCFC-C709C9628030}"/>
    <cellStyle name="Normal 5 2 2 3 2 6 3" xfId="6443" xr:uid="{00000000-0005-0000-0000-0000BB170000}"/>
    <cellStyle name="Normal 5 2 2 3 2 6 3 2" xfId="19104" xr:uid="{080441AA-049F-4A53-B657-65112EECC563}"/>
    <cellStyle name="Normal 5 2 2 3 2 6 4" xfId="10675" xr:uid="{142B743F-9265-44E2-BCFF-A29971F6B287}"/>
    <cellStyle name="Normal 5 2 2 3 2 6 5" xfId="14886" xr:uid="{74452A05-1D56-497F-AEAA-0E8C7350960F}"/>
    <cellStyle name="Normal 5 2 2 3 2 7" xfId="2573" xr:uid="{00000000-0005-0000-0000-0000BC170000}"/>
    <cellStyle name="Normal 5 2 2 3 2 7 2" xfId="6856" xr:uid="{00000000-0005-0000-0000-0000BD170000}"/>
    <cellStyle name="Normal 5 2 2 3 2 7 2 2" xfId="19517" xr:uid="{24079CA7-C521-4DBF-B8B4-82DB3D727B1B}"/>
    <cellStyle name="Normal 5 2 2 3 2 7 3" xfId="11088" xr:uid="{E2E2A155-36F4-4394-AB8E-12C56C711EB4}"/>
    <cellStyle name="Normal 5 2 2 3 2 7 4" xfId="15299" xr:uid="{AC25EACF-AB68-4C0B-8DBD-8A3F96034D51}"/>
    <cellStyle name="Normal 5 2 2 3 2 8" xfId="4791" xr:uid="{00000000-0005-0000-0000-0000BE170000}"/>
    <cellStyle name="Normal 5 2 2 3 2 8 2" xfId="17452" xr:uid="{DD899B80-0C88-4AC5-AC9D-B3F1EAE90F79}"/>
    <cellStyle name="Normal 5 2 2 3 2 9" xfId="9023" xr:uid="{7B863001-8261-48CA-90DE-13E14270D94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20012" xr:uid="{9893491D-39E1-4639-A4B6-2D7432F37182}"/>
    <cellStyle name="Normal 5 2 2 3 3 2 2 3" xfId="11583" xr:uid="{B4747D81-E076-4205-8FBA-24FFA476875C}"/>
    <cellStyle name="Normal 5 2 2 3 3 2 2 4" xfId="15794" xr:uid="{0DF43715-9D7D-4C86-A268-0B4ED80D6C68}"/>
    <cellStyle name="Normal 5 2 2 3 3 2 3" xfId="5206" xr:uid="{00000000-0005-0000-0000-0000C3170000}"/>
    <cellStyle name="Normal 5 2 2 3 3 2 3 2" xfId="17867" xr:uid="{B8635E8A-97D8-4090-97A0-9F6A0BB00766}"/>
    <cellStyle name="Normal 5 2 2 3 3 2 4" xfId="9438" xr:uid="{28B78FB9-1294-405C-841F-591E5CE1F2DE}"/>
    <cellStyle name="Normal 5 2 2 3 3 2 5" xfId="13649" xr:uid="{03F32BF8-066C-408D-ACAD-A1495C3A821F}"/>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20425" xr:uid="{BE5124BE-6136-4DDF-96B2-735A50F85B21}"/>
    <cellStyle name="Normal 5 2 2 3 3 3 2 3" xfId="11996" xr:uid="{D7075E00-CBC4-4805-9598-43E02EDBFEE1}"/>
    <cellStyle name="Normal 5 2 2 3 3 3 2 4" xfId="16207" xr:uid="{D8F06623-F36E-4D16-93A3-DDF3A907C8F0}"/>
    <cellStyle name="Normal 5 2 2 3 3 3 3" xfId="5619" xr:uid="{00000000-0005-0000-0000-0000C7170000}"/>
    <cellStyle name="Normal 5 2 2 3 3 3 3 2" xfId="18280" xr:uid="{C6EF79C2-C2D8-4919-902F-C005513CCA3A}"/>
    <cellStyle name="Normal 5 2 2 3 3 3 4" xfId="9851" xr:uid="{3E6FCBA3-5581-4AB9-B821-E7D4069B38AD}"/>
    <cellStyle name="Normal 5 2 2 3 3 3 5" xfId="14062" xr:uid="{4BFB41FF-226A-4592-86D3-43A808F46086}"/>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20838" xr:uid="{B65EBA2D-6429-4972-B8E2-1F0964AD74FC}"/>
    <cellStyle name="Normal 5 2 2 3 3 4 2 3" xfId="12409" xr:uid="{55F2F7B6-EEA2-4FD7-9C9D-2648EC388B9D}"/>
    <cellStyle name="Normal 5 2 2 3 3 4 2 4" xfId="16620" xr:uid="{D2C57555-F4E1-4B36-8FED-3C2FF5546466}"/>
    <cellStyle name="Normal 5 2 2 3 3 4 3" xfId="6032" xr:uid="{00000000-0005-0000-0000-0000CB170000}"/>
    <cellStyle name="Normal 5 2 2 3 3 4 3 2" xfId="18693" xr:uid="{50F7763A-AC63-4862-A01D-3B656FC51EE8}"/>
    <cellStyle name="Normal 5 2 2 3 3 4 4" xfId="10264" xr:uid="{DE5F5488-EC1C-4B8E-84D1-8A35A9334B53}"/>
    <cellStyle name="Normal 5 2 2 3 3 4 5" xfId="14475" xr:uid="{E8710128-59B6-4BDB-8747-46CBF7F7B428}"/>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21251" xr:uid="{37CDC28E-4E42-40DF-B324-50609914B36F}"/>
    <cellStyle name="Normal 5 2 2 3 3 5 2 3" xfId="12822" xr:uid="{0ED596DD-7A11-4D46-AA66-DC993827849F}"/>
    <cellStyle name="Normal 5 2 2 3 3 5 2 4" xfId="17033" xr:uid="{0A85BE02-9614-4F22-9145-80341CBB000D}"/>
    <cellStyle name="Normal 5 2 2 3 3 5 3" xfId="6445" xr:uid="{00000000-0005-0000-0000-0000CF170000}"/>
    <cellStyle name="Normal 5 2 2 3 3 5 3 2" xfId="19106" xr:uid="{93D04BF6-27CF-4927-8878-E148F5EB7006}"/>
    <cellStyle name="Normal 5 2 2 3 3 5 4" xfId="10677" xr:uid="{B99CB489-7C81-42DD-AF8F-C1EE288213DE}"/>
    <cellStyle name="Normal 5 2 2 3 3 5 5" xfId="14888" xr:uid="{8C139EC5-238C-4608-9CA6-65C9B4D27220}"/>
    <cellStyle name="Normal 5 2 2 3 3 6" xfId="2575" xr:uid="{00000000-0005-0000-0000-0000D0170000}"/>
    <cellStyle name="Normal 5 2 2 3 3 6 2" xfId="6858" xr:uid="{00000000-0005-0000-0000-0000D1170000}"/>
    <cellStyle name="Normal 5 2 2 3 3 6 2 2" xfId="19519" xr:uid="{4BC0512D-D8DD-463C-A644-3F4405D907A7}"/>
    <cellStyle name="Normal 5 2 2 3 3 6 3" xfId="11090" xr:uid="{4F7BDDBE-D6C5-4F55-ADF0-85F0A7ABA57E}"/>
    <cellStyle name="Normal 5 2 2 3 3 6 4" xfId="15301" xr:uid="{FCC25EDC-BD55-409C-B998-0880631798A2}"/>
    <cellStyle name="Normal 5 2 2 3 3 7" xfId="4793" xr:uid="{00000000-0005-0000-0000-0000D2170000}"/>
    <cellStyle name="Normal 5 2 2 3 3 7 2" xfId="17454" xr:uid="{76640DD5-59F8-45A5-8CBF-32AF0D4F94A0}"/>
    <cellStyle name="Normal 5 2 2 3 3 8" xfId="9025" xr:uid="{845F0C13-8241-4B33-8EB7-D5DE42798798}"/>
    <cellStyle name="Normal 5 2 2 3 3 9" xfId="13236" xr:uid="{B7B64771-719F-4427-B2D8-4BF9695FA1CA}"/>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20009" xr:uid="{60C85A1B-C847-48BE-97FB-67E3EF34054B}"/>
    <cellStyle name="Normal 5 2 2 3 4 2 3" xfId="11580" xr:uid="{8B978226-B70E-4C2A-9AD7-1B11EFF68C3B}"/>
    <cellStyle name="Normal 5 2 2 3 4 2 4" xfId="15791" xr:uid="{F2C8AEA3-81A4-4391-A295-771B3660E14F}"/>
    <cellStyle name="Normal 5 2 2 3 4 3" xfId="5203" xr:uid="{00000000-0005-0000-0000-0000D6170000}"/>
    <cellStyle name="Normal 5 2 2 3 4 3 2" xfId="17864" xr:uid="{DCBCA5B5-8F3A-46E3-9F3F-6BA67E1DE53F}"/>
    <cellStyle name="Normal 5 2 2 3 4 4" xfId="9435" xr:uid="{30CC99AE-556A-499C-A5C8-82F1B0B1B04A}"/>
    <cellStyle name="Normal 5 2 2 3 4 5" xfId="13646" xr:uid="{6E1352BD-C489-4B46-9245-998CB45B2C55}"/>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20422" xr:uid="{5E53A4E7-4E2F-427A-994A-A490FD8C8894}"/>
    <cellStyle name="Normal 5 2 2 3 5 2 3" xfId="11993" xr:uid="{9E4AA4EF-6803-407B-8535-B19D20D00CD7}"/>
    <cellStyle name="Normal 5 2 2 3 5 2 4" xfId="16204" xr:uid="{8C7B8247-FB1F-4C60-AD37-60F408395D74}"/>
    <cellStyle name="Normal 5 2 2 3 5 3" xfId="5616" xr:uid="{00000000-0005-0000-0000-0000DA170000}"/>
    <cellStyle name="Normal 5 2 2 3 5 3 2" xfId="18277" xr:uid="{6D0679AF-1928-4578-B1A5-2D99BD1828C3}"/>
    <cellStyle name="Normal 5 2 2 3 5 4" xfId="9848" xr:uid="{56AD5FCA-1825-4830-9D9E-4325F7F014BE}"/>
    <cellStyle name="Normal 5 2 2 3 5 5" xfId="14059" xr:uid="{10514DF9-FED2-4D1F-9E86-916660390D85}"/>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20835" xr:uid="{A6B1E5C6-D51D-4FD9-A140-47BD5BDBA22D}"/>
    <cellStyle name="Normal 5 2 2 3 6 2 3" xfId="12406" xr:uid="{7D9B44BE-6270-49E5-A493-3415C56A9828}"/>
    <cellStyle name="Normal 5 2 2 3 6 2 4" xfId="16617" xr:uid="{3B1AEE87-A2CC-4911-8DEA-94B8D6386B85}"/>
    <cellStyle name="Normal 5 2 2 3 6 3" xfId="6029" xr:uid="{00000000-0005-0000-0000-0000DE170000}"/>
    <cellStyle name="Normal 5 2 2 3 6 3 2" xfId="18690" xr:uid="{6F4A3375-4D1D-4527-8FF6-5CC194BC6CCC}"/>
    <cellStyle name="Normal 5 2 2 3 6 4" xfId="10261" xr:uid="{18D86B87-4323-4866-BF9A-50652E4753C7}"/>
    <cellStyle name="Normal 5 2 2 3 6 5" xfId="14472" xr:uid="{CF0BA0C6-5288-40C3-81D4-FDC3458B548C}"/>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21248" xr:uid="{8AA69CAA-A1D7-43D0-94A8-2DDD97AE01B8}"/>
    <cellStyle name="Normal 5 2 2 3 7 2 3" xfId="12819" xr:uid="{AAE28DAC-DADA-4EDD-A113-9D30D4CAABA7}"/>
    <cellStyle name="Normal 5 2 2 3 7 2 4" xfId="17030" xr:uid="{C8C83A3B-E6D9-48C4-ADD9-6AE7B4F8C1A3}"/>
    <cellStyle name="Normal 5 2 2 3 7 3" xfId="6442" xr:uid="{00000000-0005-0000-0000-0000E2170000}"/>
    <cellStyle name="Normal 5 2 2 3 7 3 2" xfId="19103" xr:uid="{D3AD9AA0-F062-4024-8898-9F17D21A83A2}"/>
    <cellStyle name="Normal 5 2 2 3 7 4" xfId="10674" xr:uid="{AE808DBC-136F-43AF-ABD0-AA4E87F8CECF}"/>
    <cellStyle name="Normal 5 2 2 3 7 5" xfId="14885" xr:uid="{88F572BF-140B-4607-A003-E6DF5C185553}"/>
    <cellStyle name="Normal 5 2 2 3 8" xfId="2572" xr:uid="{00000000-0005-0000-0000-0000E3170000}"/>
    <cellStyle name="Normal 5 2 2 3 8 2" xfId="6855" xr:uid="{00000000-0005-0000-0000-0000E4170000}"/>
    <cellStyle name="Normal 5 2 2 3 8 2 2" xfId="19516" xr:uid="{AE6B5B7B-CFE9-4B29-8B2D-7755AE9FE985}"/>
    <cellStyle name="Normal 5 2 2 3 8 3" xfId="11087" xr:uid="{F32FA6C9-468A-47B4-A129-4DA06185ABC4}"/>
    <cellStyle name="Normal 5 2 2 3 8 4" xfId="15298" xr:uid="{3EC2368F-1B73-4C69-BEE3-E0983A203220}"/>
    <cellStyle name="Normal 5 2 2 3 9" xfId="4790" xr:uid="{00000000-0005-0000-0000-0000E5170000}"/>
    <cellStyle name="Normal 5 2 2 3 9 2" xfId="17451" xr:uid="{AC34D43F-01F9-4A54-8C0C-CF38D1D17A9D}"/>
    <cellStyle name="Normal 5 2 2 4" xfId="421" xr:uid="{00000000-0005-0000-0000-0000E6170000}"/>
    <cellStyle name="Normal 5 2 2 4 10" xfId="13237" xr:uid="{C0E5CDDD-EF0E-4D84-BB45-98D1C3A78F8E}"/>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20014" xr:uid="{75970646-3BD2-4BC2-BC85-8D2DDCFBDEE9}"/>
    <cellStyle name="Normal 5 2 2 4 2 2 2 3" xfId="11585" xr:uid="{0956E92A-DFF4-4E52-819A-E0FB16A2EF98}"/>
    <cellStyle name="Normal 5 2 2 4 2 2 2 4" xfId="15796" xr:uid="{E137E15D-123A-4703-A791-102647B061FF}"/>
    <cellStyle name="Normal 5 2 2 4 2 2 3" xfId="5208" xr:uid="{00000000-0005-0000-0000-0000EB170000}"/>
    <cellStyle name="Normal 5 2 2 4 2 2 3 2" xfId="17869" xr:uid="{787E570F-0785-4453-AB7E-D0771BC79707}"/>
    <cellStyle name="Normal 5 2 2 4 2 2 4" xfId="9440" xr:uid="{2B3441EA-58CB-41AF-BC0B-E8103B06FA22}"/>
    <cellStyle name="Normal 5 2 2 4 2 2 5" xfId="13651" xr:uid="{6F651770-E9A3-4717-8299-8AF029E94CE7}"/>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20427" xr:uid="{70879B23-C93D-4A21-B936-2F095BF3A549}"/>
    <cellStyle name="Normal 5 2 2 4 2 3 2 3" xfId="11998" xr:uid="{8E7C54A9-7DF5-4A57-943B-8F4600EE19D8}"/>
    <cellStyle name="Normal 5 2 2 4 2 3 2 4" xfId="16209" xr:uid="{F5E73EEC-6457-4A73-ADC2-C0C2589E0CF9}"/>
    <cellStyle name="Normal 5 2 2 4 2 3 3" xfId="5621" xr:uid="{00000000-0005-0000-0000-0000EF170000}"/>
    <cellStyle name="Normal 5 2 2 4 2 3 3 2" xfId="18282" xr:uid="{7580CF47-1C6B-4E0A-AD7B-E9BACDA47643}"/>
    <cellStyle name="Normal 5 2 2 4 2 3 4" xfId="9853" xr:uid="{05388CA9-615A-4220-90FF-5245E2AC6283}"/>
    <cellStyle name="Normal 5 2 2 4 2 3 5" xfId="14064" xr:uid="{EC25B18F-09E2-4801-9393-4D28647195F1}"/>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20840" xr:uid="{0DC18615-A3E8-4381-88B4-768877FB7325}"/>
    <cellStyle name="Normal 5 2 2 4 2 4 2 3" xfId="12411" xr:uid="{9A25A45B-EA35-4991-92DD-12255AB45A88}"/>
    <cellStyle name="Normal 5 2 2 4 2 4 2 4" xfId="16622" xr:uid="{C074A46F-C8C1-41FE-9E5C-2F51A0A7FCD9}"/>
    <cellStyle name="Normal 5 2 2 4 2 4 3" xfId="6034" xr:uid="{00000000-0005-0000-0000-0000F3170000}"/>
    <cellStyle name="Normal 5 2 2 4 2 4 3 2" xfId="18695" xr:uid="{45EB920E-4B55-4FC7-B3F8-CD3545DD8476}"/>
    <cellStyle name="Normal 5 2 2 4 2 4 4" xfId="10266" xr:uid="{0EB144F2-F5D4-4580-997B-43648DE4B3F9}"/>
    <cellStyle name="Normal 5 2 2 4 2 4 5" xfId="14477" xr:uid="{9EB6B18B-BFB5-43EB-8E81-7E4EE1AA735A}"/>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21253" xr:uid="{A907E23C-3144-4202-83E4-A7EDBA90B4A7}"/>
    <cellStyle name="Normal 5 2 2 4 2 5 2 3" xfId="12824" xr:uid="{1D108857-793B-4E15-B49C-B38E742B882F}"/>
    <cellStyle name="Normal 5 2 2 4 2 5 2 4" xfId="17035" xr:uid="{017AD14A-3133-4B8B-8FE3-8389AE8E713D}"/>
    <cellStyle name="Normal 5 2 2 4 2 5 3" xfId="6447" xr:uid="{00000000-0005-0000-0000-0000F7170000}"/>
    <cellStyle name="Normal 5 2 2 4 2 5 3 2" xfId="19108" xr:uid="{20223FE5-18AB-4F69-85EB-EBED638A1468}"/>
    <cellStyle name="Normal 5 2 2 4 2 5 4" xfId="10679" xr:uid="{63BFD94A-B7A6-489D-8FFE-8BD3281AFAD3}"/>
    <cellStyle name="Normal 5 2 2 4 2 5 5" xfId="14890" xr:uid="{511B6678-9481-4012-BEB8-AC6B2EEC2EF5}"/>
    <cellStyle name="Normal 5 2 2 4 2 6" xfId="2577" xr:uid="{00000000-0005-0000-0000-0000F8170000}"/>
    <cellStyle name="Normal 5 2 2 4 2 6 2" xfId="6860" xr:uid="{00000000-0005-0000-0000-0000F9170000}"/>
    <cellStyle name="Normal 5 2 2 4 2 6 2 2" xfId="19521" xr:uid="{63EF2D85-92D3-4940-BE4C-EC7907BB2904}"/>
    <cellStyle name="Normal 5 2 2 4 2 6 3" xfId="11092" xr:uid="{FE2C2B08-5876-402D-9D09-D25C3E7E13F7}"/>
    <cellStyle name="Normal 5 2 2 4 2 6 4" xfId="15303" xr:uid="{8D29A87A-DB3E-42F1-ADCF-566BDB33807D}"/>
    <cellStyle name="Normal 5 2 2 4 2 7" xfId="4795" xr:uid="{00000000-0005-0000-0000-0000FA170000}"/>
    <cellStyle name="Normal 5 2 2 4 2 7 2" xfId="17456" xr:uid="{824B4FD5-F666-474A-A1E0-0C7137307EA2}"/>
    <cellStyle name="Normal 5 2 2 4 2 8" xfId="9027" xr:uid="{400C9CF6-7C5D-483D-941D-0050316A404B}"/>
    <cellStyle name="Normal 5 2 2 4 2 9" xfId="13238" xr:uid="{61A0AEFD-E822-4388-B954-9DCEFF4A9EE5}"/>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20013" xr:uid="{D8F9426C-FA73-4CF7-AD6A-E9AC0DF6CB10}"/>
    <cellStyle name="Normal 5 2 2 4 3 2 3" xfId="11584" xr:uid="{CCDA9E14-38DB-4974-B100-A6D0705E6D7D}"/>
    <cellStyle name="Normal 5 2 2 4 3 2 4" xfId="15795" xr:uid="{D4512E0F-2682-4100-95A9-6792F8586B3D}"/>
    <cellStyle name="Normal 5 2 2 4 3 3" xfId="5207" xr:uid="{00000000-0005-0000-0000-0000FE170000}"/>
    <cellStyle name="Normal 5 2 2 4 3 3 2" xfId="17868" xr:uid="{12560F8C-D0E0-4B82-BB38-51C47BEBC186}"/>
    <cellStyle name="Normal 5 2 2 4 3 4" xfId="9439" xr:uid="{5C558EC4-EF02-44DC-A277-5E26062F3F3F}"/>
    <cellStyle name="Normal 5 2 2 4 3 5" xfId="13650" xr:uid="{EA8040A0-1EA3-4A2E-929F-9677ADE1010F}"/>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20426" xr:uid="{B6218E07-C12B-4F5E-96D9-6003E041CAE6}"/>
    <cellStyle name="Normal 5 2 2 4 4 2 3" xfId="11997" xr:uid="{373D9093-3818-4375-A016-04BA9627567A}"/>
    <cellStyle name="Normal 5 2 2 4 4 2 4" xfId="16208" xr:uid="{1E96D73D-A5E6-4D3D-8A9A-57848DBD02FF}"/>
    <cellStyle name="Normal 5 2 2 4 4 3" xfId="5620" xr:uid="{00000000-0005-0000-0000-000002180000}"/>
    <cellStyle name="Normal 5 2 2 4 4 3 2" xfId="18281" xr:uid="{846C4D55-CCFD-43C5-9619-43D819AE7174}"/>
    <cellStyle name="Normal 5 2 2 4 4 4" xfId="9852" xr:uid="{09D0544B-8B8C-48B2-BDD6-12E42DAFDA47}"/>
    <cellStyle name="Normal 5 2 2 4 4 5" xfId="14063" xr:uid="{F309FB85-71D8-4A83-A8D3-7D79119DB05C}"/>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20839" xr:uid="{97DB69D4-F80F-426E-BC09-E9C80D047E97}"/>
    <cellStyle name="Normal 5 2 2 4 5 2 3" xfId="12410" xr:uid="{E781A160-6E88-45F5-A26B-13304A1341CD}"/>
    <cellStyle name="Normal 5 2 2 4 5 2 4" xfId="16621" xr:uid="{CF59EA18-3C79-48ED-9B9F-4E20C3A13D6B}"/>
    <cellStyle name="Normal 5 2 2 4 5 3" xfId="6033" xr:uid="{00000000-0005-0000-0000-000006180000}"/>
    <cellStyle name="Normal 5 2 2 4 5 3 2" xfId="18694" xr:uid="{0FEF6016-15F9-4969-9F3B-DADBE77543B8}"/>
    <cellStyle name="Normal 5 2 2 4 5 4" xfId="10265" xr:uid="{9A3DAA9B-551B-4074-8694-EB94F191F40B}"/>
    <cellStyle name="Normal 5 2 2 4 5 5" xfId="14476" xr:uid="{081C53EF-7E61-40E5-B039-77B2696D539E}"/>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21252" xr:uid="{576A53AA-467E-4977-B3F1-7CD9E46F2F14}"/>
    <cellStyle name="Normal 5 2 2 4 6 2 3" xfId="12823" xr:uid="{59A2BF30-95C2-4DBE-8294-7D64A2AC235A}"/>
    <cellStyle name="Normal 5 2 2 4 6 2 4" xfId="17034" xr:uid="{03DB3D73-35D3-4471-8F53-F4F985097953}"/>
    <cellStyle name="Normal 5 2 2 4 6 3" xfId="6446" xr:uid="{00000000-0005-0000-0000-00000A180000}"/>
    <cellStyle name="Normal 5 2 2 4 6 3 2" xfId="19107" xr:uid="{48BDE396-A273-4D23-B680-A8E713A520C2}"/>
    <cellStyle name="Normal 5 2 2 4 6 4" xfId="10678" xr:uid="{C5A248FE-4672-4D98-B0D8-7374703FDB2C}"/>
    <cellStyle name="Normal 5 2 2 4 6 5" xfId="14889" xr:uid="{DB3D2D74-118A-4BA1-A104-2F035B1B37C4}"/>
    <cellStyle name="Normal 5 2 2 4 7" xfId="2576" xr:uid="{00000000-0005-0000-0000-00000B180000}"/>
    <cellStyle name="Normal 5 2 2 4 7 2" xfId="6859" xr:uid="{00000000-0005-0000-0000-00000C180000}"/>
    <cellStyle name="Normal 5 2 2 4 7 2 2" xfId="19520" xr:uid="{EC59BECD-D184-4907-BF36-25A251A502D8}"/>
    <cellStyle name="Normal 5 2 2 4 7 3" xfId="11091" xr:uid="{09B1EB81-DE70-4491-A6CD-196EA0633271}"/>
    <cellStyle name="Normal 5 2 2 4 7 4" xfId="15302" xr:uid="{0E575EB2-CE96-4988-87AD-B1550A0DCA9E}"/>
    <cellStyle name="Normal 5 2 2 4 8" xfId="4794" xr:uid="{00000000-0005-0000-0000-00000D180000}"/>
    <cellStyle name="Normal 5 2 2 4 8 2" xfId="17455" xr:uid="{5FD36034-5C4D-4FBC-BAEA-5B26155E1FE9}"/>
    <cellStyle name="Normal 5 2 2 4 9" xfId="9026" xr:uid="{3686CF08-E933-4F63-988A-5345EACD5FD7}"/>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20015" xr:uid="{C8018B4D-11A1-435D-95EE-5AD26741D7B6}"/>
    <cellStyle name="Normal 5 2 2 5 2 2 3" xfId="11586" xr:uid="{DF340BE1-D349-40A7-8BC0-3005AC695199}"/>
    <cellStyle name="Normal 5 2 2 5 2 2 4" xfId="15797" xr:uid="{3214ADF1-4DC0-42A9-BEC3-E23E143ED541}"/>
    <cellStyle name="Normal 5 2 2 5 2 3" xfId="5209" xr:uid="{00000000-0005-0000-0000-000012180000}"/>
    <cellStyle name="Normal 5 2 2 5 2 3 2" xfId="17870" xr:uid="{B80A6B7B-FD29-453F-9B5B-0B7FEAB84AEF}"/>
    <cellStyle name="Normal 5 2 2 5 2 4" xfId="9441" xr:uid="{318E34BC-AB32-48E2-A005-A59844A34E98}"/>
    <cellStyle name="Normal 5 2 2 5 2 5" xfId="13652" xr:uid="{53266034-38AD-4461-9D2A-EE6E5FCD9841}"/>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20428" xr:uid="{791425BF-1640-4334-9702-EF131AF9802E}"/>
    <cellStyle name="Normal 5 2 2 5 3 2 3" xfId="11999" xr:uid="{815D0ACF-2A17-45B4-A574-034FA0823B32}"/>
    <cellStyle name="Normal 5 2 2 5 3 2 4" xfId="16210" xr:uid="{719A256F-5C63-4FDF-AFB0-D15F45DCBB9F}"/>
    <cellStyle name="Normal 5 2 2 5 3 3" xfId="5622" xr:uid="{00000000-0005-0000-0000-000016180000}"/>
    <cellStyle name="Normal 5 2 2 5 3 3 2" xfId="18283" xr:uid="{EED550A4-A241-4562-B0B6-B128E2952C35}"/>
    <cellStyle name="Normal 5 2 2 5 3 4" xfId="9854" xr:uid="{476B4BFB-2EBA-4899-BCBE-69D36080018A}"/>
    <cellStyle name="Normal 5 2 2 5 3 5" xfId="14065" xr:uid="{1F6E6051-BC12-49DF-BF44-D458CD814C9D}"/>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20841" xr:uid="{1AE34ED5-F0B0-4D6D-9D21-ADBC8DF1DBD8}"/>
    <cellStyle name="Normal 5 2 2 5 4 2 3" xfId="12412" xr:uid="{5DCDB62C-7632-41B7-99D4-C8429F6335F6}"/>
    <cellStyle name="Normal 5 2 2 5 4 2 4" xfId="16623" xr:uid="{EDE8C7E3-7897-483E-8B4A-60ABC7F5104A}"/>
    <cellStyle name="Normal 5 2 2 5 4 3" xfId="6035" xr:uid="{00000000-0005-0000-0000-00001A180000}"/>
    <cellStyle name="Normal 5 2 2 5 4 3 2" xfId="18696" xr:uid="{C27E45F3-A4F0-4D66-93B0-734EB51BFB41}"/>
    <cellStyle name="Normal 5 2 2 5 4 4" xfId="10267" xr:uid="{A565DD1A-BF18-4DC0-A87B-42EF3DFD8BB4}"/>
    <cellStyle name="Normal 5 2 2 5 4 5" xfId="14478" xr:uid="{6AD40921-DFDD-49B4-A2C1-B40665FE32BE}"/>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21254" xr:uid="{CA9E3F00-E684-426C-BFCC-DA8D0F2BF396}"/>
    <cellStyle name="Normal 5 2 2 5 5 2 3" xfId="12825" xr:uid="{AF6D194E-CCFC-4697-A438-70018AD88DB1}"/>
    <cellStyle name="Normal 5 2 2 5 5 2 4" xfId="17036" xr:uid="{1948561A-A071-429A-847F-303EE44532C3}"/>
    <cellStyle name="Normal 5 2 2 5 5 3" xfId="6448" xr:uid="{00000000-0005-0000-0000-00001E180000}"/>
    <cellStyle name="Normal 5 2 2 5 5 3 2" xfId="19109" xr:uid="{192CAC3F-0B6D-434C-B1FB-6ACD64D221ED}"/>
    <cellStyle name="Normal 5 2 2 5 5 4" xfId="10680" xr:uid="{D9D3FB9F-AD04-4557-918B-411412CD032D}"/>
    <cellStyle name="Normal 5 2 2 5 5 5" xfId="14891" xr:uid="{D0648807-6318-488C-81E2-5F89CE4613A0}"/>
    <cellStyle name="Normal 5 2 2 5 6" xfId="2578" xr:uid="{00000000-0005-0000-0000-00001F180000}"/>
    <cellStyle name="Normal 5 2 2 5 6 2" xfId="6861" xr:uid="{00000000-0005-0000-0000-000020180000}"/>
    <cellStyle name="Normal 5 2 2 5 6 2 2" xfId="19522" xr:uid="{AEC17473-DF2A-4288-8C27-A80FB7D7D3AD}"/>
    <cellStyle name="Normal 5 2 2 5 6 3" xfId="11093" xr:uid="{04BF297E-FDBC-4E9A-B45C-0A76B900088A}"/>
    <cellStyle name="Normal 5 2 2 5 6 4" xfId="15304" xr:uid="{83467AC2-4ADF-43A7-ACBE-5CA9A0EC397D}"/>
    <cellStyle name="Normal 5 2 2 5 7" xfId="4796" xr:uid="{00000000-0005-0000-0000-000021180000}"/>
    <cellStyle name="Normal 5 2 2 5 7 2" xfId="17457" xr:uid="{4D19FAD2-91E8-444C-8C4A-F60457C16D96}"/>
    <cellStyle name="Normal 5 2 2 5 8" xfId="9028" xr:uid="{92BB239B-D239-4819-8CD6-DB375FE22E05}"/>
    <cellStyle name="Normal 5 2 2 5 9" xfId="13239" xr:uid="{C73F8F78-9BBD-4DAA-B0D1-006C2B01F8B6}"/>
    <cellStyle name="Normal 5 2 2 6" xfId="882" xr:uid="{00000000-0005-0000-0000-000022180000}"/>
    <cellStyle name="Normal 5 2 2 6 2" xfId="3117" xr:uid="{00000000-0005-0000-0000-000023180000}"/>
    <cellStyle name="Normal 5 2 2 6 2 2" xfId="7339" xr:uid="{00000000-0005-0000-0000-000024180000}"/>
    <cellStyle name="Normal 5 2 2 6 2 2 2" xfId="20000" xr:uid="{58B45B3F-DDB0-443C-80C0-3F8943D7A6BA}"/>
    <cellStyle name="Normal 5 2 2 6 2 3" xfId="11571" xr:uid="{A53772C1-72A6-4EF4-A1CF-2E458EC6F94B}"/>
    <cellStyle name="Normal 5 2 2 6 2 4" xfId="15782" xr:uid="{989F85E4-28F7-4553-800F-864120A0C851}"/>
    <cellStyle name="Normal 5 2 2 6 3" xfId="5194" xr:uid="{00000000-0005-0000-0000-000025180000}"/>
    <cellStyle name="Normal 5 2 2 6 3 2" xfId="17855" xr:uid="{72210582-3DDB-4E28-A9A7-2F251A1058FA}"/>
    <cellStyle name="Normal 5 2 2 6 4" xfId="9426" xr:uid="{75DC5BE6-04B5-4011-B1A0-F54F52196084}"/>
    <cellStyle name="Normal 5 2 2 6 5" xfId="13637" xr:uid="{E796BB1D-4C55-4186-94BA-44AD46B53FD4}"/>
    <cellStyle name="Normal 5 2 2 7" xfId="1300" xr:uid="{00000000-0005-0000-0000-000026180000}"/>
    <cellStyle name="Normal 5 2 2 7 2" xfId="3530" xr:uid="{00000000-0005-0000-0000-000027180000}"/>
    <cellStyle name="Normal 5 2 2 7 2 2" xfId="7752" xr:uid="{00000000-0005-0000-0000-000028180000}"/>
    <cellStyle name="Normal 5 2 2 7 2 2 2" xfId="20413" xr:uid="{F31225C4-B9B4-4EA6-AC31-28364F02974D}"/>
    <cellStyle name="Normal 5 2 2 7 2 3" xfId="11984" xr:uid="{8D01E78A-91A8-410F-B0D9-01EBD45B54B3}"/>
    <cellStyle name="Normal 5 2 2 7 2 4" xfId="16195" xr:uid="{AF98DF4B-CB8A-421E-B8CF-5EAFBFEA8CA3}"/>
    <cellStyle name="Normal 5 2 2 7 3" xfId="5607" xr:uid="{00000000-0005-0000-0000-000029180000}"/>
    <cellStyle name="Normal 5 2 2 7 3 2" xfId="18268" xr:uid="{0C515A17-B0D6-4E4A-BB53-995D363DD5F3}"/>
    <cellStyle name="Normal 5 2 2 7 4" xfId="9839" xr:uid="{1EA0DE38-8BF2-4C5F-9DAC-D0307938C1AE}"/>
    <cellStyle name="Normal 5 2 2 7 5" xfId="14050" xr:uid="{77C2F55E-E72D-4689-B02C-A746E9FDAEF4}"/>
    <cellStyle name="Normal 5 2 2 8" xfId="1713" xr:uid="{00000000-0005-0000-0000-00002A180000}"/>
    <cellStyle name="Normal 5 2 2 8 2" xfId="3943" xr:uid="{00000000-0005-0000-0000-00002B180000}"/>
    <cellStyle name="Normal 5 2 2 8 2 2" xfId="8165" xr:uid="{00000000-0005-0000-0000-00002C180000}"/>
    <cellStyle name="Normal 5 2 2 8 2 2 2" xfId="20826" xr:uid="{35597711-E82C-4AC1-BBDD-93C194F265D0}"/>
    <cellStyle name="Normal 5 2 2 8 2 3" xfId="12397" xr:uid="{1EA52751-70CE-4E83-97EA-4B924F4AFB5E}"/>
    <cellStyle name="Normal 5 2 2 8 2 4" xfId="16608" xr:uid="{5A3D4198-085F-4BA9-82FA-C687AC3AB948}"/>
    <cellStyle name="Normal 5 2 2 8 3" xfId="6020" xr:uid="{00000000-0005-0000-0000-00002D180000}"/>
    <cellStyle name="Normal 5 2 2 8 3 2" xfId="18681" xr:uid="{D1CE537A-EBCF-402F-8A1C-C64176357756}"/>
    <cellStyle name="Normal 5 2 2 8 4" xfId="10252" xr:uid="{71C4F98F-3D50-471F-AA67-FDB6A16435BE}"/>
    <cellStyle name="Normal 5 2 2 8 5" xfId="14463" xr:uid="{ABEB1957-6E23-4D39-9C3E-8F7F2D7631BF}"/>
    <cellStyle name="Normal 5 2 2 9" xfId="2127" xr:uid="{00000000-0005-0000-0000-00002E180000}"/>
    <cellStyle name="Normal 5 2 2 9 2" xfId="4356" xr:uid="{00000000-0005-0000-0000-00002F180000}"/>
    <cellStyle name="Normal 5 2 2 9 2 2" xfId="8578" xr:uid="{00000000-0005-0000-0000-000030180000}"/>
    <cellStyle name="Normal 5 2 2 9 2 2 2" xfId="21239" xr:uid="{D9CA3E30-4CA8-4338-A022-4BB4ACDFA5CB}"/>
    <cellStyle name="Normal 5 2 2 9 2 3" xfId="12810" xr:uid="{D4773A97-7FF7-49B2-AFA4-9F54C9932A0E}"/>
    <cellStyle name="Normal 5 2 2 9 2 4" xfId="17021" xr:uid="{C3442A86-0FFF-4190-BD37-B9942BFA28D8}"/>
    <cellStyle name="Normal 5 2 2 9 3" xfId="6433" xr:uid="{00000000-0005-0000-0000-000031180000}"/>
    <cellStyle name="Normal 5 2 2 9 3 2" xfId="19094" xr:uid="{03DE0B98-AFDB-4083-8415-2A10F8696082}"/>
    <cellStyle name="Normal 5 2 2 9 4" xfId="10665" xr:uid="{FB237F5F-BEC5-425E-A634-696DAF89A71A}"/>
    <cellStyle name="Normal 5 2 2 9 5" xfId="14876" xr:uid="{6FB4CA57-1FA8-4709-B656-DD03E85B6D5A}"/>
    <cellStyle name="Normal 5 2 3" xfId="424" xr:uid="{00000000-0005-0000-0000-000032180000}"/>
    <cellStyle name="Normal 5 2 3 10" xfId="4797" xr:uid="{00000000-0005-0000-0000-000033180000}"/>
    <cellStyle name="Normal 5 2 3 10 2" xfId="17458" xr:uid="{A58D79BF-FEF8-4107-9142-885A33444C66}"/>
    <cellStyle name="Normal 5 2 3 11" xfId="9029" xr:uid="{B47C9706-9093-49C1-BFC6-F3EF9E3FBA9A}"/>
    <cellStyle name="Normal 5 2 3 12" xfId="13240" xr:uid="{167AFAC3-3D54-4A87-A843-6BA1C54C48D5}"/>
    <cellStyle name="Normal 5 2 3 2" xfId="425" xr:uid="{00000000-0005-0000-0000-000034180000}"/>
    <cellStyle name="Normal 5 2 3 2 10" xfId="9030" xr:uid="{5E3E1C7F-179F-4916-9868-23ED5A552D04}"/>
    <cellStyle name="Normal 5 2 3 2 11" xfId="13241" xr:uid="{F2F3C1F5-2D23-4B44-AEE5-BD676A5E3A21}"/>
    <cellStyle name="Normal 5 2 3 2 2" xfId="426" xr:uid="{00000000-0005-0000-0000-000035180000}"/>
    <cellStyle name="Normal 5 2 3 2 2 10" xfId="13242" xr:uid="{A6A23D90-42D1-40C4-A54F-33EA25488CA2}"/>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20019" xr:uid="{F82836A5-A04D-4BD6-9106-B9F60A19C726}"/>
    <cellStyle name="Normal 5 2 3 2 2 2 2 2 3" xfId="11590" xr:uid="{ED00EB9F-DA1C-4959-BAD6-6072C9E5DD4D}"/>
    <cellStyle name="Normal 5 2 3 2 2 2 2 2 4" xfId="15801" xr:uid="{39D05530-14D6-4124-91A0-CF4C383ED0A5}"/>
    <cellStyle name="Normal 5 2 3 2 2 2 2 3" xfId="5213" xr:uid="{00000000-0005-0000-0000-00003A180000}"/>
    <cellStyle name="Normal 5 2 3 2 2 2 2 3 2" xfId="17874" xr:uid="{D9429F41-DB14-4034-BE7F-CC2EB9AC6E02}"/>
    <cellStyle name="Normal 5 2 3 2 2 2 2 4" xfId="9445" xr:uid="{6B3FFB6F-47D4-426B-B785-FAA16C88130F}"/>
    <cellStyle name="Normal 5 2 3 2 2 2 2 5" xfId="13656" xr:uid="{B46DECF4-1E2D-424C-9942-40E184FA101A}"/>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20432" xr:uid="{91561820-417C-425A-9471-59B8789E946A}"/>
    <cellStyle name="Normal 5 2 3 2 2 2 3 2 3" xfId="12003" xr:uid="{2F69EBFA-B21D-4F0F-B906-C3BB3FB49CA3}"/>
    <cellStyle name="Normal 5 2 3 2 2 2 3 2 4" xfId="16214" xr:uid="{AFD05D39-1021-4913-892B-85ACFB04FCEE}"/>
    <cellStyle name="Normal 5 2 3 2 2 2 3 3" xfId="5626" xr:uid="{00000000-0005-0000-0000-00003E180000}"/>
    <cellStyle name="Normal 5 2 3 2 2 2 3 3 2" xfId="18287" xr:uid="{27E07FAA-A250-4C26-9959-045D9845837D}"/>
    <cellStyle name="Normal 5 2 3 2 2 2 3 4" xfId="9858" xr:uid="{D6E75E01-27D1-4F7F-9767-D7B88B6DA436}"/>
    <cellStyle name="Normal 5 2 3 2 2 2 3 5" xfId="14069" xr:uid="{498A3268-9095-4C07-89E0-680A6B2D9225}"/>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20845" xr:uid="{F96F4B85-76F2-4933-88FB-58DD9A3B15FA}"/>
    <cellStyle name="Normal 5 2 3 2 2 2 4 2 3" xfId="12416" xr:uid="{8D944606-724D-4A32-80F0-6E3012BAB8CE}"/>
    <cellStyle name="Normal 5 2 3 2 2 2 4 2 4" xfId="16627" xr:uid="{338FB068-A20C-462D-A0A7-D550692D06C6}"/>
    <cellStyle name="Normal 5 2 3 2 2 2 4 3" xfId="6039" xr:uid="{00000000-0005-0000-0000-000042180000}"/>
    <cellStyle name="Normal 5 2 3 2 2 2 4 3 2" xfId="18700" xr:uid="{3EEAA352-E431-4CC0-AC8A-3CD7C16FD1DC}"/>
    <cellStyle name="Normal 5 2 3 2 2 2 4 4" xfId="10271" xr:uid="{EFAA1A22-B80E-4C5A-914E-60BEDF4D04DD}"/>
    <cellStyle name="Normal 5 2 3 2 2 2 4 5" xfId="14482" xr:uid="{A53032C9-BA9D-4F10-86F6-DD0992FF79A2}"/>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21258" xr:uid="{6A683688-E51B-461F-92ED-5B6DD02CE6C4}"/>
    <cellStyle name="Normal 5 2 3 2 2 2 5 2 3" xfId="12829" xr:uid="{79367274-9671-4FE2-87E6-A9395A396A22}"/>
    <cellStyle name="Normal 5 2 3 2 2 2 5 2 4" xfId="17040" xr:uid="{2A7283F5-6A3A-4C6E-80C1-3C0B322115B4}"/>
    <cellStyle name="Normal 5 2 3 2 2 2 5 3" xfId="6452" xr:uid="{00000000-0005-0000-0000-000046180000}"/>
    <cellStyle name="Normal 5 2 3 2 2 2 5 3 2" xfId="19113" xr:uid="{54850FA6-C5EC-49D1-861B-AF1181ECA7F4}"/>
    <cellStyle name="Normal 5 2 3 2 2 2 5 4" xfId="10684" xr:uid="{FA027CC0-67B6-4E21-BB31-FD5DDA3B9FEF}"/>
    <cellStyle name="Normal 5 2 3 2 2 2 5 5" xfId="14895" xr:uid="{D0983C03-0620-4E90-862E-E752C4BF9BDF}"/>
    <cellStyle name="Normal 5 2 3 2 2 2 6" xfId="2582" xr:uid="{00000000-0005-0000-0000-000047180000}"/>
    <cellStyle name="Normal 5 2 3 2 2 2 6 2" xfId="6865" xr:uid="{00000000-0005-0000-0000-000048180000}"/>
    <cellStyle name="Normal 5 2 3 2 2 2 6 2 2" xfId="19526" xr:uid="{898AB1E1-2794-417C-BAE3-2426A3BC69D8}"/>
    <cellStyle name="Normal 5 2 3 2 2 2 6 3" xfId="11097" xr:uid="{9FBEB0A7-8527-4560-9EFD-EACA04511FEE}"/>
    <cellStyle name="Normal 5 2 3 2 2 2 6 4" xfId="15308" xr:uid="{8C2FBB88-3CDE-4FF7-A84B-68324BE53320}"/>
    <cellStyle name="Normal 5 2 3 2 2 2 7" xfId="4800" xr:uid="{00000000-0005-0000-0000-000049180000}"/>
    <cellStyle name="Normal 5 2 3 2 2 2 7 2" xfId="17461" xr:uid="{32F5B006-75F9-48C5-95EA-9D730B5848CD}"/>
    <cellStyle name="Normal 5 2 3 2 2 2 8" xfId="9032" xr:uid="{D1ABD5CC-215D-47AB-8F2A-2F0EA354204D}"/>
    <cellStyle name="Normal 5 2 3 2 2 2 9" xfId="13243" xr:uid="{A7CA6F61-484B-4FBA-9C08-F534F62DFED7}"/>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20018" xr:uid="{BCB8BC5D-FC25-4D69-BB5C-143F85439DDA}"/>
    <cellStyle name="Normal 5 2 3 2 2 3 2 3" xfId="11589" xr:uid="{2ECD8F0B-7D97-44B9-BC35-F8AC882123B9}"/>
    <cellStyle name="Normal 5 2 3 2 2 3 2 4" xfId="15800" xr:uid="{74EE835F-1A59-4E4B-8846-D241497B4730}"/>
    <cellStyle name="Normal 5 2 3 2 2 3 3" xfId="5212" xr:uid="{00000000-0005-0000-0000-00004D180000}"/>
    <cellStyle name="Normal 5 2 3 2 2 3 3 2" xfId="17873" xr:uid="{A6B8436F-D96A-45E1-A8E9-A40EE8800B96}"/>
    <cellStyle name="Normal 5 2 3 2 2 3 4" xfId="9444" xr:uid="{B52931B9-7D12-4E4E-A26F-47D9EDF54EB3}"/>
    <cellStyle name="Normal 5 2 3 2 2 3 5" xfId="13655" xr:uid="{B76482D2-4DAA-48E3-BFD0-B3FCDAA8FB89}"/>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20431" xr:uid="{FCAB27C2-A40E-4E1F-BC9B-4D80C871C81B}"/>
    <cellStyle name="Normal 5 2 3 2 2 4 2 3" xfId="12002" xr:uid="{D6FD6173-C0F5-4C82-BDF5-1E00DFAA6083}"/>
    <cellStyle name="Normal 5 2 3 2 2 4 2 4" xfId="16213" xr:uid="{4893E0D5-6B49-4CC7-8257-8E929D29E0F5}"/>
    <cellStyle name="Normal 5 2 3 2 2 4 3" xfId="5625" xr:uid="{00000000-0005-0000-0000-000051180000}"/>
    <cellStyle name="Normal 5 2 3 2 2 4 3 2" xfId="18286" xr:uid="{DC31855C-D4A0-4C2E-946A-A4D0B87ACD0E}"/>
    <cellStyle name="Normal 5 2 3 2 2 4 4" xfId="9857" xr:uid="{517252B2-E869-436B-97BA-748E5CF4F9EA}"/>
    <cellStyle name="Normal 5 2 3 2 2 4 5" xfId="14068" xr:uid="{E059D0AA-070E-45D5-8691-6D1CA3E383A4}"/>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20844" xr:uid="{0D3093FB-6A2A-4747-AD3B-C5BFA22DBB78}"/>
    <cellStyle name="Normal 5 2 3 2 2 5 2 3" xfId="12415" xr:uid="{73408B7C-A4ED-4972-B01C-F6B38FB8D3B2}"/>
    <cellStyle name="Normal 5 2 3 2 2 5 2 4" xfId="16626" xr:uid="{68858BFC-9949-4425-9A2A-19FA25721FB4}"/>
    <cellStyle name="Normal 5 2 3 2 2 5 3" xfId="6038" xr:uid="{00000000-0005-0000-0000-000055180000}"/>
    <cellStyle name="Normal 5 2 3 2 2 5 3 2" xfId="18699" xr:uid="{2FD540E4-B1D1-422C-AADE-39DD4BF75CFD}"/>
    <cellStyle name="Normal 5 2 3 2 2 5 4" xfId="10270" xr:uid="{D3E37227-CA40-4047-B070-96A070B29ACB}"/>
    <cellStyle name="Normal 5 2 3 2 2 5 5" xfId="14481" xr:uid="{C5847CE3-57E4-4D71-A554-EBBCD4D28299}"/>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21257" xr:uid="{92969F32-618A-48CA-9CA9-AF0BEECB5095}"/>
    <cellStyle name="Normal 5 2 3 2 2 6 2 3" xfId="12828" xr:uid="{82ADE2C9-1E38-42F9-BEDB-265DFBFA0801}"/>
    <cellStyle name="Normal 5 2 3 2 2 6 2 4" xfId="17039" xr:uid="{6F2C13F3-12AC-409D-97F2-82AE81221472}"/>
    <cellStyle name="Normal 5 2 3 2 2 6 3" xfId="6451" xr:uid="{00000000-0005-0000-0000-000059180000}"/>
    <cellStyle name="Normal 5 2 3 2 2 6 3 2" xfId="19112" xr:uid="{7AFB79EE-8DC4-4B1D-8793-5DF9CE6D10AC}"/>
    <cellStyle name="Normal 5 2 3 2 2 6 4" xfId="10683" xr:uid="{149A8EF5-9E97-4794-88E3-477CF4197506}"/>
    <cellStyle name="Normal 5 2 3 2 2 6 5" xfId="14894" xr:uid="{8E354BD8-E5AF-44C1-B81F-F7A7C6B2E341}"/>
    <cellStyle name="Normal 5 2 3 2 2 7" xfId="2581" xr:uid="{00000000-0005-0000-0000-00005A180000}"/>
    <cellStyle name="Normal 5 2 3 2 2 7 2" xfId="6864" xr:uid="{00000000-0005-0000-0000-00005B180000}"/>
    <cellStyle name="Normal 5 2 3 2 2 7 2 2" xfId="19525" xr:uid="{0663BDB2-3CD4-4F02-89B2-443D63296906}"/>
    <cellStyle name="Normal 5 2 3 2 2 7 3" xfId="11096" xr:uid="{7EC08936-0C3A-4BCC-B090-3689D307176E}"/>
    <cellStyle name="Normal 5 2 3 2 2 7 4" xfId="15307" xr:uid="{9BDAB6FE-F769-4D39-9C0E-870CEADC2A2B}"/>
    <cellStyle name="Normal 5 2 3 2 2 8" xfId="4799" xr:uid="{00000000-0005-0000-0000-00005C180000}"/>
    <cellStyle name="Normal 5 2 3 2 2 8 2" xfId="17460" xr:uid="{1EE2A04E-469E-4A2B-B97C-C50351C7D8F4}"/>
    <cellStyle name="Normal 5 2 3 2 2 9" xfId="9031" xr:uid="{93CC5C54-F5FB-4825-B27E-70DB5869768C}"/>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20020" xr:uid="{0DBED16D-5ABD-43F5-AA01-EB4DA60B1184}"/>
    <cellStyle name="Normal 5 2 3 2 3 2 2 3" xfId="11591" xr:uid="{90459FE3-509C-4FA4-85CC-6BCCAFE9EE70}"/>
    <cellStyle name="Normal 5 2 3 2 3 2 2 4" xfId="15802" xr:uid="{383771E4-8EFD-4ECE-AEF5-DDE6756DBE01}"/>
    <cellStyle name="Normal 5 2 3 2 3 2 3" xfId="5214" xr:uid="{00000000-0005-0000-0000-000061180000}"/>
    <cellStyle name="Normal 5 2 3 2 3 2 3 2" xfId="17875" xr:uid="{2B175E8D-9891-4780-8CBC-AF335E7C61EF}"/>
    <cellStyle name="Normal 5 2 3 2 3 2 4" xfId="9446" xr:uid="{EE185E80-75EE-491C-9D49-E255335030AD}"/>
    <cellStyle name="Normal 5 2 3 2 3 2 5" xfId="13657" xr:uid="{2A5C1F04-96E4-4598-9DA9-6843EF1B163E}"/>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20433" xr:uid="{C5F6886C-39D7-400F-81F5-9DFEF86B9D79}"/>
    <cellStyle name="Normal 5 2 3 2 3 3 2 3" xfId="12004" xr:uid="{3FBC5C6E-3A2C-4AA7-BB8D-35028EB6AEFC}"/>
    <cellStyle name="Normal 5 2 3 2 3 3 2 4" xfId="16215" xr:uid="{DEB219E4-097B-497A-847F-613351E5EC84}"/>
    <cellStyle name="Normal 5 2 3 2 3 3 3" xfId="5627" xr:uid="{00000000-0005-0000-0000-000065180000}"/>
    <cellStyle name="Normal 5 2 3 2 3 3 3 2" xfId="18288" xr:uid="{24C86857-F4D4-4E7D-B7C5-E2BCE704B48B}"/>
    <cellStyle name="Normal 5 2 3 2 3 3 4" xfId="9859" xr:uid="{4951F8B3-6AAE-4C3A-A924-DBEB041583F0}"/>
    <cellStyle name="Normal 5 2 3 2 3 3 5" xfId="14070" xr:uid="{24622E5E-825A-4986-9827-21E01FBD9D97}"/>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20846" xr:uid="{A7BC0EEE-A176-47A3-805B-03E0C234FBF2}"/>
    <cellStyle name="Normal 5 2 3 2 3 4 2 3" xfId="12417" xr:uid="{AD1EE787-7D44-411F-9244-EE0B3C30CF92}"/>
    <cellStyle name="Normal 5 2 3 2 3 4 2 4" xfId="16628" xr:uid="{14FB4CFC-7B26-477E-B0AF-983F4EB029FC}"/>
    <cellStyle name="Normal 5 2 3 2 3 4 3" xfId="6040" xr:uid="{00000000-0005-0000-0000-000069180000}"/>
    <cellStyle name="Normal 5 2 3 2 3 4 3 2" xfId="18701" xr:uid="{11853ED3-2D8F-4AFB-8085-562D4D700D78}"/>
    <cellStyle name="Normal 5 2 3 2 3 4 4" xfId="10272" xr:uid="{C0743596-9D1C-46B1-A1C9-BFC1B677B098}"/>
    <cellStyle name="Normal 5 2 3 2 3 4 5" xfId="14483" xr:uid="{5BF6B18E-0A14-412F-BC7A-2357B07F2105}"/>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21259" xr:uid="{EF16E2F8-741B-42E2-AE84-225303C59E9F}"/>
    <cellStyle name="Normal 5 2 3 2 3 5 2 3" xfId="12830" xr:uid="{6FA92BD4-FF81-4BE9-B3EF-B51894A2A3FA}"/>
    <cellStyle name="Normal 5 2 3 2 3 5 2 4" xfId="17041" xr:uid="{D6020945-2DE1-4072-8076-7352F1E60CB0}"/>
    <cellStyle name="Normal 5 2 3 2 3 5 3" xfId="6453" xr:uid="{00000000-0005-0000-0000-00006D180000}"/>
    <cellStyle name="Normal 5 2 3 2 3 5 3 2" xfId="19114" xr:uid="{BFAE2207-399E-47EF-8531-E266D7B462E4}"/>
    <cellStyle name="Normal 5 2 3 2 3 5 4" xfId="10685" xr:uid="{E1728E46-ED1A-4BE6-AF49-FE09AE062E88}"/>
    <cellStyle name="Normal 5 2 3 2 3 5 5" xfId="14896" xr:uid="{1D985130-CF4C-4F33-AA57-4AEF1725C9CD}"/>
    <cellStyle name="Normal 5 2 3 2 3 6" xfId="2583" xr:uid="{00000000-0005-0000-0000-00006E180000}"/>
    <cellStyle name="Normal 5 2 3 2 3 6 2" xfId="6866" xr:uid="{00000000-0005-0000-0000-00006F180000}"/>
    <cellStyle name="Normal 5 2 3 2 3 6 2 2" xfId="19527" xr:uid="{F68A978A-E319-4DF6-9008-A4CD4537B321}"/>
    <cellStyle name="Normal 5 2 3 2 3 6 3" xfId="11098" xr:uid="{B933855A-A913-45ED-BD5C-A348D62B2599}"/>
    <cellStyle name="Normal 5 2 3 2 3 6 4" xfId="15309" xr:uid="{2D7645BA-AD86-48F8-9F7C-DE605BEF04A8}"/>
    <cellStyle name="Normal 5 2 3 2 3 7" xfId="4801" xr:uid="{00000000-0005-0000-0000-000070180000}"/>
    <cellStyle name="Normal 5 2 3 2 3 7 2" xfId="17462" xr:uid="{511B9FB3-82AA-4F59-9EB9-3A97C882EE04}"/>
    <cellStyle name="Normal 5 2 3 2 3 8" xfId="9033" xr:uid="{0F9C620F-1131-4029-811A-54744211C764}"/>
    <cellStyle name="Normal 5 2 3 2 3 9" xfId="13244" xr:uid="{C6BA0AA2-BA5B-4058-87C9-16743BA6AD43}"/>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20017" xr:uid="{1A8443A3-BAA4-4556-AAE5-BA5775BC0C68}"/>
    <cellStyle name="Normal 5 2 3 2 4 2 3" xfId="11588" xr:uid="{6E28D246-4517-4A76-9AC4-65E35FA2AE11}"/>
    <cellStyle name="Normal 5 2 3 2 4 2 4" xfId="15799" xr:uid="{E10B8C4F-B78F-4E3D-A92B-89D86B91C73E}"/>
    <cellStyle name="Normal 5 2 3 2 4 3" xfId="5211" xr:uid="{00000000-0005-0000-0000-000074180000}"/>
    <cellStyle name="Normal 5 2 3 2 4 3 2" xfId="17872" xr:uid="{A68AC2E4-4F48-4E86-84F5-7A51F81B38E4}"/>
    <cellStyle name="Normal 5 2 3 2 4 4" xfId="9443" xr:uid="{610D92BC-FDEB-4611-A5F3-AB7D6430D2B1}"/>
    <cellStyle name="Normal 5 2 3 2 4 5" xfId="13654" xr:uid="{C16C14E5-1138-48E9-B569-D9C72473C08D}"/>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20430" xr:uid="{B07DCCF1-3FED-45CB-A41A-B07E30097B3B}"/>
    <cellStyle name="Normal 5 2 3 2 5 2 3" xfId="12001" xr:uid="{B9826845-2DD9-49ED-8B3B-0873920D15C8}"/>
    <cellStyle name="Normal 5 2 3 2 5 2 4" xfId="16212" xr:uid="{365965BB-EC3F-4D4C-9FAF-49A2E455E9BB}"/>
    <cellStyle name="Normal 5 2 3 2 5 3" xfId="5624" xr:uid="{00000000-0005-0000-0000-000078180000}"/>
    <cellStyle name="Normal 5 2 3 2 5 3 2" xfId="18285" xr:uid="{B3A32360-59EB-469C-A84C-35FBB5F9903B}"/>
    <cellStyle name="Normal 5 2 3 2 5 4" xfId="9856" xr:uid="{041079F0-B2D7-4CC3-BD58-CBE6BC48DB55}"/>
    <cellStyle name="Normal 5 2 3 2 5 5" xfId="14067" xr:uid="{6842F7F9-D9C2-4899-BAAE-F23CB545B1E2}"/>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20843" xr:uid="{2ACDCCF8-36BD-44E5-AB1E-416DF285719D}"/>
    <cellStyle name="Normal 5 2 3 2 6 2 3" xfId="12414" xr:uid="{E53FB7F9-2184-4062-85B4-4CC7C08635FC}"/>
    <cellStyle name="Normal 5 2 3 2 6 2 4" xfId="16625" xr:uid="{EC067E9D-BACA-46BB-8FDF-E0261D0AC24B}"/>
    <cellStyle name="Normal 5 2 3 2 6 3" xfId="6037" xr:uid="{00000000-0005-0000-0000-00007C180000}"/>
    <cellStyle name="Normal 5 2 3 2 6 3 2" xfId="18698" xr:uid="{37BB3C92-CD3F-40F7-ACA6-277697CA8339}"/>
    <cellStyle name="Normal 5 2 3 2 6 4" xfId="10269" xr:uid="{47603D0B-3B01-4991-A653-DE2120A96B36}"/>
    <cellStyle name="Normal 5 2 3 2 6 5" xfId="14480" xr:uid="{04D03659-79C9-426D-9B5D-73B2C11F15BD}"/>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21256" xr:uid="{F5D7608C-CC97-4AEB-8E97-2A9BA9599674}"/>
    <cellStyle name="Normal 5 2 3 2 7 2 3" xfId="12827" xr:uid="{C5035E68-DBED-469B-9D81-7631EFCD29D3}"/>
    <cellStyle name="Normal 5 2 3 2 7 2 4" xfId="17038" xr:uid="{D849943E-0002-474A-A595-50699A1CF577}"/>
    <cellStyle name="Normal 5 2 3 2 7 3" xfId="6450" xr:uid="{00000000-0005-0000-0000-000080180000}"/>
    <cellStyle name="Normal 5 2 3 2 7 3 2" xfId="19111" xr:uid="{2419BF3D-AB92-4B61-85FE-5D003BC864A4}"/>
    <cellStyle name="Normal 5 2 3 2 7 4" xfId="10682" xr:uid="{2C7B9375-301A-4FFA-9765-A967120A4C82}"/>
    <cellStyle name="Normal 5 2 3 2 7 5" xfId="14893" xr:uid="{03B07444-08C4-4C66-89A9-7085D58FD06D}"/>
    <cellStyle name="Normal 5 2 3 2 8" xfId="2580" xr:uid="{00000000-0005-0000-0000-000081180000}"/>
    <cellStyle name="Normal 5 2 3 2 8 2" xfId="6863" xr:uid="{00000000-0005-0000-0000-000082180000}"/>
    <cellStyle name="Normal 5 2 3 2 8 2 2" xfId="19524" xr:uid="{F0D62DC2-F270-498B-9A3F-56B9C19FB86A}"/>
    <cellStyle name="Normal 5 2 3 2 8 3" xfId="11095" xr:uid="{084322F0-FD11-4570-98EF-64470DE585CD}"/>
    <cellStyle name="Normal 5 2 3 2 8 4" xfId="15306" xr:uid="{38953166-933D-49FD-97E1-1B97BFADA57A}"/>
    <cellStyle name="Normal 5 2 3 2 9" xfId="4798" xr:uid="{00000000-0005-0000-0000-000083180000}"/>
    <cellStyle name="Normal 5 2 3 2 9 2" xfId="17459" xr:uid="{F2FE2850-4E85-401E-AE93-EC08F5A5820B}"/>
    <cellStyle name="Normal 5 2 3 3" xfId="429" xr:uid="{00000000-0005-0000-0000-000084180000}"/>
    <cellStyle name="Normal 5 2 3 3 10" xfId="13245" xr:uid="{DFFFE87D-6052-491C-8E94-4C6B3B919BD3}"/>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20022" xr:uid="{34F7E408-D9E3-4FCE-9C10-D00080BED7A4}"/>
    <cellStyle name="Normal 5 2 3 3 2 2 2 3" xfId="11593" xr:uid="{AC32CB1C-8E84-4954-A867-9D76F01B103B}"/>
    <cellStyle name="Normal 5 2 3 3 2 2 2 4" xfId="15804" xr:uid="{14B231CD-91E5-40B3-B99C-5A66837AC9F0}"/>
    <cellStyle name="Normal 5 2 3 3 2 2 3" xfId="5216" xr:uid="{00000000-0005-0000-0000-000089180000}"/>
    <cellStyle name="Normal 5 2 3 3 2 2 3 2" xfId="17877" xr:uid="{5EEFD942-ADE0-455C-A7C6-7AABA255929C}"/>
    <cellStyle name="Normal 5 2 3 3 2 2 4" xfId="9448" xr:uid="{8DB02C6F-D38A-448B-9387-5716BC677B08}"/>
    <cellStyle name="Normal 5 2 3 3 2 2 5" xfId="13659" xr:uid="{F25A3AA7-C97F-4C26-9698-AD84F249A8C6}"/>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20435" xr:uid="{E69D012D-4AAD-4892-8FED-2543515D7306}"/>
    <cellStyle name="Normal 5 2 3 3 2 3 2 3" xfId="12006" xr:uid="{7774AD9C-D919-4D4C-897B-26D1493D62DF}"/>
    <cellStyle name="Normal 5 2 3 3 2 3 2 4" xfId="16217" xr:uid="{655309FA-F0D0-4726-8724-D15382A7BCE5}"/>
    <cellStyle name="Normal 5 2 3 3 2 3 3" xfId="5629" xr:uid="{00000000-0005-0000-0000-00008D180000}"/>
    <cellStyle name="Normal 5 2 3 3 2 3 3 2" xfId="18290" xr:uid="{A9CFB851-BF06-4507-ADE6-F008883FF05B}"/>
    <cellStyle name="Normal 5 2 3 3 2 3 4" xfId="9861" xr:uid="{4D4543A4-9893-485F-8046-34D2897546B3}"/>
    <cellStyle name="Normal 5 2 3 3 2 3 5" xfId="14072" xr:uid="{41300001-B694-41BF-8AAF-B02571641FB9}"/>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20848" xr:uid="{5E645F6D-CA45-4AE9-B963-C42B81D9B34B}"/>
    <cellStyle name="Normal 5 2 3 3 2 4 2 3" xfId="12419" xr:uid="{F37FDF39-682E-4835-BDCF-23415AE43EFD}"/>
    <cellStyle name="Normal 5 2 3 3 2 4 2 4" xfId="16630" xr:uid="{BBFBE003-D61E-43A8-9FDD-826CFE5894D3}"/>
    <cellStyle name="Normal 5 2 3 3 2 4 3" xfId="6042" xr:uid="{00000000-0005-0000-0000-000091180000}"/>
    <cellStyle name="Normal 5 2 3 3 2 4 3 2" xfId="18703" xr:uid="{2878FD32-74EF-4D74-81F3-6AF2826DA26C}"/>
    <cellStyle name="Normal 5 2 3 3 2 4 4" xfId="10274" xr:uid="{EE6513B3-818D-4C4E-BBA3-F741A32532A6}"/>
    <cellStyle name="Normal 5 2 3 3 2 4 5" xfId="14485" xr:uid="{8DAAA260-5170-4301-BFF8-09C0A6A99BC4}"/>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21261" xr:uid="{50760929-4690-4787-BE31-B29BBB3454A2}"/>
    <cellStyle name="Normal 5 2 3 3 2 5 2 3" xfId="12832" xr:uid="{F4AAE0C2-8863-4C0D-BAA5-A8216CCF2D3C}"/>
    <cellStyle name="Normal 5 2 3 3 2 5 2 4" xfId="17043" xr:uid="{E93A97B7-AC19-4E55-9D6A-2433FDDBB764}"/>
    <cellStyle name="Normal 5 2 3 3 2 5 3" xfId="6455" xr:uid="{00000000-0005-0000-0000-000095180000}"/>
    <cellStyle name="Normal 5 2 3 3 2 5 3 2" xfId="19116" xr:uid="{8C347589-21CF-4B2B-BF5A-5430E7A2C032}"/>
    <cellStyle name="Normal 5 2 3 3 2 5 4" xfId="10687" xr:uid="{77006C4B-F150-47E2-9F4D-40FEC891F74D}"/>
    <cellStyle name="Normal 5 2 3 3 2 5 5" xfId="14898" xr:uid="{BF247C48-F3B3-41F0-B25C-DA5D7E69C656}"/>
    <cellStyle name="Normal 5 2 3 3 2 6" xfId="2585" xr:uid="{00000000-0005-0000-0000-000096180000}"/>
    <cellStyle name="Normal 5 2 3 3 2 6 2" xfId="6868" xr:uid="{00000000-0005-0000-0000-000097180000}"/>
    <cellStyle name="Normal 5 2 3 3 2 6 2 2" xfId="19529" xr:uid="{16EB1E64-5CC8-4CD7-9379-05BEFE876582}"/>
    <cellStyle name="Normal 5 2 3 3 2 6 3" xfId="11100" xr:uid="{9D251C43-C05D-41E3-AC96-DE3E8DE2F20F}"/>
    <cellStyle name="Normal 5 2 3 3 2 6 4" xfId="15311" xr:uid="{F11DCAAE-D588-4A5E-AE07-1F82688993C3}"/>
    <cellStyle name="Normal 5 2 3 3 2 7" xfId="4803" xr:uid="{00000000-0005-0000-0000-000098180000}"/>
    <cellStyle name="Normal 5 2 3 3 2 7 2" xfId="17464" xr:uid="{23D2370B-7879-4C99-813A-2842E7390346}"/>
    <cellStyle name="Normal 5 2 3 3 2 8" xfId="9035" xr:uid="{068D903C-0022-4288-9F2A-019200F4F67C}"/>
    <cellStyle name="Normal 5 2 3 3 2 9" xfId="13246" xr:uid="{744841AF-6229-4D5A-B717-7123DA606271}"/>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20021" xr:uid="{8A22E390-ED37-4F01-B5C5-875DE8D3C561}"/>
    <cellStyle name="Normal 5 2 3 3 3 2 3" xfId="11592" xr:uid="{77C4F028-D095-48C9-8468-7BE6172E45EF}"/>
    <cellStyle name="Normal 5 2 3 3 3 2 4" xfId="15803" xr:uid="{02934ED9-9070-4940-9836-606D10121C8E}"/>
    <cellStyle name="Normal 5 2 3 3 3 3" xfId="5215" xr:uid="{00000000-0005-0000-0000-00009C180000}"/>
    <cellStyle name="Normal 5 2 3 3 3 3 2" xfId="17876" xr:uid="{80072CC9-E57F-40B0-B419-1BAA3B0639D5}"/>
    <cellStyle name="Normal 5 2 3 3 3 4" xfId="9447" xr:uid="{ED1D8D79-9059-44A3-9DA1-4470AD07A79E}"/>
    <cellStyle name="Normal 5 2 3 3 3 5" xfId="13658" xr:uid="{FDA4658E-0407-4A85-96A6-4D0619F85C67}"/>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20434" xr:uid="{83FE6C5D-FF8D-466E-A624-BE38433CACED}"/>
    <cellStyle name="Normal 5 2 3 3 4 2 3" xfId="12005" xr:uid="{29283005-FE27-4F8C-B918-005C8DD33E55}"/>
    <cellStyle name="Normal 5 2 3 3 4 2 4" xfId="16216" xr:uid="{BF4CFF78-9B55-4757-9492-7C815BE759A7}"/>
    <cellStyle name="Normal 5 2 3 3 4 3" xfId="5628" xr:uid="{00000000-0005-0000-0000-0000A0180000}"/>
    <cellStyle name="Normal 5 2 3 3 4 3 2" xfId="18289" xr:uid="{A80D01BD-EDD6-456A-8553-0C7496AB9D7E}"/>
    <cellStyle name="Normal 5 2 3 3 4 4" xfId="9860" xr:uid="{D00774F9-BD38-4843-A4B5-CC4E39AF8D2A}"/>
    <cellStyle name="Normal 5 2 3 3 4 5" xfId="14071" xr:uid="{3F4611F6-6603-4000-8D7E-102AE4B5ECAA}"/>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20847" xr:uid="{FDAD4249-233C-47F5-8AC8-3BDFF7594B04}"/>
    <cellStyle name="Normal 5 2 3 3 5 2 3" xfId="12418" xr:uid="{D9C67035-E9A5-4DDB-8366-40C5F17070E8}"/>
    <cellStyle name="Normal 5 2 3 3 5 2 4" xfId="16629" xr:uid="{F34F4931-C1EE-434D-85C0-F2B103E521B1}"/>
    <cellStyle name="Normal 5 2 3 3 5 3" xfId="6041" xr:uid="{00000000-0005-0000-0000-0000A4180000}"/>
    <cellStyle name="Normal 5 2 3 3 5 3 2" xfId="18702" xr:uid="{21734C8E-B06D-4B46-8280-29D4B8524605}"/>
    <cellStyle name="Normal 5 2 3 3 5 4" xfId="10273" xr:uid="{1AE0DA31-5F1C-4619-AB60-20D3231C5F2A}"/>
    <cellStyle name="Normal 5 2 3 3 5 5" xfId="14484" xr:uid="{B60B35C2-696E-4FBF-B0BD-DA191F10A83B}"/>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21260" xr:uid="{D695C543-4B10-47FE-991B-A31187FACF6C}"/>
    <cellStyle name="Normal 5 2 3 3 6 2 3" xfId="12831" xr:uid="{593722B8-B9CA-4EF1-9433-69AAE3D45462}"/>
    <cellStyle name="Normal 5 2 3 3 6 2 4" xfId="17042" xr:uid="{BDFE30DE-996E-4DB4-BEB4-FEC0B515970B}"/>
    <cellStyle name="Normal 5 2 3 3 6 3" xfId="6454" xr:uid="{00000000-0005-0000-0000-0000A8180000}"/>
    <cellStyle name="Normal 5 2 3 3 6 3 2" xfId="19115" xr:uid="{A8F32EF0-3FB0-4AE2-8774-050865E72C6A}"/>
    <cellStyle name="Normal 5 2 3 3 6 4" xfId="10686" xr:uid="{5153D259-5C2F-4DAB-A3A1-E3D93F576C2B}"/>
    <cellStyle name="Normal 5 2 3 3 6 5" xfId="14897" xr:uid="{B091A966-E9AD-4B14-B5E6-A647CD288E37}"/>
    <cellStyle name="Normal 5 2 3 3 7" xfId="2584" xr:uid="{00000000-0005-0000-0000-0000A9180000}"/>
    <cellStyle name="Normal 5 2 3 3 7 2" xfId="6867" xr:uid="{00000000-0005-0000-0000-0000AA180000}"/>
    <cellStyle name="Normal 5 2 3 3 7 2 2" xfId="19528" xr:uid="{2286A69C-4F4C-4B69-ADF7-BC55A7630320}"/>
    <cellStyle name="Normal 5 2 3 3 7 3" xfId="11099" xr:uid="{BC2EC7F8-B0EE-4B00-8790-13A3EF2CEB04}"/>
    <cellStyle name="Normal 5 2 3 3 7 4" xfId="15310" xr:uid="{F8379737-2859-40FB-92FD-8D33F6842ED9}"/>
    <cellStyle name="Normal 5 2 3 3 8" xfId="4802" xr:uid="{00000000-0005-0000-0000-0000AB180000}"/>
    <cellStyle name="Normal 5 2 3 3 8 2" xfId="17463" xr:uid="{70DFF231-404D-449D-BE04-068DC5AC7E7D}"/>
    <cellStyle name="Normal 5 2 3 3 9" xfId="9034" xr:uid="{8E4096EC-37F3-48B9-8882-D3F3CFF29B8E}"/>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20023" xr:uid="{4F7A580A-4B76-4ECF-9EA4-2287737AEDEF}"/>
    <cellStyle name="Normal 5 2 3 4 2 2 3" xfId="11594" xr:uid="{E269CBDE-7A88-4A8B-A5FA-B6830B230DDF}"/>
    <cellStyle name="Normal 5 2 3 4 2 2 4" xfId="15805" xr:uid="{100F1900-D43A-402C-858E-9DF9CD499CB2}"/>
    <cellStyle name="Normal 5 2 3 4 2 3" xfId="5217" xr:uid="{00000000-0005-0000-0000-0000B0180000}"/>
    <cellStyle name="Normal 5 2 3 4 2 3 2" xfId="17878" xr:uid="{855DE7A6-2B8F-4E03-BED3-3F76671D24CE}"/>
    <cellStyle name="Normal 5 2 3 4 2 4" xfId="9449" xr:uid="{35E8F0CE-A1CE-41DD-B127-C739C1F2974D}"/>
    <cellStyle name="Normal 5 2 3 4 2 5" xfId="13660" xr:uid="{1199E0C0-B182-4A40-BE4E-700E140C7689}"/>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20436" xr:uid="{594A2BCA-1DC7-45D9-A422-D2B4A3802713}"/>
    <cellStyle name="Normal 5 2 3 4 3 2 3" xfId="12007" xr:uid="{651305A7-FA3D-41EB-8FD5-DDE2BCD1A841}"/>
    <cellStyle name="Normal 5 2 3 4 3 2 4" xfId="16218" xr:uid="{42ED4EBA-337B-4E07-9676-E45379B77443}"/>
    <cellStyle name="Normal 5 2 3 4 3 3" xfId="5630" xr:uid="{00000000-0005-0000-0000-0000B4180000}"/>
    <cellStyle name="Normal 5 2 3 4 3 3 2" xfId="18291" xr:uid="{BA223066-A111-40AD-86FF-3476F7A2DA1A}"/>
    <cellStyle name="Normal 5 2 3 4 3 4" xfId="9862" xr:uid="{D9A855D1-C6BC-419B-9836-9F1DD0A0BF35}"/>
    <cellStyle name="Normal 5 2 3 4 3 5" xfId="14073" xr:uid="{8F50770C-6828-4E0A-86FD-04AD300AA6FD}"/>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20849" xr:uid="{2D402E36-10DC-4CD2-9A77-75E508C66F92}"/>
    <cellStyle name="Normal 5 2 3 4 4 2 3" xfId="12420" xr:uid="{6F9B0A04-F656-4414-B39A-30C2754E2CE8}"/>
    <cellStyle name="Normal 5 2 3 4 4 2 4" xfId="16631" xr:uid="{73C92F0B-2F31-41D1-9D71-571D676AECCE}"/>
    <cellStyle name="Normal 5 2 3 4 4 3" xfId="6043" xr:uid="{00000000-0005-0000-0000-0000B8180000}"/>
    <cellStyle name="Normal 5 2 3 4 4 3 2" xfId="18704" xr:uid="{596E3409-7BCB-4227-814A-E2CBE255CE9C}"/>
    <cellStyle name="Normal 5 2 3 4 4 4" xfId="10275" xr:uid="{99999E9C-1AA3-4A45-A16F-6D92970EE9F2}"/>
    <cellStyle name="Normal 5 2 3 4 4 5" xfId="14486" xr:uid="{F2E15202-AB31-4E36-845A-2BF3F71F85FC}"/>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21262" xr:uid="{23014D33-E162-47D1-BB5D-E17FA277DB1A}"/>
    <cellStyle name="Normal 5 2 3 4 5 2 3" xfId="12833" xr:uid="{A73616BE-4EAA-4BD3-AC48-A11C4E0B9F0A}"/>
    <cellStyle name="Normal 5 2 3 4 5 2 4" xfId="17044" xr:uid="{DC6F3BFE-8E22-4E3E-8BB2-97E6C647EA60}"/>
    <cellStyle name="Normal 5 2 3 4 5 3" xfId="6456" xr:uid="{00000000-0005-0000-0000-0000BC180000}"/>
    <cellStyle name="Normal 5 2 3 4 5 3 2" xfId="19117" xr:uid="{3720589B-328C-44D4-B35E-7ECBFD248395}"/>
    <cellStyle name="Normal 5 2 3 4 5 4" xfId="10688" xr:uid="{887C5C36-85EB-42A0-B89E-217CF25C019D}"/>
    <cellStyle name="Normal 5 2 3 4 5 5" xfId="14899" xr:uid="{E71F3C44-5D7C-493B-AD28-9923D3CF484F}"/>
    <cellStyle name="Normal 5 2 3 4 6" xfId="2586" xr:uid="{00000000-0005-0000-0000-0000BD180000}"/>
    <cellStyle name="Normal 5 2 3 4 6 2" xfId="6869" xr:uid="{00000000-0005-0000-0000-0000BE180000}"/>
    <cellStyle name="Normal 5 2 3 4 6 2 2" xfId="19530" xr:uid="{F66B5216-DF67-4839-99E8-91823513A559}"/>
    <cellStyle name="Normal 5 2 3 4 6 3" xfId="11101" xr:uid="{2504D3FA-BFCF-4130-90F8-60D45DFA2600}"/>
    <cellStyle name="Normal 5 2 3 4 6 4" xfId="15312" xr:uid="{3DCBE629-75C3-48FE-8C99-BB307449D25A}"/>
    <cellStyle name="Normal 5 2 3 4 7" xfId="4804" xr:uid="{00000000-0005-0000-0000-0000BF180000}"/>
    <cellStyle name="Normal 5 2 3 4 7 2" xfId="17465" xr:uid="{68B4784D-988B-4983-A9D4-7D1927B3AACD}"/>
    <cellStyle name="Normal 5 2 3 4 8" xfId="9036" xr:uid="{929B2189-390C-4618-B02B-5F39D57C4E6A}"/>
    <cellStyle name="Normal 5 2 3 4 9" xfId="13247" xr:uid="{3ABD0464-C9F7-4C35-8593-A5B66B1359DB}"/>
    <cellStyle name="Normal 5 2 3 5" xfId="898" xr:uid="{00000000-0005-0000-0000-0000C0180000}"/>
    <cellStyle name="Normal 5 2 3 5 2" xfId="3133" xr:uid="{00000000-0005-0000-0000-0000C1180000}"/>
    <cellStyle name="Normal 5 2 3 5 2 2" xfId="7355" xr:uid="{00000000-0005-0000-0000-0000C2180000}"/>
    <cellStyle name="Normal 5 2 3 5 2 2 2" xfId="20016" xr:uid="{8D74F296-48EA-4BA2-812B-9976D371C38D}"/>
    <cellStyle name="Normal 5 2 3 5 2 3" xfId="11587" xr:uid="{611AB8D7-4482-4A38-A99B-91DC99CDEED6}"/>
    <cellStyle name="Normal 5 2 3 5 2 4" xfId="15798" xr:uid="{58C261BE-C0E6-4590-8780-0557A6891544}"/>
    <cellStyle name="Normal 5 2 3 5 3" xfId="5210" xr:uid="{00000000-0005-0000-0000-0000C3180000}"/>
    <cellStyle name="Normal 5 2 3 5 3 2" xfId="17871" xr:uid="{FE6CFA2C-C3F4-4CC6-913D-6D8D55388FD9}"/>
    <cellStyle name="Normal 5 2 3 5 4" xfId="9442" xr:uid="{0017E7E2-E653-41ED-BA64-08822453CEB3}"/>
    <cellStyle name="Normal 5 2 3 5 5" xfId="13653" xr:uid="{EAB75A89-B3F3-4CD0-8FEA-8BA3E9FBB342}"/>
    <cellStyle name="Normal 5 2 3 6" xfId="1316" xr:uid="{00000000-0005-0000-0000-0000C4180000}"/>
    <cellStyle name="Normal 5 2 3 6 2" xfId="3546" xr:uid="{00000000-0005-0000-0000-0000C5180000}"/>
    <cellStyle name="Normal 5 2 3 6 2 2" xfId="7768" xr:uid="{00000000-0005-0000-0000-0000C6180000}"/>
    <cellStyle name="Normal 5 2 3 6 2 2 2" xfId="20429" xr:uid="{27082BBF-F1B7-4016-A737-5E0C8993B6C3}"/>
    <cellStyle name="Normal 5 2 3 6 2 3" xfId="12000" xr:uid="{EF793ABF-1A21-4FD4-9FF5-6F46CC6E2D1B}"/>
    <cellStyle name="Normal 5 2 3 6 2 4" xfId="16211" xr:uid="{75EDAA5E-78E3-423C-8336-BAAC6A7A6C89}"/>
    <cellStyle name="Normal 5 2 3 6 3" xfId="5623" xr:uid="{00000000-0005-0000-0000-0000C7180000}"/>
    <cellStyle name="Normal 5 2 3 6 3 2" xfId="18284" xr:uid="{8CF22DA4-2C57-4802-9D44-9B72A8AECBD9}"/>
    <cellStyle name="Normal 5 2 3 6 4" xfId="9855" xr:uid="{63523BC1-4F3A-4ADC-93F2-D87EE1D1950B}"/>
    <cellStyle name="Normal 5 2 3 6 5" xfId="14066" xr:uid="{C585D174-92BF-49F2-83C4-74F770875F53}"/>
    <cellStyle name="Normal 5 2 3 7" xfId="1729" xr:uid="{00000000-0005-0000-0000-0000C8180000}"/>
    <cellStyle name="Normal 5 2 3 7 2" xfId="3959" xr:uid="{00000000-0005-0000-0000-0000C9180000}"/>
    <cellStyle name="Normal 5 2 3 7 2 2" xfId="8181" xr:uid="{00000000-0005-0000-0000-0000CA180000}"/>
    <cellStyle name="Normal 5 2 3 7 2 2 2" xfId="20842" xr:uid="{779E86E4-5FD1-4421-AF58-FB400349D3DD}"/>
    <cellStyle name="Normal 5 2 3 7 2 3" xfId="12413" xr:uid="{6DAF694D-B77C-4289-A5DD-951D72C613B0}"/>
    <cellStyle name="Normal 5 2 3 7 2 4" xfId="16624" xr:uid="{47191D8E-44CF-490B-8458-5F194442E275}"/>
    <cellStyle name="Normal 5 2 3 7 3" xfId="6036" xr:uid="{00000000-0005-0000-0000-0000CB180000}"/>
    <cellStyle name="Normal 5 2 3 7 3 2" xfId="18697" xr:uid="{687C5BE6-B401-479A-8ADD-3537ED3E3804}"/>
    <cellStyle name="Normal 5 2 3 7 4" xfId="10268" xr:uid="{EE72E260-25EE-40EE-BC43-452229A14127}"/>
    <cellStyle name="Normal 5 2 3 7 5" xfId="14479" xr:uid="{1984BF05-A727-4819-912C-0F842EEDB1B8}"/>
    <cellStyle name="Normal 5 2 3 8" xfId="2143" xr:uid="{00000000-0005-0000-0000-0000CC180000}"/>
    <cellStyle name="Normal 5 2 3 8 2" xfId="4372" xr:uid="{00000000-0005-0000-0000-0000CD180000}"/>
    <cellStyle name="Normal 5 2 3 8 2 2" xfId="8594" xr:uid="{00000000-0005-0000-0000-0000CE180000}"/>
    <cellStyle name="Normal 5 2 3 8 2 2 2" xfId="21255" xr:uid="{5434AC7C-E4FB-4DFA-864A-00B70B58BD52}"/>
    <cellStyle name="Normal 5 2 3 8 2 3" xfId="12826" xr:uid="{B5071B48-C3E1-4E87-9CF0-CB36C2F3FE5F}"/>
    <cellStyle name="Normal 5 2 3 8 2 4" xfId="17037" xr:uid="{55945D2F-8F69-4735-8AFB-80DC03DE3B8A}"/>
    <cellStyle name="Normal 5 2 3 8 3" xfId="6449" xr:uid="{00000000-0005-0000-0000-0000CF180000}"/>
    <cellStyle name="Normal 5 2 3 8 3 2" xfId="19110" xr:uid="{FC701D64-7190-4BCA-B465-9218D9FD9BB5}"/>
    <cellStyle name="Normal 5 2 3 8 4" xfId="10681" xr:uid="{A35FF392-3AD9-44B9-9A50-42A2A5DB68C0}"/>
    <cellStyle name="Normal 5 2 3 8 5" xfId="14892" xr:uid="{D649A38B-292C-48B2-B7E8-CBB231681962}"/>
    <cellStyle name="Normal 5 2 3 9" xfId="2579" xr:uid="{00000000-0005-0000-0000-0000D0180000}"/>
    <cellStyle name="Normal 5 2 3 9 2" xfId="6862" xr:uid="{00000000-0005-0000-0000-0000D1180000}"/>
    <cellStyle name="Normal 5 2 3 9 2 2" xfId="19523" xr:uid="{13C6F495-CC71-465E-826C-A27125BB3E5D}"/>
    <cellStyle name="Normal 5 2 3 9 3" xfId="11094" xr:uid="{2BF353A2-9881-425D-A429-549155C4ACAE}"/>
    <cellStyle name="Normal 5 2 3 9 4" xfId="15305" xr:uid="{4B88FF7B-8E5B-4E84-BFCD-A687DD01E4C3}"/>
    <cellStyle name="Normal 5 2 4" xfId="432" xr:uid="{00000000-0005-0000-0000-0000D2180000}"/>
    <cellStyle name="Normal 5 2 4 10" xfId="9037" xr:uid="{01868AC2-80B2-4C45-9748-25B380EB1640}"/>
    <cellStyle name="Normal 5 2 4 11" xfId="13248" xr:uid="{EDCEB185-D992-4DD7-8467-F601ABEDAAAE}"/>
    <cellStyle name="Normal 5 2 4 2" xfId="433" xr:uid="{00000000-0005-0000-0000-0000D3180000}"/>
    <cellStyle name="Normal 5 2 4 2 10" xfId="13249" xr:uid="{0985A347-2DCD-4B0B-A6D9-84B103E82CDA}"/>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20026" xr:uid="{976CBE8D-D92D-4C45-A4BD-4AEFB0EB47A4}"/>
    <cellStyle name="Normal 5 2 4 2 2 2 2 3" xfId="11597" xr:uid="{E877D1F0-466B-4D7F-9B12-3EEEAC8BD0B8}"/>
    <cellStyle name="Normal 5 2 4 2 2 2 2 4" xfId="15808" xr:uid="{746A0CE0-72BD-4DE5-918B-74731EA4CCE8}"/>
    <cellStyle name="Normal 5 2 4 2 2 2 3" xfId="5220" xr:uid="{00000000-0005-0000-0000-0000D8180000}"/>
    <cellStyle name="Normal 5 2 4 2 2 2 3 2" xfId="17881" xr:uid="{AFB8E372-1976-4CD5-B024-1D74B9C3162D}"/>
    <cellStyle name="Normal 5 2 4 2 2 2 4" xfId="9452" xr:uid="{4FE168A6-2C77-4989-9D26-99B427172A70}"/>
    <cellStyle name="Normal 5 2 4 2 2 2 5" xfId="13663" xr:uid="{03B97546-59E7-4198-983B-048F9590F222}"/>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20439" xr:uid="{B17CCA00-1E68-4BDA-B7A8-3B693242CF52}"/>
    <cellStyle name="Normal 5 2 4 2 2 3 2 3" xfId="12010" xr:uid="{DEB52144-1085-4FEB-B4B3-7365588E897C}"/>
    <cellStyle name="Normal 5 2 4 2 2 3 2 4" xfId="16221" xr:uid="{344179B1-6A86-4E45-8006-573A222E2E9C}"/>
    <cellStyle name="Normal 5 2 4 2 2 3 3" xfId="5633" xr:uid="{00000000-0005-0000-0000-0000DC180000}"/>
    <cellStyle name="Normal 5 2 4 2 2 3 3 2" xfId="18294" xr:uid="{2C8A167E-8310-40D5-A3D7-A4EA8272DA24}"/>
    <cellStyle name="Normal 5 2 4 2 2 3 4" xfId="9865" xr:uid="{DE4F7B73-73B1-42CD-ACDB-E6A738796319}"/>
    <cellStyle name="Normal 5 2 4 2 2 3 5" xfId="14076" xr:uid="{84A04E4A-9FD5-4CD0-9742-83E43B4D1E85}"/>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20852" xr:uid="{C27D4896-3D1C-4DA6-A80D-03E455C8914A}"/>
    <cellStyle name="Normal 5 2 4 2 2 4 2 3" xfId="12423" xr:uid="{774EFFD4-FC08-4499-82C2-1CFBBA9F425D}"/>
    <cellStyle name="Normal 5 2 4 2 2 4 2 4" xfId="16634" xr:uid="{3EA42799-DCD7-4A0B-B613-55DAFD5F9255}"/>
    <cellStyle name="Normal 5 2 4 2 2 4 3" xfId="6046" xr:uid="{00000000-0005-0000-0000-0000E0180000}"/>
    <cellStyle name="Normal 5 2 4 2 2 4 3 2" xfId="18707" xr:uid="{FC9AEB30-2E23-4E54-B8D0-C771505782EF}"/>
    <cellStyle name="Normal 5 2 4 2 2 4 4" xfId="10278" xr:uid="{87BC0F49-77E4-4BFD-88DA-F754E0C98D9D}"/>
    <cellStyle name="Normal 5 2 4 2 2 4 5" xfId="14489" xr:uid="{2F098BFE-B167-4226-951C-6CACD5234188}"/>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21265" xr:uid="{4C38A981-5BC4-4E3C-9923-0DE599D49ED8}"/>
    <cellStyle name="Normal 5 2 4 2 2 5 2 3" xfId="12836" xr:uid="{AB1B2604-BA11-4B47-8B7A-D4EC278402ED}"/>
    <cellStyle name="Normal 5 2 4 2 2 5 2 4" xfId="17047" xr:uid="{41EE63E1-0B68-4275-A6C4-F4EC2F455DD4}"/>
    <cellStyle name="Normal 5 2 4 2 2 5 3" xfId="6459" xr:uid="{00000000-0005-0000-0000-0000E4180000}"/>
    <cellStyle name="Normal 5 2 4 2 2 5 3 2" xfId="19120" xr:uid="{473901DB-F946-499C-886A-48C9FCF793CE}"/>
    <cellStyle name="Normal 5 2 4 2 2 5 4" xfId="10691" xr:uid="{A47773CC-9DE8-4870-A3D4-2EB833E0E811}"/>
    <cellStyle name="Normal 5 2 4 2 2 5 5" xfId="14902" xr:uid="{4F3C31C6-46D7-4577-8F64-6CDA5B237E03}"/>
    <cellStyle name="Normal 5 2 4 2 2 6" xfId="2589" xr:uid="{00000000-0005-0000-0000-0000E5180000}"/>
    <cellStyle name="Normal 5 2 4 2 2 6 2" xfId="6872" xr:uid="{00000000-0005-0000-0000-0000E6180000}"/>
    <cellStyle name="Normal 5 2 4 2 2 6 2 2" xfId="19533" xr:uid="{5F60352E-F0FD-4849-BE7D-F07E0A0FC8BF}"/>
    <cellStyle name="Normal 5 2 4 2 2 6 3" xfId="11104" xr:uid="{E2F56D6B-D5BA-46C4-9857-9F6E0311D947}"/>
    <cellStyle name="Normal 5 2 4 2 2 6 4" xfId="15315" xr:uid="{87C2A472-852A-4815-A094-30EA07F38127}"/>
    <cellStyle name="Normal 5 2 4 2 2 7" xfId="4807" xr:uid="{00000000-0005-0000-0000-0000E7180000}"/>
    <cellStyle name="Normal 5 2 4 2 2 7 2" xfId="17468" xr:uid="{BE2AFF64-C682-478A-96A8-7098D53C7FD4}"/>
    <cellStyle name="Normal 5 2 4 2 2 8" xfId="9039" xr:uid="{AC2BAB7A-1143-48EF-A892-1CBDF16FB402}"/>
    <cellStyle name="Normal 5 2 4 2 2 9" xfId="13250" xr:uid="{FECE7F47-3EF9-4C9D-A984-7CD728870EF3}"/>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20025" xr:uid="{21307FF1-26CE-4A99-9E43-081F1D5759B2}"/>
    <cellStyle name="Normal 5 2 4 2 3 2 3" xfId="11596" xr:uid="{1842549A-388E-4838-A1E0-5B3EE865229E}"/>
    <cellStyle name="Normal 5 2 4 2 3 2 4" xfId="15807" xr:uid="{0F8810C9-D66F-40C9-9225-02332E4EAFEA}"/>
    <cellStyle name="Normal 5 2 4 2 3 3" xfId="5219" xr:uid="{00000000-0005-0000-0000-0000EB180000}"/>
    <cellStyle name="Normal 5 2 4 2 3 3 2" xfId="17880" xr:uid="{B0EC6342-DA87-45E7-B3EC-72F220F75DE6}"/>
    <cellStyle name="Normal 5 2 4 2 3 4" xfId="9451" xr:uid="{3F901E8A-F01C-4B53-B84F-DBF1B7098B69}"/>
    <cellStyle name="Normal 5 2 4 2 3 5" xfId="13662" xr:uid="{33129495-3346-4492-9655-64319DD17A8D}"/>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20438" xr:uid="{74C54CB0-0DBF-4CC5-8C4F-73163FF7C8E8}"/>
    <cellStyle name="Normal 5 2 4 2 4 2 3" xfId="12009" xr:uid="{EED19D14-AAE4-4914-9262-43AA9BB73829}"/>
    <cellStyle name="Normal 5 2 4 2 4 2 4" xfId="16220" xr:uid="{83C0B1BF-4D2E-4558-A9CA-406C8A6B47AC}"/>
    <cellStyle name="Normal 5 2 4 2 4 3" xfId="5632" xr:uid="{00000000-0005-0000-0000-0000EF180000}"/>
    <cellStyle name="Normal 5 2 4 2 4 3 2" xfId="18293" xr:uid="{C3CC76CE-C048-48E5-9098-A966172C3258}"/>
    <cellStyle name="Normal 5 2 4 2 4 4" xfId="9864" xr:uid="{58951F2D-410C-4ED4-90BD-A983AA177BA4}"/>
    <cellStyle name="Normal 5 2 4 2 4 5" xfId="14075" xr:uid="{564F0E94-026C-4FFB-996D-E5888A897BC7}"/>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20851" xr:uid="{0823D365-AD7B-4729-A082-C739547C17EE}"/>
    <cellStyle name="Normal 5 2 4 2 5 2 3" xfId="12422" xr:uid="{1B1F492A-730A-4CFE-A52B-53560F6B554D}"/>
    <cellStyle name="Normal 5 2 4 2 5 2 4" xfId="16633" xr:uid="{248DD4F1-AB2E-435E-A2C1-E6E3EB939DE8}"/>
    <cellStyle name="Normal 5 2 4 2 5 3" xfId="6045" xr:uid="{00000000-0005-0000-0000-0000F3180000}"/>
    <cellStyle name="Normal 5 2 4 2 5 3 2" xfId="18706" xr:uid="{DC2001D3-955F-4603-B43F-0F20BC669E02}"/>
    <cellStyle name="Normal 5 2 4 2 5 4" xfId="10277" xr:uid="{52A6A1E2-C27E-45D8-83DF-90088542BC70}"/>
    <cellStyle name="Normal 5 2 4 2 5 5" xfId="14488" xr:uid="{D1E612FB-989B-4CAC-8286-34262CAC3600}"/>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21264" xr:uid="{969B26D5-B0AE-477C-857F-FCFBDA82A73B}"/>
    <cellStyle name="Normal 5 2 4 2 6 2 3" xfId="12835" xr:uid="{C490393B-E174-4152-A9BC-C9C4AB10C89C}"/>
    <cellStyle name="Normal 5 2 4 2 6 2 4" xfId="17046" xr:uid="{82B1FC76-F52F-4FBF-8EB4-2499F867118B}"/>
    <cellStyle name="Normal 5 2 4 2 6 3" xfId="6458" xr:uid="{00000000-0005-0000-0000-0000F7180000}"/>
    <cellStyle name="Normal 5 2 4 2 6 3 2" xfId="19119" xr:uid="{6135CDF9-A93B-4B36-86B1-94C9A048A7BF}"/>
    <cellStyle name="Normal 5 2 4 2 6 4" xfId="10690" xr:uid="{50C7A013-B02E-4B44-9194-E5E88996E3C8}"/>
    <cellStyle name="Normal 5 2 4 2 6 5" xfId="14901" xr:uid="{61BF88DF-D2C8-47EE-91E7-36940D98FA56}"/>
    <cellStyle name="Normal 5 2 4 2 7" xfId="2588" xr:uid="{00000000-0005-0000-0000-0000F8180000}"/>
    <cellStyle name="Normal 5 2 4 2 7 2" xfId="6871" xr:uid="{00000000-0005-0000-0000-0000F9180000}"/>
    <cellStyle name="Normal 5 2 4 2 7 2 2" xfId="19532" xr:uid="{092F3FBF-4C97-4DCF-97F9-00A035A178CA}"/>
    <cellStyle name="Normal 5 2 4 2 7 3" xfId="11103" xr:uid="{A1083540-0EDC-474C-8A3E-62CD565B6AFA}"/>
    <cellStyle name="Normal 5 2 4 2 7 4" xfId="15314" xr:uid="{4559364D-2A0D-4D3C-8A28-E388C07F676F}"/>
    <cellStyle name="Normal 5 2 4 2 8" xfId="4806" xr:uid="{00000000-0005-0000-0000-0000FA180000}"/>
    <cellStyle name="Normal 5 2 4 2 8 2" xfId="17467" xr:uid="{42FF60A6-978B-4307-9B9B-F6AABB1D2EC0}"/>
    <cellStyle name="Normal 5 2 4 2 9" xfId="9038" xr:uid="{68E1C829-551B-44EA-9373-F5EE24468404}"/>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20027" xr:uid="{13AD7BF2-DCC8-426F-A0E7-CAEFE257B747}"/>
    <cellStyle name="Normal 5 2 4 3 2 2 3" xfId="11598" xr:uid="{63568995-69B5-49C8-83F4-5F7E2C5CF4F3}"/>
    <cellStyle name="Normal 5 2 4 3 2 2 4" xfId="15809" xr:uid="{8C1B7F0A-586C-489C-A2E5-E91D5148E587}"/>
    <cellStyle name="Normal 5 2 4 3 2 3" xfId="5221" xr:uid="{00000000-0005-0000-0000-0000FF180000}"/>
    <cellStyle name="Normal 5 2 4 3 2 3 2" xfId="17882" xr:uid="{343B5A91-A27E-468F-BFC8-59D8C16FBA27}"/>
    <cellStyle name="Normal 5 2 4 3 2 4" xfId="9453" xr:uid="{86EAF210-BE70-4A8D-9B99-54E1702CE970}"/>
    <cellStyle name="Normal 5 2 4 3 2 5" xfId="13664" xr:uid="{0B4233F9-E174-4478-AE91-D0565FB129FA}"/>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20440" xr:uid="{41C8257E-93F7-4821-B102-46D3344C24EC}"/>
    <cellStyle name="Normal 5 2 4 3 3 2 3" xfId="12011" xr:uid="{F587E67B-A1B7-4C43-B46D-767F3E10D4E5}"/>
    <cellStyle name="Normal 5 2 4 3 3 2 4" xfId="16222" xr:uid="{6BF63D38-7A3A-4BC2-BDF2-9036A08B58A2}"/>
    <cellStyle name="Normal 5 2 4 3 3 3" xfId="5634" xr:uid="{00000000-0005-0000-0000-000003190000}"/>
    <cellStyle name="Normal 5 2 4 3 3 3 2" xfId="18295" xr:uid="{06F5635B-BA50-4C54-9EB5-28D14F58564E}"/>
    <cellStyle name="Normal 5 2 4 3 3 4" xfId="9866" xr:uid="{805338C0-9691-4B65-874C-2861D64B6DA6}"/>
    <cellStyle name="Normal 5 2 4 3 3 5" xfId="14077" xr:uid="{8D9F3D2D-ADEF-4300-9840-1D3AA438A097}"/>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20853" xr:uid="{6EC1156E-71C9-42B1-AD4D-2039FD7887A3}"/>
    <cellStyle name="Normal 5 2 4 3 4 2 3" xfId="12424" xr:uid="{761F5A3A-4872-400B-ACD2-AD031D85CC24}"/>
    <cellStyle name="Normal 5 2 4 3 4 2 4" xfId="16635" xr:uid="{A6333C44-C484-41C5-892F-0576966A4520}"/>
    <cellStyle name="Normal 5 2 4 3 4 3" xfId="6047" xr:uid="{00000000-0005-0000-0000-000007190000}"/>
    <cellStyle name="Normal 5 2 4 3 4 3 2" xfId="18708" xr:uid="{18952E00-6279-4AFF-B530-44681DDF47F5}"/>
    <cellStyle name="Normal 5 2 4 3 4 4" xfId="10279" xr:uid="{661E9690-3A7B-47E1-9F8C-D32FA5D33E48}"/>
    <cellStyle name="Normal 5 2 4 3 4 5" xfId="14490" xr:uid="{9204A7BE-1552-4174-A981-8A79EC84C98D}"/>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21266" xr:uid="{9635B783-D6FE-431B-B08A-853BA14CB76E}"/>
    <cellStyle name="Normal 5 2 4 3 5 2 3" xfId="12837" xr:uid="{60A3F2C3-8122-4CEB-871D-91E03928A28F}"/>
    <cellStyle name="Normal 5 2 4 3 5 2 4" xfId="17048" xr:uid="{5231DCD8-BF67-4536-8EB7-B899D3DF785C}"/>
    <cellStyle name="Normal 5 2 4 3 5 3" xfId="6460" xr:uid="{00000000-0005-0000-0000-00000B190000}"/>
    <cellStyle name="Normal 5 2 4 3 5 3 2" xfId="19121" xr:uid="{6D206006-D153-403D-A7A5-CB2CC58A1BFA}"/>
    <cellStyle name="Normal 5 2 4 3 5 4" xfId="10692" xr:uid="{F2E523B3-6163-45A4-A2C1-F5A24A43672C}"/>
    <cellStyle name="Normal 5 2 4 3 5 5" xfId="14903" xr:uid="{C374C85B-F2AA-4708-911E-E4C852F7561C}"/>
    <cellStyle name="Normal 5 2 4 3 6" xfId="2590" xr:uid="{00000000-0005-0000-0000-00000C190000}"/>
    <cellStyle name="Normal 5 2 4 3 6 2" xfId="6873" xr:uid="{00000000-0005-0000-0000-00000D190000}"/>
    <cellStyle name="Normal 5 2 4 3 6 2 2" xfId="19534" xr:uid="{B5F8C7F9-A5FF-4234-ADB6-F955438742FA}"/>
    <cellStyle name="Normal 5 2 4 3 6 3" xfId="11105" xr:uid="{FFBEB47F-EA54-44F3-8679-9F2CFE5C0565}"/>
    <cellStyle name="Normal 5 2 4 3 6 4" xfId="15316" xr:uid="{5AB63B26-DE04-4F4B-A212-68A3AF0E8653}"/>
    <cellStyle name="Normal 5 2 4 3 7" xfId="4808" xr:uid="{00000000-0005-0000-0000-00000E190000}"/>
    <cellStyle name="Normal 5 2 4 3 7 2" xfId="17469" xr:uid="{EE8B46B2-54AA-416C-8399-39AB4BB08744}"/>
    <cellStyle name="Normal 5 2 4 3 8" xfId="9040" xr:uid="{B3E307D5-70D6-4412-A065-8187936D5246}"/>
    <cellStyle name="Normal 5 2 4 3 9" xfId="13251" xr:uid="{336132D4-6B50-4CE9-AE68-16D6D5928C95}"/>
    <cellStyle name="Normal 5 2 4 4" xfId="906" xr:uid="{00000000-0005-0000-0000-00000F190000}"/>
    <cellStyle name="Normal 5 2 4 4 2" xfId="3141" xr:uid="{00000000-0005-0000-0000-000010190000}"/>
    <cellStyle name="Normal 5 2 4 4 2 2" xfId="7363" xr:uid="{00000000-0005-0000-0000-000011190000}"/>
    <cellStyle name="Normal 5 2 4 4 2 2 2" xfId="20024" xr:uid="{31C1770F-44BD-40EE-9CF5-E75C4D32AF8A}"/>
    <cellStyle name="Normal 5 2 4 4 2 3" xfId="11595" xr:uid="{87B5A81F-898A-4CD1-8C53-B6CC9216774A}"/>
    <cellStyle name="Normal 5 2 4 4 2 4" xfId="15806" xr:uid="{010B1244-891E-4065-A723-6799BAD41B1C}"/>
    <cellStyle name="Normal 5 2 4 4 3" xfId="5218" xr:uid="{00000000-0005-0000-0000-000012190000}"/>
    <cellStyle name="Normal 5 2 4 4 3 2" xfId="17879" xr:uid="{969FE69E-19B1-43C7-9B75-29C7F54CCDBD}"/>
    <cellStyle name="Normal 5 2 4 4 4" xfId="9450" xr:uid="{E7EEF6DF-59F3-4202-95E0-CFEC75484283}"/>
    <cellStyle name="Normal 5 2 4 4 5" xfId="13661" xr:uid="{060DAE4C-6DD9-4CAD-ADF2-02CA52AF36D4}"/>
    <cellStyle name="Normal 5 2 4 5" xfId="1324" xr:uid="{00000000-0005-0000-0000-000013190000}"/>
    <cellStyle name="Normal 5 2 4 5 2" xfId="3554" xr:uid="{00000000-0005-0000-0000-000014190000}"/>
    <cellStyle name="Normal 5 2 4 5 2 2" xfId="7776" xr:uid="{00000000-0005-0000-0000-000015190000}"/>
    <cellStyle name="Normal 5 2 4 5 2 2 2" xfId="20437" xr:uid="{135B0CC4-1D27-4ED0-A8A3-6BAD97209775}"/>
    <cellStyle name="Normal 5 2 4 5 2 3" xfId="12008" xr:uid="{35DF57DC-578B-4DF9-ADCD-10F2E5506027}"/>
    <cellStyle name="Normal 5 2 4 5 2 4" xfId="16219" xr:uid="{B8B494FC-4BD0-4984-8224-E2DC60943543}"/>
    <cellStyle name="Normal 5 2 4 5 3" xfId="5631" xr:uid="{00000000-0005-0000-0000-000016190000}"/>
    <cellStyle name="Normal 5 2 4 5 3 2" xfId="18292" xr:uid="{6DAC7E16-7CA4-49FC-BD33-EC229A1F30CD}"/>
    <cellStyle name="Normal 5 2 4 5 4" xfId="9863" xr:uid="{C3E95885-6A86-421C-8A9C-193BCD8A2892}"/>
    <cellStyle name="Normal 5 2 4 5 5" xfId="14074" xr:uid="{8AA753AA-F0FF-4350-A778-A4D632A4AD99}"/>
    <cellStyle name="Normal 5 2 4 6" xfId="1737" xr:uid="{00000000-0005-0000-0000-000017190000}"/>
    <cellStyle name="Normal 5 2 4 6 2" xfId="3967" xr:uid="{00000000-0005-0000-0000-000018190000}"/>
    <cellStyle name="Normal 5 2 4 6 2 2" xfId="8189" xr:uid="{00000000-0005-0000-0000-000019190000}"/>
    <cellStyle name="Normal 5 2 4 6 2 2 2" xfId="20850" xr:uid="{0417D388-FD40-4D6B-95CC-4F8EA8D76771}"/>
    <cellStyle name="Normal 5 2 4 6 2 3" xfId="12421" xr:uid="{EF119838-B084-4AA2-BF33-B5681EFAFDDA}"/>
    <cellStyle name="Normal 5 2 4 6 2 4" xfId="16632" xr:uid="{4A01BC8D-6A43-4610-BD41-AD39CC3DD5D1}"/>
    <cellStyle name="Normal 5 2 4 6 3" xfId="6044" xr:uid="{00000000-0005-0000-0000-00001A190000}"/>
    <cellStyle name="Normal 5 2 4 6 3 2" xfId="18705" xr:uid="{EB7FB66D-4DF6-4C8B-89A0-6D0263A5C299}"/>
    <cellStyle name="Normal 5 2 4 6 4" xfId="10276" xr:uid="{A19B2596-A5FF-487D-A41B-F83664FF973B}"/>
    <cellStyle name="Normal 5 2 4 6 5" xfId="14487" xr:uid="{1D623FC8-ADE1-47A2-938A-8BFA71B9A081}"/>
    <cellStyle name="Normal 5 2 4 7" xfId="2151" xr:uid="{00000000-0005-0000-0000-00001B190000}"/>
    <cellStyle name="Normal 5 2 4 7 2" xfId="4380" xr:uid="{00000000-0005-0000-0000-00001C190000}"/>
    <cellStyle name="Normal 5 2 4 7 2 2" xfId="8602" xr:uid="{00000000-0005-0000-0000-00001D190000}"/>
    <cellStyle name="Normal 5 2 4 7 2 2 2" xfId="21263" xr:uid="{066C1314-FBB6-4C61-B7CE-17F93CBED4B7}"/>
    <cellStyle name="Normal 5 2 4 7 2 3" xfId="12834" xr:uid="{7772C8E3-E8B7-4EC3-81C7-7D5790F5AE50}"/>
    <cellStyle name="Normal 5 2 4 7 2 4" xfId="17045" xr:uid="{40E399F3-1247-4999-A62A-FCD634ECA5FA}"/>
    <cellStyle name="Normal 5 2 4 7 3" xfId="6457" xr:uid="{00000000-0005-0000-0000-00001E190000}"/>
    <cellStyle name="Normal 5 2 4 7 3 2" xfId="19118" xr:uid="{9424E24F-403B-4675-955C-200BEF59211E}"/>
    <cellStyle name="Normal 5 2 4 7 4" xfId="10689" xr:uid="{D9436C0A-CED4-4B4F-A2E1-7B0310F2D1BE}"/>
    <cellStyle name="Normal 5 2 4 7 5" xfId="14900" xr:uid="{8DF2C6E5-4560-4A54-940A-F75EA2ABEFEE}"/>
    <cellStyle name="Normal 5 2 4 8" xfId="2587" xr:uid="{00000000-0005-0000-0000-00001F190000}"/>
    <cellStyle name="Normal 5 2 4 8 2" xfId="6870" xr:uid="{00000000-0005-0000-0000-000020190000}"/>
    <cellStyle name="Normal 5 2 4 8 2 2" xfId="19531" xr:uid="{E097A856-DE27-4B21-894E-213C0246C418}"/>
    <cellStyle name="Normal 5 2 4 8 3" xfId="11102" xr:uid="{D942F86E-DFE5-441D-ADAE-5625EBC322C3}"/>
    <cellStyle name="Normal 5 2 4 8 4" xfId="15313" xr:uid="{00E901C2-ABD0-40A9-A0CB-2C6FAD3252EC}"/>
    <cellStyle name="Normal 5 2 4 9" xfId="4805" xr:uid="{00000000-0005-0000-0000-000021190000}"/>
    <cellStyle name="Normal 5 2 4 9 2" xfId="17466" xr:uid="{CE228D9F-0532-4474-B10C-0A8B409EA9D6}"/>
    <cellStyle name="Normal 5 2 5" xfId="436" xr:uid="{00000000-0005-0000-0000-000022190000}"/>
    <cellStyle name="Normal 5 2 5 10" xfId="13252" xr:uid="{FE33BE92-40B2-40BB-9453-52F70E31EFA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20029" xr:uid="{164AACB6-ECE0-4067-AF77-297DCBC4EE9C}"/>
    <cellStyle name="Normal 5 2 5 2 2 2 3" xfId="11600" xr:uid="{C50C0F0B-F2FA-4A43-9A17-0AF7C12D1AB7}"/>
    <cellStyle name="Normal 5 2 5 2 2 2 4" xfId="15811" xr:uid="{47A8DA2C-56A8-45F5-9B7A-95B861146969}"/>
    <cellStyle name="Normal 5 2 5 2 2 3" xfId="5223" xr:uid="{00000000-0005-0000-0000-000027190000}"/>
    <cellStyle name="Normal 5 2 5 2 2 3 2" xfId="17884" xr:uid="{6560A28D-E49A-4F3E-913D-E00FFF025197}"/>
    <cellStyle name="Normal 5 2 5 2 2 4" xfId="9455" xr:uid="{D64C95DC-8094-48C6-BC99-6418C02EA2D9}"/>
    <cellStyle name="Normal 5 2 5 2 2 5" xfId="13666" xr:uid="{7B9455F2-E559-414F-88C4-2C6401347C08}"/>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20442" xr:uid="{70824C98-B35F-48F1-BE75-A4BEF26BE313}"/>
    <cellStyle name="Normal 5 2 5 2 3 2 3" xfId="12013" xr:uid="{BCDB8C16-7857-47AD-9809-D245B2228F10}"/>
    <cellStyle name="Normal 5 2 5 2 3 2 4" xfId="16224" xr:uid="{449EEB59-F43B-432D-8FF1-D023DEAF3CA9}"/>
    <cellStyle name="Normal 5 2 5 2 3 3" xfId="5636" xr:uid="{00000000-0005-0000-0000-00002B190000}"/>
    <cellStyle name="Normal 5 2 5 2 3 3 2" xfId="18297" xr:uid="{3C8CFFD4-FA88-40D0-AD68-9D0ADA304566}"/>
    <cellStyle name="Normal 5 2 5 2 3 4" xfId="9868" xr:uid="{8E6156B6-0CD7-41E4-B2EC-1BB92768B2E3}"/>
    <cellStyle name="Normal 5 2 5 2 3 5" xfId="14079" xr:uid="{0D4FB966-BA6B-424D-BC0B-ED0692017B95}"/>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20855" xr:uid="{DA2E485B-68DB-45F5-96D3-4B146001067E}"/>
    <cellStyle name="Normal 5 2 5 2 4 2 3" xfId="12426" xr:uid="{3EBA9A75-EC59-43E7-985D-396979195737}"/>
    <cellStyle name="Normal 5 2 5 2 4 2 4" xfId="16637" xr:uid="{33AD3872-0AA6-4306-86AF-BAF81A015DC5}"/>
    <cellStyle name="Normal 5 2 5 2 4 3" xfId="6049" xr:uid="{00000000-0005-0000-0000-00002F190000}"/>
    <cellStyle name="Normal 5 2 5 2 4 3 2" xfId="18710" xr:uid="{2D96E970-63CE-4EFC-AD5F-F0505B89FBB9}"/>
    <cellStyle name="Normal 5 2 5 2 4 4" xfId="10281" xr:uid="{3E10C0F5-B7AA-4087-A2E5-F0406F2199F0}"/>
    <cellStyle name="Normal 5 2 5 2 4 5" xfId="14492" xr:uid="{7330E077-61A6-4D06-8E08-14DBFA74FA18}"/>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21268" xr:uid="{555F15FD-34E4-44A2-A100-4A5AB5F019CC}"/>
    <cellStyle name="Normal 5 2 5 2 5 2 3" xfId="12839" xr:uid="{EAE08FA9-757C-4920-AE6C-9ACEB6CE9577}"/>
    <cellStyle name="Normal 5 2 5 2 5 2 4" xfId="17050" xr:uid="{65B92763-FD75-4B07-BBA5-72DB691F3EDF}"/>
    <cellStyle name="Normal 5 2 5 2 5 3" xfId="6462" xr:uid="{00000000-0005-0000-0000-000033190000}"/>
    <cellStyle name="Normal 5 2 5 2 5 3 2" xfId="19123" xr:uid="{5620E20A-CFAE-4061-91FC-A7D38CC74DF3}"/>
    <cellStyle name="Normal 5 2 5 2 5 4" xfId="10694" xr:uid="{FC1592F0-F36D-4D4E-81FF-58A2F0610A68}"/>
    <cellStyle name="Normal 5 2 5 2 5 5" xfId="14905" xr:uid="{22B864E4-7046-440E-9D54-DE565C4F7CEF}"/>
    <cellStyle name="Normal 5 2 5 2 6" xfId="2592" xr:uid="{00000000-0005-0000-0000-000034190000}"/>
    <cellStyle name="Normal 5 2 5 2 6 2" xfId="6875" xr:uid="{00000000-0005-0000-0000-000035190000}"/>
    <cellStyle name="Normal 5 2 5 2 6 2 2" xfId="19536" xr:uid="{69BBE537-E02F-4462-8871-30E9BF51DA9C}"/>
    <cellStyle name="Normal 5 2 5 2 6 3" xfId="11107" xr:uid="{167BB025-0DC4-497F-A9AF-010AC3134CDC}"/>
    <cellStyle name="Normal 5 2 5 2 6 4" xfId="15318" xr:uid="{3E5070AF-CD38-4AC3-970E-88B2FC9F04F8}"/>
    <cellStyle name="Normal 5 2 5 2 7" xfId="4810" xr:uid="{00000000-0005-0000-0000-000036190000}"/>
    <cellStyle name="Normal 5 2 5 2 7 2" xfId="17471" xr:uid="{31DA8151-40E3-4CE3-A68A-74A0B20E7CB6}"/>
    <cellStyle name="Normal 5 2 5 2 8" xfId="9042" xr:uid="{C215C24C-EC57-4176-BCAA-91A0AA88444C}"/>
    <cellStyle name="Normal 5 2 5 2 9" xfId="13253" xr:uid="{766EEC2B-85CD-4F32-8DBA-B6F41264A4AC}"/>
    <cellStyle name="Normal 5 2 5 3" xfId="910" xr:uid="{00000000-0005-0000-0000-000037190000}"/>
    <cellStyle name="Normal 5 2 5 3 2" xfId="3145" xr:uid="{00000000-0005-0000-0000-000038190000}"/>
    <cellStyle name="Normal 5 2 5 3 2 2" xfId="7367" xr:uid="{00000000-0005-0000-0000-000039190000}"/>
    <cellStyle name="Normal 5 2 5 3 2 2 2" xfId="20028" xr:uid="{30715D31-E9A3-45B9-B79A-68377E38162E}"/>
    <cellStyle name="Normal 5 2 5 3 2 3" xfId="11599" xr:uid="{A8B38D95-1DD1-4785-967F-BE3F03CEDA2A}"/>
    <cellStyle name="Normal 5 2 5 3 2 4" xfId="15810" xr:uid="{4133FB5F-EA34-4A4F-85B3-5D5204DF1729}"/>
    <cellStyle name="Normal 5 2 5 3 3" xfId="5222" xr:uid="{00000000-0005-0000-0000-00003A190000}"/>
    <cellStyle name="Normal 5 2 5 3 3 2" xfId="17883" xr:uid="{1F706386-1CF6-411A-AA5B-B53F50C06926}"/>
    <cellStyle name="Normal 5 2 5 3 4" xfId="9454" xr:uid="{CCD20D19-17A5-4508-92F6-C4622D97F70C}"/>
    <cellStyle name="Normal 5 2 5 3 5" xfId="13665" xr:uid="{98DBF4F3-83C7-4317-9147-8B9BC9DB634F}"/>
    <cellStyle name="Normal 5 2 5 4" xfId="1328" xr:uid="{00000000-0005-0000-0000-00003B190000}"/>
    <cellStyle name="Normal 5 2 5 4 2" xfId="3558" xr:uid="{00000000-0005-0000-0000-00003C190000}"/>
    <cellStyle name="Normal 5 2 5 4 2 2" xfId="7780" xr:uid="{00000000-0005-0000-0000-00003D190000}"/>
    <cellStyle name="Normal 5 2 5 4 2 2 2" xfId="20441" xr:uid="{2E201417-4E09-4ED1-8CFD-BCFD1F830F90}"/>
    <cellStyle name="Normal 5 2 5 4 2 3" xfId="12012" xr:uid="{974A7019-A794-4A71-A6DA-48EC5EDAEA85}"/>
    <cellStyle name="Normal 5 2 5 4 2 4" xfId="16223" xr:uid="{34F17D1B-5713-4F16-9E3B-D4A1C159EDD4}"/>
    <cellStyle name="Normal 5 2 5 4 3" xfId="5635" xr:uid="{00000000-0005-0000-0000-00003E190000}"/>
    <cellStyle name="Normal 5 2 5 4 3 2" xfId="18296" xr:uid="{7A0FF7F7-E596-469A-B955-4C830890BFF1}"/>
    <cellStyle name="Normal 5 2 5 4 4" xfId="9867" xr:uid="{CEB20D9A-D694-4DBD-8E24-7CE5E1497BCD}"/>
    <cellStyle name="Normal 5 2 5 4 5" xfId="14078" xr:uid="{92B7ACD3-0D66-461B-A7F4-E018C1241EC1}"/>
    <cellStyle name="Normal 5 2 5 5" xfId="1741" xr:uid="{00000000-0005-0000-0000-00003F190000}"/>
    <cellStyle name="Normal 5 2 5 5 2" xfId="3971" xr:uid="{00000000-0005-0000-0000-000040190000}"/>
    <cellStyle name="Normal 5 2 5 5 2 2" xfId="8193" xr:uid="{00000000-0005-0000-0000-000041190000}"/>
    <cellStyle name="Normal 5 2 5 5 2 2 2" xfId="20854" xr:uid="{D08B18CF-D4C0-41BD-8FAE-C7411BAAA215}"/>
    <cellStyle name="Normal 5 2 5 5 2 3" xfId="12425" xr:uid="{7528305A-9599-48C2-B3D8-1FD4973514F3}"/>
    <cellStyle name="Normal 5 2 5 5 2 4" xfId="16636" xr:uid="{AFEBB3E5-5573-4560-A980-A53E9655EB29}"/>
    <cellStyle name="Normal 5 2 5 5 3" xfId="6048" xr:uid="{00000000-0005-0000-0000-000042190000}"/>
    <cellStyle name="Normal 5 2 5 5 3 2" xfId="18709" xr:uid="{61D6744A-0CA0-4EED-A007-FD0090FC3582}"/>
    <cellStyle name="Normal 5 2 5 5 4" xfId="10280" xr:uid="{8A6C1E06-2B6F-470A-9BC7-51038D9BB086}"/>
    <cellStyle name="Normal 5 2 5 5 5" xfId="14491" xr:uid="{D3DC983B-882A-4ACC-A7CB-4EA4C1166669}"/>
    <cellStyle name="Normal 5 2 5 6" xfId="2155" xr:uid="{00000000-0005-0000-0000-000043190000}"/>
    <cellStyle name="Normal 5 2 5 6 2" xfId="4384" xr:uid="{00000000-0005-0000-0000-000044190000}"/>
    <cellStyle name="Normal 5 2 5 6 2 2" xfId="8606" xr:uid="{00000000-0005-0000-0000-000045190000}"/>
    <cellStyle name="Normal 5 2 5 6 2 2 2" xfId="21267" xr:uid="{4FE385AB-4C43-4FED-85D8-6483BC1C5E73}"/>
    <cellStyle name="Normal 5 2 5 6 2 3" xfId="12838" xr:uid="{19E498CE-D0EA-4E61-89D0-23D29524D52F}"/>
    <cellStyle name="Normal 5 2 5 6 2 4" xfId="17049" xr:uid="{642B4E77-441A-4831-B4D1-2323B2EA73D7}"/>
    <cellStyle name="Normal 5 2 5 6 3" xfId="6461" xr:uid="{00000000-0005-0000-0000-000046190000}"/>
    <cellStyle name="Normal 5 2 5 6 3 2" xfId="19122" xr:uid="{203D3761-8E03-4AB6-A369-A28916C0E658}"/>
    <cellStyle name="Normal 5 2 5 6 4" xfId="10693" xr:uid="{0644F26F-F6B5-4B0B-AD18-6076E59A13C6}"/>
    <cellStyle name="Normal 5 2 5 6 5" xfId="14904" xr:uid="{903D1C50-FAFF-49AC-A546-2B2B0FA87348}"/>
    <cellStyle name="Normal 5 2 5 7" xfId="2591" xr:uid="{00000000-0005-0000-0000-000047190000}"/>
    <cellStyle name="Normal 5 2 5 7 2" xfId="6874" xr:uid="{00000000-0005-0000-0000-000048190000}"/>
    <cellStyle name="Normal 5 2 5 7 2 2" xfId="19535" xr:uid="{A5307A59-E216-4890-A9E3-10B570CC8293}"/>
    <cellStyle name="Normal 5 2 5 7 3" xfId="11106" xr:uid="{6BD56E2B-85A9-4C11-B459-B66D06F99E7E}"/>
    <cellStyle name="Normal 5 2 5 7 4" xfId="15317" xr:uid="{6B4E8F5F-45D0-437D-BEB4-55B52BEE9DFF}"/>
    <cellStyle name="Normal 5 2 5 8" xfId="4809" xr:uid="{00000000-0005-0000-0000-000049190000}"/>
    <cellStyle name="Normal 5 2 5 8 2" xfId="17470" xr:uid="{610EC1C5-2A4B-4D42-848A-A9A0A7AFC6F0}"/>
    <cellStyle name="Normal 5 2 5 9" xfId="9041" xr:uid="{2288E82D-CFDF-45FC-A36F-AB65A1F8A3AC}"/>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20030" xr:uid="{5A06748F-BBC6-435F-B2DB-3B63A17A7BA2}"/>
    <cellStyle name="Normal 5 2 6 2 2 3" xfId="11601" xr:uid="{AD98AF8E-64DE-40E7-B1DE-59B90CF51905}"/>
    <cellStyle name="Normal 5 2 6 2 2 4" xfId="15812" xr:uid="{30A0639D-232B-4F6F-8020-DA026561D0FB}"/>
    <cellStyle name="Normal 5 2 6 2 3" xfId="5224" xr:uid="{00000000-0005-0000-0000-00004E190000}"/>
    <cellStyle name="Normal 5 2 6 2 3 2" xfId="17885" xr:uid="{8F521A81-F32D-43B3-9C5E-03F3E7DD873A}"/>
    <cellStyle name="Normal 5 2 6 2 4" xfId="9456" xr:uid="{1FD18787-947D-452D-BE44-867355B1B99E}"/>
    <cellStyle name="Normal 5 2 6 2 5" xfId="13667" xr:uid="{6CA2DA35-9A20-49F1-84FF-162A44D3B5E9}"/>
    <cellStyle name="Normal 5 2 6 3" xfId="1330" xr:uid="{00000000-0005-0000-0000-00004F190000}"/>
    <cellStyle name="Normal 5 2 6 3 2" xfId="3560" xr:uid="{00000000-0005-0000-0000-000050190000}"/>
    <cellStyle name="Normal 5 2 6 3 2 2" xfId="7782" xr:uid="{00000000-0005-0000-0000-000051190000}"/>
    <cellStyle name="Normal 5 2 6 3 2 2 2" xfId="20443" xr:uid="{1BD08730-709C-4CAC-AB71-A61E395A4089}"/>
    <cellStyle name="Normal 5 2 6 3 2 3" xfId="12014" xr:uid="{73331B5E-0DD5-4C79-8761-CF46A0181FE7}"/>
    <cellStyle name="Normal 5 2 6 3 2 4" xfId="16225" xr:uid="{EB518E4F-D7CE-41FA-A7A9-28D191070362}"/>
    <cellStyle name="Normal 5 2 6 3 3" xfId="5637" xr:uid="{00000000-0005-0000-0000-000052190000}"/>
    <cellStyle name="Normal 5 2 6 3 3 2" xfId="18298" xr:uid="{A69BCBB6-78B0-4DB4-B6CD-ADA970638A8F}"/>
    <cellStyle name="Normal 5 2 6 3 4" xfId="9869" xr:uid="{732376F8-1E90-4CC5-BCE5-97159B8C1476}"/>
    <cellStyle name="Normal 5 2 6 3 5" xfId="14080" xr:uid="{78C61F8F-7353-4E6F-B4C9-DCA9FD3B151B}"/>
    <cellStyle name="Normal 5 2 6 4" xfId="1743" xr:uid="{00000000-0005-0000-0000-000053190000}"/>
    <cellStyle name="Normal 5 2 6 4 2" xfId="3973" xr:uid="{00000000-0005-0000-0000-000054190000}"/>
    <cellStyle name="Normal 5 2 6 4 2 2" xfId="8195" xr:uid="{00000000-0005-0000-0000-000055190000}"/>
    <cellStyle name="Normal 5 2 6 4 2 2 2" xfId="20856" xr:uid="{04F73F2F-CD27-4B9F-858A-E73B3D23E344}"/>
    <cellStyle name="Normal 5 2 6 4 2 3" xfId="12427" xr:uid="{530833A7-64A4-40C1-96A5-182292127BDE}"/>
    <cellStyle name="Normal 5 2 6 4 2 4" xfId="16638" xr:uid="{B325D6DA-9BC2-421E-A9A1-6627F1060580}"/>
    <cellStyle name="Normal 5 2 6 4 3" xfId="6050" xr:uid="{00000000-0005-0000-0000-000056190000}"/>
    <cellStyle name="Normal 5 2 6 4 3 2" xfId="18711" xr:uid="{EB786F29-DDE6-472D-BA26-609F0D1C2E72}"/>
    <cellStyle name="Normal 5 2 6 4 4" xfId="10282" xr:uid="{14A03856-8493-4FB9-8EF3-DF93672920E3}"/>
    <cellStyle name="Normal 5 2 6 4 5" xfId="14493" xr:uid="{3B5EF7B4-73DC-408C-929B-9D6CF50FF1CE}"/>
    <cellStyle name="Normal 5 2 6 5" xfId="2157" xr:uid="{00000000-0005-0000-0000-000057190000}"/>
    <cellStyle name="Normal 5 2 6 5 2" xfId="4386" xr:uid="{00000000-0005-0000-0000-000058190000}"/>
    <cellStyle name="Normal 5 2 6 5 2 2" xfId="8608" xr:uid="{00000000-0005-0000-0000-000059190000}"/>
    <cellStyle name="Normal 5 2 6 5 2 2 2" xfId="21269" xr:uid="{27A9C020-2117-42B9-8C29-09CC39A3E6BB}"/>
    <cellStyle name="Normal 5 2 6 5 2 3" xfId="12840" xr:uid="{B01A2B64-A22F-4A5F-82ED-4A28233CB9CE}"/>
    <cellStyle name="Normal 5 2 6 5 2 4" xfId="17051" xr:uid="{3B1C88DC-D9E3-4817-A6B1-22DB397AB106}"/>
    <cellStyle name="Normal 5 2 6 5 3" xfId="6463" xr:uid="{00000000-0005-0000-0000-00005A190000}"/>
    <cellStyle name="Normal 5 2 6 5 3 2" xfId="19124" xr:uid="{E2F27A08-3CDC-45A0-A190-F0265A857F7B}"/>
    <cellStyle name="Normal 5 2 6 5 4" xfId="10695" xr:uid="{27AA8148-89EE-4521-B453-B1851A0CAA92}"/>
    <cellStyle name="Normal 5 2 6 5 5" xfId="14906" xr:uid="{7B70CDD3-B828-42CE-AED3-72A7124C98D7}"/>
    <cellStyle name="Normal 5 2 6 6" xfId="2593" xr:uid="{00000000-0005-0000-0000-00005B190000}"/>
    <cellStyle name="Normal 5 2 6 6 2" xfId="6876" xr:uid="{00000000-0005-0000-0000-00005C190000}"/>
    <cellStyle name="Normal 5 2 6 6 2 2" xfId="19537" xr:uid="{0E7D416F-90D6-4353-A02C-4641F8EBF56E}"/>
    <cellStyle name="Normal 5 2 6 6 3" xfId="11108" xr:uid="{7F97F987-4764-4B74-9A06-DC108475640A}"/>
    <cellStyle name="Normal 5 2 6 6 4" xfId="15319" xr:uid="{74F4D882-FC70-4CA4-BACC-2EC367512011}"/>
    <cellStyle name="Normal 5 2 6 7" xfId="4811" xr:uid="{00000000-0005-0000-0000-00005D190000}"/>
    <cellStyle name="Normal 5 2 6 7 2" xfId="17472" xr:uid="{B16D2A47-6537-42A4-8714-0F42CE4CE78A}"/>
    <cellStyle name="Normal 5 2 6 8" xfId="9043" xr:uid="{250436E1-D919-421A-8240-7F177124D5EA}"/>
    <cellStyle name="Normal 5 2 6 9" xfId="13254" xr:uid="{511BBC2D-435B-4DE7-ADBA-95128974B9FA}"/>
    <cellStyle name="Normal 5 2 7" xfId="881" xr:uid="{00000000-0005-0000-0000-00005E190000}"/>
    <cellStyle name="Normal 5 2 7 2" xfId="3116" xr:uid="{00000000-0005-0000-0000-00005F190000}"/>
    <cellStyle name="Normal 5 2 7 2 2" xfId="7338" xr:uid="{00000000-0005-0000-0000-000060190000}"/>
    <cellStyle name="Normal 5 2 7 2 2 2" xfId="19999" xr:uid="{25FAF7C2-7A24-44EC-AC37-05C272C0CDC8}"/>
    <cellStyle name="Normal 5 2 7 2 3" xfId="11570" xr:uid="{EAD4224C-8415-4E66-95A1-9FB63AC216B5}"/>
    <cellStyle name="Normal 5 2 7 2 4" xfId="15781" xr:uid="{78D4DEEF-068A-449C-AB5F-280D96280EFE}"/>
    <cellStyle name="Normal 5 2 7 3" xfId="5193" xr:uid="{00000000-0005-0000-0000-000061190000}"/>
    <cellStyle name="Normal 5 2 7 3 2" xfId="17854" xr:uid="{348BB124-F482-4496-9DA1-BC41E69F94CE}"/>
    <cellStyle name="Normal 5 2 7 4" xfId="9425" xr:uid="{FFDDCE59-2E7C-43DD-BBB3-462ADDB3E6FF}"/>
    <cellStyle name="Normal 5 2 7 5" xfId="13636" xr:uid="{488260BD-0671-4FAD-9FCA-894336FE0369}"/>
    <cellStyle name="Normal 5 2 8" xfId="1299" xr:uid="{00000000-0005-0000-0000-000062190000}"/>
    <cellStyle name="Normal 5 2 8 2" xfId="3529" xr:uid="{00000000-0005-0000-0000-000063190000}"/>
    <cellStyle name="Normal 5 2 8 2 2" xfId="7751" xr:uid="{00000000-0005-0000-0000-000064190000}"/>
    <cellStyle name="Normal 5 2 8 2 2 2" xfId="20412" xr:uid="{ED013093-ACF8-46DC-B7B6-FCA6D7A3F868}"/>
    <cellStyle name="Normal 5 2 8 2 3" xfId="11983" xr:uid="{39B21D05-FD2E-494A-8B45-E827293C8F0B}"/>
    <cellStyle name="Normal 5 2 8 2 4" xfId="16194" xr:uid="{51FEA9B8-2D75-4CFB-A521-C9C31501A9B5}"/>
    <cellStyle name="Normal 5 2 8 3" xfId="5606" xr:uid="{00000000-0005-0000-0000-000065190000}"/>
    <cellStyle name="Normal 5 2 8 3 2" xfId="18267" xr:uid="{04DB2726-5E64-4002-96C5-6A0BFEEFB6A8}"/>
    <cellStyle name="Normal 5 2 8 4" xfId="9838" xr:uid="{875EC8E6-8820-47DB-8629-69929F48235C}"/>
    <cellStyle name="Normal 5 2 8 5" xfId="14049" xr:uid="{9D3CCC46-CD19-4C5A-8BCC-0B729A84493D}"/>
    <cellStyle name="Normal 5 2 9" xfId="1712" xr:uid="{00000000-0005-0000-0000-000066190000}"/>
    <cellStyle name="Normal 5 2 9 2" xfId="3942" xr:uid="{00000000-0005-0000-0000-000067190000}"/>
    <cellStyle name="Normal 5 2 9 2 2" xfId="8164" xr:uid="{00000000-0005-0000-0000-000068190000}"/>
    <cellStyle name="Normal 5 2 9 2 2 2" xfId="20825" xr:uid="{541E9CE4-57AC-47BB-B9B5-3E609F570263}"/>
    <cellStyle name="Normal 5 2 9 2 3" xfId="12396" xr:uid="{B182112C-B599-4336-8640-7D8538FF685B}"/>
    <cellStyle name="Normal 5 2 9 2 4" xfId="16607" xr:uid="{194BAC98-33AB-43D6-81DF-7ED241A04F7C}"/>
    <cellStyle name="Normal 5 2 9 3" xfId="6019" xr:uid="{00000000-0005-0000-0000-000069190000}"/>
    <cellStyle name="Normal 5 2 9 3 2" xfId="18680" xr:uid="{C2FA45FB-A5AA-4CB2-BA2F-CE2D5C84038C}"/>
    <cellStyle name="Normal 5 2 9 4" xfId="10251" xr:uid="{24EA87F0-A4E5-4D56-B48B-18EB3103B9DB}"/>
    <cellStyle name="Normal 5 2 9 5" xfId="14462" xr:uid="{09C5F90E-D44B-4538-8F10-0458768B553F}"/>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21270" xr:uid="{7839E2A9-6BCF-46C5-8AB2-6BECA547971A}"/>
    <cellStyle name="Normal 5 3 10 2 3" xfId="12841" xr:uid="{8C969CF0-63A4-4AA0-90A5-88D7734B49FA}"/>
    <cellStyle name="Normal 5 3 10 2 4" xfId="17052" xr:uid="{AD56D1EB-33DC-4EEB-93CA-2F9B587B2B21}"/>
    <cellStyle name="Normal 5 3 10 3" xfId="6464" xr:uid="{00000000-0005-0000-0000-00006E190000}"/>
    <cellStyle name="Normal 5 3 10 3 2" xfId="19125" xr:uid="{A2CE3E55-8F6E-47E7-AC11-7D753B4A04F4}"/>
    <cellStyle name="Normal 5 3 10 4" xfId="10696" xr:uid="{32EE2FE7-1F76-4BA0-AEAC-8216A4369CD7}"/>
    <cellStyle name="Normal 5 3 10 5" xfId="14907" xr:uid="{A9C72A42-8AFE-4452-AD57-05987B19A7E9}"/>
    <cellStyle name="Normal 5 3 11" xfId="2594" xr:uid="{00000000-0005-0000-0000-00006F190000}"/>
    <cellStyle name="Normal 5 3 11 2" xfId="6877" xr:uid="{00000000-0005-0000-0000-000070190000}"/>
    <cellStyle name="Normal 5 3 11 2 2" xfId="19538" xr:uid="{23A372C3-EE1F-4FB1-B436-23A979B3A8F1}"/>
    <cellStyle name="Normal 5 3 11 3" xfId="11109" xr:uid="{A7FD16CA-D531-4C26-A343-01AECA6B80A8}"/>
    <cellStyle name="Normal 5 3 11 4" xfId="15320" xr:uid="{C0D444D1-C0FE-4BC1-BB61-6FE2C7049374}"/>
    <cellStyle name="Normal 5 3 12" xfId="4812" xr:uid="{00000000-0005-0000-0000-000071190000}"/>
    <cellStyle name="Normal 5 3 12 2" xfId="17473" xr:uid="{93747546-F856-4A9C-B0E1-E8259E10439E}"/>
    <cellStyle name="Normal 5 3 13" xfId="9044" xr:uid="{62838C76-E92A-4B9B-8D28-4A37877C1573}"/>
    <cellStyle name="Normal 5 3 14" xfId="13255" xr:uid="{6ABF9366-7AF5-4A03-84FD-D7655BD3CCE8}"/>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7474" xr:uid="{5FB69E47-8EFD-4CBF-8D3B-0B8057B724A3}"/>
    <cellStyle name="Normal 5 3 3 11" xfId="9045" xr:uid="{CBDD83DD-80CD-4EC7-B094-89910231A99E}"/>
    <cellStyle name="Normal 5 3 3 12" xfId="13256" xr:uid="{850CCC09-AE24-4490-9308-FBE6A71E7885}"/>
    <cellStyle name="Normal 5 3 3 2" xfId="442" xr:uid="{00000000-0005-0000-0000-000076190000}"/>
    <cellStyle name="Normal 5 3 3 2 10" xfId="9046" xr:uid="{C9968DBF-9A53-42FA-A6BA-BF1D6080993D}"/>
    <cellStyle name="Normal 5 3 3 2 11" xfId="13257" xr:uid="{D30359EC-1275-4EC1-83D6-E2483BD38512}"/>
    <cellStyle name="Normal 5 3 3 2 2" xfId="443" xr:uid="{00000000-0005-0000-0000-000077190000}"/>
    <cellStyle name="Normal 5 3 3 2 2 10" xfId="13258" xr:uid="{0AD423F2-5D62-4F56-9F04-AE12C9548551}"/>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20035" xr:uid="{055A0EDB-BE6A-480A-A405-B8A6A8F26CE1}"/>
    <cellStyle name="Normal 5 3 3 2 2 2 2 2 3" xfId="11606" xr:uid="{F69017BE-332F-4126-B3E9-6E0B59DC9B42}"/>
    <cellStyle name="Normal 5 3 3 2 2 2 2 2 4" xfId="15817" xr:uid="{0E65C95D-8790-41DE-9FC4-818B51EF3EA5}"/>
    <cellStyle name="Normal 5 3 3 2 2 2 2 3" xfId="5229" xr:uid="{00000000-0005-0000-0000-00007C190000}"/>
    <cellStyle name="Normal 5 3 3 2 2 2 2 3 2" xfId="17890" xr:uid="{5BC09AF1-1802-4120-9516-B3079AF20DCF}"/>
    <cellStyle name="Normal 5 3 3 2 2 2 2 4" xfId="9461" xr:uid="{DA655E27-8CFC-41C0-B76C-9A9C989187FD}"/>
    <cellStyle name="Normal 5 3 3 2 2 2 2 5" xfId="13672" xr:uid="{00F44935-DDB2-4844-9D78-7A472D6A6493}"/>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20448" xr:uid="{E604CBFE-3B62-4CDD-880B-D0F315D1DEE0}"/>
    <cellStyle name="Normal 5 3 3 2 2 2 3 2 3" xfId="12019" xr:uid="{669E84F0-771E-4DA2-8A24-22D05361F115}"/>
    <cellStyle name="Normal 5 3 3 2 2 2 3 2 4" xfId="16230" xr:uid="{27305A1E-3BC4-4D61-A9BB-0B699E82ED1B}"/>
    <cellStyle name="Normal 5 3 3 2 2 2 3 3" xfId="5642" xr:uid="{00000000-0005-0000-0000-000080190000}"/>
    <cellStyle name="Normal 5 3 3 2 2 2 3 3 2" xfId="18303" xr:uid="{2F84494A-C4AE-48AA-9E03-55A38902D59D}"/>
    <cellStyle name="Normal 5 3 3 2 2 2 3 4" xfId="9874" xr:uid="{438DDAD9-2041-498D-8E37-9608EE9871B0}"/>
    <cellStyle name="Normal 5 3 3 2 2 2 3 5" xfId="14085" xr:uid="{7A3C4C79-BAF3-4E8B-A1EF-1682E16BF444}"/>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20861" xr:uid="{ABD94127-BED2-4F5D-B5BC-5EE5135B6001}"/>
    <cellStyle name="Normal 5 3 3 2 2 2 4 2 3" xfId="12432" xr:uid="{0B136ABC-F12D-41DB-9F59-D196CE154486}"/>
    <cellStyle name="Normal 5 3 3 2 2 2 4 2 4" xfId="16643" xr:uid="{0150E394-5984-485F-BB46-BC81ED48DDE1}"/>
    <cellStyle name="Normal 5 3 3 2 2 2 4 3" xfId="6055" xr:uid="{00000000-0005-0000-0000-000084190000}"/>
    <cellStyle name="Normal 5 3 3 2 2 2 4 3 2" xfId="18716" xr:uid="{F952870A-2519-4DCC-A4FF-E9DA74176D3F}"/>
    <cellStyle name="Normal 5 3 3 2 2 2 4 4" xfId="10287" xr:uid="{62B08BD2-E671-4BAF-95FA-151F59B98AAE}"/>
    <cellStyle name="Normal 5 3 3 2 2 2 4 5" xfId="14498" xr:uid="{8447963F-1DED-4087-BBEF-B6C133546CA7}"/>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21274" xr:uid="{D9063205-FED7-4A62-98F3-534EEE48061E}"/>
    <cellStyle name="Normal 5 3 3 2 2 2 5 2 3" xfId="12845" xr:uid="{7C6E9B44-B673-47B3-AFA3-012BA38A91D5}"/>
    <cellStyle name="Normal 5 3 3 2 2 2 5 2 4" xfId="17056" xr:uid="{3EB5602F-F2AA-4514-A04D-B93C0343BB1B}"/>
    <cellStyle name="Normal 5 3 3 2 2 2 5 3" xfId="6468" xr:uid="{00000000-0005-0000-0000-000088190000}"/>
    <cellStyle name="Normal 5 3 3 2 2 2 5 3 2" xfId="19129" xr:uid="{B0D45CFB-246B-45B2-BB0F-7D721D2ED0E6}"/>
    <cellStyle name="Normal 5 3 3 2 2 2 5 4" xfId="10700" xr:uid="{503E468C-C27E-4A07-B21F-7C5205115787}"/>
    <cellStyle name="Normal 5 3 3 2 2 2 5 5" xfId="14911" xr:uid="{07670DB8-ACC3-42A2-8D64-7786F486CFC2}"/>
    <cellStyle name="Normal 5 3 3 2 2 2 6" xfId="2598" xr:uid="{00000000-0005-0000-0000-000089190000}"/>
    <cellStyle name="Normal 5 3 3 2 2 2 6 2" xfId="6881" xr:uid="{00000000-0005-0000-0000-00008A190000}"/>
    <cellStyle name="Normal 5 3 3 2 2 2 6 2 2" xfId="19542" xr:uid="{618442C5-C1D3-4C14-828F-31D8C0CD4454}"/>
    <cellStyle name="Normal 5 3 3 2 2 2 6 3" xfId="11113" xr:uid="{B9F0E799-E0E1-4758-8635-B39588654FB1}"/>
    <cellStyle name="Normal 5 3 3 2 2 2 6 4" xfId="15324" xr:uid="{374AC433-955D-400C-9C03-8174A00B4C7A}"/>
    <cellStyle name="Normal 5 3 3 2 2 2 7" xfId="4816" xr:uid="{00000000-0005-0000-0000-00008B190000}"/>
    <cellStyle name="Normal 5 3 3 2 2 2 7 2" xfId="17477" xr:uid="{D9F2C784-B385-48D7-BC04-7230B521F7E3}"/>
    <cellStyle name="Normal 5 3 3 2 2 2 8" xfId="9048" xr:uid="{91F03676-7158-4E45-A3B7-42713E571940}"/>
    <cellStyle name="Normal 5 3 3 2 2 2 9" xfId="13259" xr:uid="{20E5D2E7-C506-4E1A-AF27-7D5D0432C615}"/>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20034" xr:uid="{6BC802C2-9FBE-4A7E-98E7-083DFFA5A021}"/>
    <cellStyle name="Normal 5 3 3 2 2 3 2 3" xfId="11605" xr:uid="{ED1ADDCC-8F5C-4A49-B5B2-8D9E840459C3}"/>
    <cellStyle name="Normal 5 3 3 2 2 3 2 4" xfId="15816" xr:uid="{EE71659D-8EB7-4722-89E7-CE7BB7AD3859}"/>
    <cellStyle name="Normal 5 3 3 2 2 3 3" xfId="5228" xr:uid="{00000000-0005-0000-0000-00008F190000}"/>
    <cellStyle name="Normal 5 3 3 2 2 3 3 2" xfId="17889" xr:uid="{BF914CE7-DD93-4111-BDD2-DC7A16292037}"/>
    <cellStyle name="Normal 5 3 3 2 2 3 4" xfId="9460" xr:uid="{6F2C144A-7C99-4F58-9A4D-847B731C5974}"/>
    <cellStyle name="Normal 5 3 3 2 2 3 5" xfId="13671" xr:uid="{4D996FB6-B60E-43C8-A19F-A24371AAB2C2}"/>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20447" xr:uid="{08EFA5FE-E94D-41B0-A608-00E96CDF70D7}"/>
    <cellStyle name="Normal 5 3 3 2 2 4 2 3" xfId="12018" xr:uid="{9915B958-8851-4EFC-BCF1-692AEC760880}"/>
    <cellStyle name="Normal 5 3 3 2 2 4 2 4" xfId="16229" xr:uid="{049FBCE3-789D-4CE7-89A1-3EC0B3C55B5F}"/>
    <cellStyle name="Normal 5 3 3 2 2 4 3" xfId="5641" xr:uid="{00000000-0005-0000-0000-000093190000}"/>
    <cellStyle name="Normal 5 3 3 2 2 4 3 2" xfId="18302" xr:uid="{033C3216-E43E-4DB0-8CD1-9C2DBF8849B4}"/>
    <cellStyle name="Normal 5 3 3 2 2 4 4" xfId="9873" xr:uid="{B42105BB-37A7-43D2-8D83-08BBE0FCC937}"/>
    <cellStyle name="Normal 5 3 3 2 2 4 5" xfId="14084" xr:uid="{4ECF970F-7842-4431-BA81-6C295D5C1D81}"/>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20860" xr:uid="{3A3FAC37-D766-4FE1-94EE-468CAFE75A4B}"/>
    <cellStyle name="Normal 5 3 3 2 2 5 2 3" xfId="12431" xr:uid="{27BBBE60-8EDE-43C0-B620-971A1BF10AA6}"/>
    <cellStyle name="Normal 5 3 3 2 2 5 2 4" xfId="16642" xr:uid="{63FE01E7-DC8C-4DA8-BA88-4E7FF3BE3DDA}"/>
    <cellStyle name="Normal 5 3 3 2 2 5 3" xfId="6054" xr:uid="{00000000-0005-0000-0000-000097190000}"/>
    <cellStyle name="Normal 5 3 3 2 2 5 3 2" xfId="18715" xr:uid="{7973D833-747D-47FC-A0AF-F5954F9BB2B2}"/>
    <cellStyle name="Normal 5 3 3 2 2 5 4" xfId="10286" xr:uid="{CD6AFD45-69C3-4D8E-B4DD-1C104147AE64}"/>
    <cellStyle name="Normal 5 3 3 2 2 5 5" xfId="14497" xr:uid="{88B0A1CF-A49B-42D3-81CC-0A00399EFE6B}"/>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21273" xr:uid="{95A48262-7952-47E5-94C7-66846162478F}"/>
    <cellStyle name="Normal 5 3 3 2 2 6 2 3" xfId="12844" xr:uid="{59CABB2F-D182-41D3-B925-ED33F84C2888}"/>
    <cellStyle name="Normal 5 3 3 2 2 6 2 4" xfId="17055" xr:uid="{437E4DFB-1335-4029-9B78-E11E40E19347}"/>
    <cellStyle name="Normal 5 3 3 2 2 6 3" xfId="6467" xr:uid="{00000000-0005-0000-0000-00009B190000}"/>
    <cellStyle name="Normal 5 3 3 2 2 6 3 2" xfId="19128" xr:uid="{FF70668A-A941-4671-9559-70AB86BDE7C3}"/>
    <cellStyle name="Normal 5 3 3 2 2 6 4" xfId="10699" xr:uid="{C711F9E8-2E33-4629-B607-EC545629AD0C}"/>
    <cellStyle name="Normal 5 3 3 2 2 6 5" xfId="14910" xr:uid="{AD677DE3-2138-4F05-B803-13A064975C61}"/>
    <cellStyle name="Normal 5 3 3 2 2 7" xfId="2597" xr:uid="{00000000-0005-0000-0000-00009C190000}"/>
    <cellStyle name="Normal 5 3 3 2 2 7 2" xfId="6880" xr:uid="{00000000-0005-0000-0000-00009D190000}"/>
    <cellStyle name="Normal 5 3 3 2 2 7 2 2" xfId="19541" xr:uid="{34AE6348-EF14-47A1-8FB5-4403C5FAFB8D}"/>
    <cellStyle name="Normal 5 3 3 2 2 7 3" xfId="11112" xr:uid="{542C0DF8-3219-427B-94ED-9E3E513C2875}"/>
    <cellStyle name="Normal 5 3 3 2 2 7 4" xfId="15323" xr:uid="{BC750E79-DE7A-4555-A22B-D672A8B9C10E}"/>
    <cellStyle name="Normal 5 3 3 2 2 8" xfId="4815" xr:uid="{00000000-0005-0000-0000-00009E190000}"/>
    <cellStyle name="Normal 5 3 3 2 2 8 2" xfId="17476" xr:uid="{185A98F8-7DFA-4947-9EFA-F08B31094CFE}"/>
    <cellStyle name="Normal 5 3 3 2 2 9" xfId="9047" xr:uid="{DD0E1E44-12CC-4E81-8762-AC806922C324}"/>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20036" xr:uid="{A962DCD9-9EB0-4756-9117-8DF293804C09}"/>
    <cellStyle name="Normal 5 3 3 2 3 2 2 3" xfId="11607" xr:uid="{0554BE75-98DC-4DB1-A0DB-6C8806C90B71}"/>
    <cellStyle name="Normal 5 3 3 2 3 2 2 4" xfId="15818" xr:uid="{48A2BD8E-2507-4AD2-B723-56056BB01BE3}"/>
    <cellStyle name="Normal 5 3 3 2 3 2 3" xfId="5230" xr:uid="{00000000-0005-0000-0000-0000A3190000}"/>
    <cellStyle name="Normal 5 3 3 2 3 2 3 2" xfId="17891" xr:uid="{FE1531A6-5910-4DD7-AF35-FB182B32E71F}"/>
    <cellStyle name="Normal 5 3 3 2 3 2 4" xfId="9462" xr:uid="{83446BD9-07B8-4EE3-9821-0A22E6ECFE24}"/>
    <cellStyle name="Normal 5 3 3 2 3 2 5" xfId="13673" xr:uid="{8ED23DE3-6E7A-4E61-83E4-EA4C64898422}"/>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20449" xr:uid="{DDE551DA-0F7D-4FC7-B3B8-CD9C59A48EF0}"/>
    <cellStyle name="Normal 5 3 3 2 3 3 2 3" xfId="12020" xr:uid="{17A2B594-884D-4B3F-A393-08481953FE63}"/>
    <cellStyle name="Normal 5 3 3 2 3 3 2 4" xfId="16231" xr:uid="{8AE73D9D-83FD-4003-92AC-53AD668B72E0}"/>
    <cellStyle name="Normal 5 3 3 2 3 3 3" xfId="5643" xr:uid="{00000000-0005-0000-0000-0000A7190000}"/>
    <cellStyle name="Normal 5 3 3 2 3 3 3 2" xfId="18304" xr:uid="{A500A47E-682B-44A2-90D9-CAE0CAB56624}"/>
    <cellStyle name="Normal 5 3 3 2 3 3 4" xfId="9875" xr:uid="{726F00F4-2B8F-4516-A792-5144EEDF4723}"/>
    <cellStyle name="Normal 5 3 3 2 3 3 5" xfId="14086" xr:uid="{D0039A4B-CAFA-4004-BC94-B1CC3E63257F}"/>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20862" xr:uid="{CD249B86-1AAE-4B90-B1BC-7BACE9C06FA6}"/>
    <cellStyle name="Normal 5 3 3 2 3 4 2 3" xfId="12433" xr:uid="{7FD173C7-535D-402A-8547-3A8604D25F9A}"/>
    <cellStyle name="Normal 5 3 3 2 3 4 2 4" xfId="16644" xr:uid="{CBCE5114-6B17-4401-9824-DC74913229DB}"/>
    <cellStyle name="Normal 5 3 3 2 3 4 3" xfId="6056" xr:uid="{00000000-0005-0000-0000-0000AB190000}"/>
    <cellStyle name="Normal 5 3 3 2 3 4 3 2" xfId="18717" xr:uid="{2271F319-EC4F-4DCD-A463-D3446814AC3E}"/>
    <cellStyle name="Normal 5 3 3 2 3 4 4" xfId="10288" xr:uid="{7A662DCA-2C60-46FB-AB4B-AB01C0B52B26}"/>
    <cellStyle name="Normal 5 3 3 2 3 4 5" xfId="14499" xr:uid="{377F821F-4377-4D02-9F0D-7D19ED9F7313}"/>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21275" xr:uid="{EF87ED63-7604-407E-BD0E-035CB7466A66}"/>
    <cellStyle name="Normal 5 3 3 2 3 5 2 3" xfId="12846" xr:uid="{68AED4C4-A556-4DC9-8DB4-31A3E821BACC}"/>
    <cellStyle name="Normal 5 3 3 2 3 5 2 4" xfId="17057" xr:uid="{0114DC36-E49E-417B-A50D-179F3EFFDB8C}"/>
    <cellStyle name="Normal 5 3 3 2 3 5 3" xfId="6469" xr:uid="{00000000-0005-0000-0000-0000AF190000}"/>
    <cellStyle name="Normal 5 3 3 2 3 5 3 2" xfId="19130" xr:uid="{5D1FC315-0ED4-4BE3-B3B3-92A92721422E}"/>
    <cellStyle name="Normal 5 3 3 2 3 5 4" xfId="10701" xr:uid="{A154D53E-38EA-4BB3-BE66-6828CE64033C}"/>
    <cellStyle name="Normal 5 3 3 2 3 5 5" xfId="14912" xr:uid="{17B8BA80-5283-4C01-BF4B-083FB2B33CC4}"/>
    <cellStyle name="Normal 5 3 3 2 3 6" xfId="2599" xr:uid="{00000000-0005-0000-0000-0000B0190000}"/>
    <cellStyle name="Normal 5 3 3 2 3 6 2" xfId="6882" xr:uid="{00000000-0005-0000-0000-0000B1190000}"/>
    <cellStyle name="Normal 5 3 3 2 3 6 2 2" xfId="19543" xr:uid="{6F8B37D3-9032-4245-A340-EBC74F862626}"/>
    <cellStyle name="Normal 5 3 3 2 3 6 3" xfId="11114" xr:uid="{B7DF340E-FE17-4CF4-B56E-406492AACADC}"/>
    <cellStyle name="Normal 5 3 3 2 3 6 4" xfId="15325" xr:uid="{3609EC3E-0BCA-4BB1-81F1-A14DD881F723}"/>
    <cellStyle name="Normal 5 3 3 2 3 7" xfId="4817" xr:uid="{00000000-0005-0000-0000-0000B2190000}"/>
    <cellStyle name="Normal 5 3 3 2 3 7 2" xfId="17478" xr:uid="{20091BC1-C399-4BB7-89AC-E08A4629A757}"/>
    <cellStyle name="Normal 5 3 3 2 3 8" xfId="9049" xr:uid="{BA847DD6-DA82-4706-9F6A-0597F7DCB5FF}"/>
    <cellStyle name="Normal 5 3 3 2 3 9" xfId="13260" xr:uid="{A5D98CE5-38CB-4B59-B930-BD19FCDCEEAC}"/>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20033" xr:uid="{8673EBD4-B297-4885-BCE8-4A74C1B53EA3}"/>
    <cellStyle name="Normal 5 3 3 2 4 2 3" xfId="11604" xr:uid="{12D02045-D0EF-4001-8169-15CB06B8BADD}"/>
    <cellStyle name="Normal 5 3 3 2 4 2 4" xfId="15815" xr:uid="{D9DCC55D-046C-4007-8724-E84B1E93D7C7}"/>
    <cellStyle name="Normal 5 3 3 2 4 3" xfId="5227" xr:uid="{00000000-0005-0000-0000-0000B6190000}"/>
    <cellStyle name="Normal 5 3 3 2 4 3 2" xfId="17888" xr:uid="{0C8D5F6B-BFD1-4D16-8F52-293955A61DED}"/>
    <cellStyle name="Normal 5 3 3 2 4 4" xfId="9459" xr:uid="{44FD14C1-BCE7-4A51-9465-95C59D2E1A77}"/>
    <cellStyle name="Normal 5 3 3 2 4 5" xfId="13670" xr:uid="{BF198C3D-D091-4CE0-A656-6645FFBCECA7}"/>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20446" xr:uid="{797A2FE4-C912-40B1-9CF5-E3393499C9D6}"/>
    <cellStyle name="Normal 5 3 3 2 5 2 3" xfId="12017" xr:uid="{10271ABC-614F-461B-B621-145BBBAD619B}"/>
    <cellStyle name="Normal 5 3 3 2 5 2 4" xfId="16228" xr:uid="{5DB15023-9473-47C6-A08A-9C1C31DE4ECC}"/>
    <cellStyle name="Normal 5 3 3 2 5 3" xfId="5640" xr:uid="{00000000-0005-0000-0000-0000BA190000}"/>
    <cellStyle name="Normal 5 3 3 2 5 3 2" xfId="18301" xr:uid="{E9A955B9-EFDC-4888-97E3-A46B6AB35339}"/>
    <cellStyle name="Normal 5 3 3 2 5 4" xfId="9872" xr:uid="{D8B74E9B-8666-4638-80D0-4E9B124124AA}"/>
    <cellStyle name="Normal 5 3 3 2 5 5" xfId="14083" xr:uid="{6E35B00F-7596-456F-A33B-82ECCDF0EB49}"/>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20859" xr:uid="{51D27243-F340-4F5E-8A02-42EAABC788BE}"/>
    <cellStyle name="Normal 5 3 3 2 6 2 3" xfId="12430" xr:uid="{5A851C5A-736A-4964-97AE-6E5BA8D2C52E}"/>
    <cellStyle name="Normal 5 3 3 2 6 2 4" xfId="16641" xr:uid="{0552AC59-6218-4CCF-8E2A-B96B2AADB38D}"/>
    <cellStyle name="Normal 5 3 3 2 6 3" xfId="6053" xr:uid="{00000000-0005-0000-0000-0000BE190000}"/>
    <cellStyle name="Normal 5 3 3 2 6 3 2" xfId="18714" xr:uid="{2C56BD61-7A91-46AE-977D-1E2C5F55E2FD}"/>
    <cellStyle name="Normal 5 3 3 2 6 4" xfId="10285" xr:uid="{7DF08A0E-9041-43BF-9BD1-9E3B2CDEBAEE}"/>
    <cellStyle name="Normal 5 3 3 2 6 5" xfId="14496" xr:uid="{E1147976-3A9F-4633-8F2B-0F29A532E9E0}"/>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21272" xr:uid="{A3BE75B3-BD3F-4BA1-8DCF-5AFA4EBEA09A}"/>
    <cellStyle name="Normal 5 3 3 2 7 2 3" xfId="12843" xr:uid="{3A7823F8-7B44-4376-8DF0-E7E4D10D73B6}"/>
    <cellStyle name="Normal 5 3 3 2 7 2 4" xfId="17054" xr:uid="{90FCBCA0-A41B-4CBF-9AFE-07D9EC9EE62B}"/>
    <cellStyle name="Normal 5 3 3 2 7 3" xfId="6466" xr:uid="{00000000-0005-0000-0000-0000C2190000}"/>
    <cellStyle name="Normal 5 3 3 2 7 3 2" xfId="19127" xr:uid="{45D21176-2BEF-4013-8065-EA137B7A703D}"/>
    <cellStyle name="Normal 5 3 3 2 7 4" xfId="10698" xr:uid="{C186BF40-96BA-44D2-9E8E-7AD76D3CD85D}"/>
    <cellStyle name="Normal 5 3 3 2 7 5" xfId="14909" xr:uid="{E457109F-3AFF-4312-82D8-F3E331988908}"/>
    <cellStyle name="Normal 5 3 3 2 8" xfId="2596" xr:uid="{00000000-0005-0000-0000-0000C3190000}"/>
    <cellStyle name="Normal 5 3 3 2 8 2" xfId="6879" xr:uid="{00000000-0005-0000-0000-0000C4190000}"/>
    <cellStyle name="Normal 5 3 3 2 8 2 2" xfId="19540" xr:uid="{530B72E6-0BD3-421F-B6C9-B62F571A1B11}"/>
    <cellStyle name="Normal 5 3 3 2 8 3" xfId="11111" xr:uid="{B8E51252-DBF7-4163-A429-34E2843C0149}"/>
    <cellStyle name="Normal 5 3 3 2 8 4" xfId="15322" xr:uid="{3039D1AB-1410-426D-954F-ADD4E999373D}"/>
    <cellStyle name="Normal 5 3 3 2 9" xfId="4814" xr:uid="{00000000-0005-0000-0000-0000C5190000}"/>
    <cellStyle name="Normal 5 3 3 2 9 2" xfId="17475" xr:uid="{C5E66567-8C26-4865-887B-B6ACFA03A6DB}"/>
    <cellStyle name="Normal 5 3 3 3" xfId="446" xr:uid="{00000000-0005-0000-0000-0000C6190000}"/>
    <cellStyle name="Normal 5 3 3 3 10" xfId="13261" xr:uid="{8486FD0C-ADD1-4DCF-A657-52B93FA6B2CE}"/>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20038" xr:uid="{7D8F54E2-AC58-484B-88A6-2CBB0EAF79EA}"/>
    <cellStyle name="Normal 5 3 3 3 2 2 2 3" xfId="11609" xr:uid="{CC5FBEFC-A591-473C-9704-0E756C5EB54C}"/>
    <cellStyle name="Normal 5 3 3 3 2 2 2 4" xfId="15820" xr:uid="{133630C0-9CD6-4DA6-B0C8-DFEE9E980876}"/>
    <cellStyle name="Normal 5 3 3 3 2 2 3" xfId="5232" xr:uid="{00000000-0005-0000-0000-0000CB190000}"/>
    <cellStyle name="Normal 5 3 3 3 2 2 3 2" xfId="17893" xr:uid="{7FDC2344-1830-47D5-83EA-EDA3E5F1F9DB}"/>
    <cellStyle name="Normal 5 3 3 3 2 2 4" xfId="9464" xr:uid="{03A2FEEB-2522-4C1C-8B2F-EB68B9B89E53}"/>
    <cellStyle name="Normal 5 3 3 3 2 2 5" xfId="13675" xr:uid="{E5F48C04-BC88-42DF-AE97-CC7049AD4687}"/>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20451" xr:uid="{8547E7E5-53E3-4A70-85F9-2183430DC376}"/>
    <cellStyle name="Normal 5 3 3 3 2 3 2 3" xfId="12022" xr:uid="{A8D23B3F-ED07-4110-9D6A-E24F7953DE6D}"/>
    <cellStyle name="Normal 5 3 3 3 2 3 2 4" xfId="16233" xr:uid="{A8FAD4FA-063E-472A-8662-C4FA224FF20E}"/>
    <cellStyle name="Normal 5 3 3 3 2 3 3" xfId="5645" xr:uid="{00000000-0005-0000-0000-0000CF190000}"/>
    <cellStyle name="Normal 5 3 3 3 2 3 3 2" xfId="18306" xr:uid="{12E9E245-3249-4786-ADCF-6CC476FDC24E}"/>
    <cellStyle name="Normal 5 3 3 3 2 3 4" xfId="9877" xr:uid="{B09FF7FE-DF5A-4CD0-A141-E15EEC65139C}"/>
    <cellStyle name="Normal 5 3 3 3 2 3 5" xfId="14088" xr:uid="{CEBBE94C-8E6C-4148-B293-068AE2DF021E}"/>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20864" xr:uid="{1BE9CFE7-21A8-4E89-93A7-BDCE247847C7}"/>
    <cellStyle name="Normal 5 3 3 3 2 4 2 3" xfId="12435" xr:uid="{F4EAAD75-E9ED-4014-A65C-6A3D3B733B43}"/>
    <cellStyle name="Normal 5 3 3 3 2 4 2 4" xfId="16646" xr:uid="{2E9B9B87-712D-4BB9-A0F0-8C7918CACF3B}"/>
    <cellStyle name="Normal 5 3 3 3 2 4 3" xfId="6058" xr:uid="{00000000-0005-0000-0000-0000D3190000}"/>
    <cellStyle name="Normal 5 3 3 3 2 4 3 2" xfId="18719" xr:uid="{57BCC291-B916-4586-B97D-288FDDD2E57B}"/>
    <cellStyle name="Normal 5 3 3 3 2 4 4" xfId="10290" xr:uid="{44CC3679-450A-422D-AEFA-087814CE275B}"/>
    <cellStyle name="Normal 5 3 3 3 2 4 5" xfId="14501" xr:uid="{2DDAE785-72F0-49E8-B9A9-008CBC1637B5}"/>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21277" xr:uid="{D47BA62D-16A7-4002-8388-D08C43BA36EA}"/>
    <cellStyle name="Normal 5 3 3 3 2 5 2 3" xfId="12848" xr:uid="{00DCD063-EFB3-4E10-BEF1-7B33BB502614}"/>
    <cellStyle name="Normal 5 3 3 3 2 5 2 4" xfId="17059" xr:uid="{B3723FED-D656-49FB-A744-1A2210C10BB6}"/>
    <cellStyle name="Normal 5 3 3 3 2 5 3" xfId="6471" xr:uid="{00000000-0005-0000-0000-0000D7190000}"/>
    <cellStyle name="Normal 5 3 3 3 2 5 3 2" xfId="19132" xr:uid="{29652959-D7B4-4B1A-9DBC-CEA688C7233E}"/>
    <cellStyle name="Normal 5 3 3 3 2 5 4" xfId="10703" xr:uid="{265BD6B6-E318-4DC9-8A13-240C8E91D39B}"/>
    <cellStyle name="Normal 5 3 3 3 2 5 5" xfId="14914" xr:uid="{6C740AB1-D971-4B65-9AD6-0914D094921E}"/>
    <cellStyle name="Normal 5 3 3 3 2 6" xfId="2601" xr:uid="{00000000-0005-0000-0000-0000D8190000}"/>
    <cellStyle name="Normal 5 3 3 3 2 6 2" xfId="6884" xr:uid="{00000000-0005-0000-0000-0000D9190000}"/>
    <cellStyle name="Normal 5 3 3 3 2 6 2 2" xfId="19545" xr:uid="{34DEB344-DF35-43FB-B410-972E79BA5D70}"/>
    <cellStyle name="Normal 5 3 3 3 2 6 3" xfId="11116" xr:uid="{D337A9BC-E34C-4101-B37D-6D195FA20AA5}"/>
    <cellStyle name="Normal 5 3 3 3 2 6 4" xfId="15327" xr:uid="{C43459E4-DF12-4D9A-A7A9-FFC0E2D86030}"/>
    <cellStyle name="Normal 5 3 3 3 2 7" xfId="4819" xr:uid="{00000000-0005-0000-0000-0000DA190000}"/>
    <cellStyle name="Normal 5 3 3 3 2 7 2" xfId="17480" xr:uid="{B6DF15C2-1425-420B-A1E5-3A1BD64E3802}"/>
    <cellStyle name="Normal 5 3 3 3 2 8" xfId="9051" xr:uid="{9044E565-C659-43DB-A01D-B89270330D07}"/>
    <cellStyle name="Normal 5 3 3 3 2 9" xfId="13262" xr:uid="{07A41A13-BCE1-40FB-9FA5-E6E94E6B7AC0}"/>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20037" xr:uid="{7BBF8C41-74D9-442F-83AF-3E2E87624950}"/>
    <cellStyle name="Normal 5 3 3 3 3 2 3" xfId="11608" xr:uid="{1CC8A9E6-9283-4368-AD9C-AAB2FE6E22D1}"/>
    <cellStyle name="Normal 5 3 3 3 3 2 4" xfId="15819" xr:uid="{08787287-43D8-4D56-9D83-35E99197054D}"/>
    <cellStyle name="Normal 5 3 3 3 3 3" xfId="5231" xr:uid="{00000000-0005-0000-0000-0000DE190000}"/>
    <cellStyle name="Normal 5 3 3 3 3 3 2" xfId="17892" xr:uid="{50A020B7-B4F9-463B-A566-8E799732558F}"/>
    <cellStyle name="Normal 5 3 3 3 3 4" xfId="9463" xr:uid="{6FF640F9-EAB7-49CD-BC71-00B7421C2ED2}"/>
    <cellStyle name="Normal 5 3 3 3 3 5" xfId="13674" xr:uid="{D152AE41-8012-4E58-AED9-7087914A2A47}"/>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20450" xr:uid="{E762723B-2DE7-46CF-AD6D-C4978A8A65DE}"/>
    <cellStyle name="Normal 5 3 3 3 4 2 3" xfId="12021" xr:uid="{CB7BD233-C1A1-4FC0-9298-67846B43E46A}"/>
    <cellStyle name="Normal 5 3 3 3 4 2 4" xfId="16232" xr:uid="{1D8E6643-9AC2-4BDD-B69E-4FF8B9B97BAA}"/>
    <cellStyle name="Normal 5 3 3 3 4 3" xfId="5644" xr:uid="{00000000-0005-0000-0000-0000E2190000}"/>
    <cellStyle name="Normal 5 3 3 3 4 3 2" xfId="18305" xr:uid="{8DAFD3A2-2B55-42D1-8071-F0416F2CD896}"/>
    <cellStyle name="Normal 5 3 3 3 4 4" xfId="9876" xr:uid="{9565ADC4-671D-4E99-A71F-0EA2867D6204}"/>
    <cellStyle name="Normal 5 3 3 3 4 5" xfId="14087" xr:uid="{F6BB6095-322D-4F20-A578-43530DF52AA4}"/>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20863" xr:uid="{2F298CCE-17BB-43CC-8A00-C6657EC2BA8F}"/>
    <cellStyle name="Normal 5 3 3 3 5 2 3" xfId="12434" xr:uid="{E5F91188-BA88-493E-8528-49A4CC85581B}"/>
    <cellStyle name="Normal 5 3 3 3 5 2 4" xfId="16645" xr:uid="{CA30CBB7-1FDF-49D4-9628-45683C0062C3}"/>
    <cellStyle name="Normal 5 3 3 3 5 3" xfId="6057" xr:uid="{00000000-0005-0000-0000-0000E6190000}"/>
    <cellStyle name="Normal 5 3 3 3 5 3 2" xfId="18718" xr:uid="{E3B5B51D-1021-48A1-9FB9-49AD3CDB21D0}"/>
    <cellStyle name="Normal 5 3 3 3 5 4" xfId="10289" xr:uid="{838B6BA7-45C4-415A-A965-63BFCC541620}"/>
    <cellStyle name="Normal 5 3 3 3 5 5" xfId="14500" xr:uid="{3123078C-CF33-40EA-A2F1-49047D8F9E93}"/>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21276" xr:uid="{9953E62E-D317-4358-92B3-3A780DACAB9E}"/>
    <cellStyle name="Normal 5 3 3 3 6 2 3" xfId="12847" xr:uid="{4D6DBFB4-04C7-4BC2-9C38-E0450517CFAE}"/>
    <cellStyle name="Normal 5 3 3 3 6 2 4" xfId="17058" xr:uid="{6ADCC2E8-F075-4078-AD4D-F852F7D26CAD}"/>
    <cellStyle name="Normal 5 3 3 3 6 3" xfId="6470" xr:uid="{00000000-0005-0000-0000-0000EA190000}"/>
    <cellStyle name="Normal 5 3 3 3 6 3 2" xfId="19131" xr:uid="{4918B25F-12C5-4A50-AF2F-CBC592DDDAB6}"/>
    <cellStyle name="Normal 5 3 3 3 6 4" xfId="10702" xr:uid="{56CE8F2D-2DB0-40EF-96B2-398A6EB8DD4D}"/>
    <cellStyle name="Normal 5 3 3 3 6 5" xfId="14913" xr:uid="{0AE11C9B-AF2B-4D36-8651-D0CD910DFE3B}"/>
    <cellStyle name="Normal 5 3 3 3 7" xfId="2600" xr:uid="{00000000-0005-0000-0000-0000EB190000}"/>
    <cellStyle name="Normal 5 3 3 3 7 2" xfId="6883" xr:uid="{00000000-0005-0000-0000-0000EC190000}"/>
    <cellStyle name="Normal 5 3 3 3 7 2 2" xfId="19544" xr:uid="{0511FC99-51D9-4B1A-B307-502B3D98783F}"/>
    <cellStyle name="Normal 5 3 3 3 7 3" xfId="11115" xr:uid="{25B4105C-17E0-4394-A518-E352215B462C}"/>
    <cellStyle name="Normal 5 3 3 3 7 4" xfId="15326" xr:uid="{B2CB7E43-3328-426A-9D97-E359784CADA4}"/>
    <cellStyle name="Normal 5 3 3 3 8" xfId="4818" xr:uid="{00000000-0005-0000-0000-0000ED190000}"/>
    <cellStyle name="Normal 5 3 3 3 8 2" xfId="17479" xr:uid="{21DF8329-6825-4A42-8B84-8328643DD60B}"/>
    <cellStyle name="Normal 5 3 3 3 9" xfId="9050" xr:uid="{118D37B4-BAE5-4F0C-AB66-FBA8E666BBE9}"/>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20039" xr:uid="{A2BD9688-C75C-4F5D-BB5C-45DB6D37B4B4}"/>
    <cellStyle name="Normal 5 3 3 4 2 2 3" xfId="11610" xr:uid="{FD3644AF-523D-4D08-8243-99695F7116B4}"/>
    <cellStyle name="Normal 5 3 3 4 2 2 4" xfId="15821" xr:uid="{0FDB0C69-ADB3-4BFB-8151-30BB8D72ADD8}"/>
    <cellStyle name="Normal 5 3 3 4 2 3" xfId="5233" xr:uid="{00000000-0005-0000-0000-0000F2190000}"/>
    <cellStyle name="Normal 5 3 3 4 2 3 2" xfId="17894" xr:uid="{2FE1C4AD-7C99-423A-B02A-7E58564AD389}"/>
    <cellStyle name="Normal 5 3 3 4 2 4" xfId="9465" xr:uid="{B186DE48-DCB4-4012-9EEE-E29F3C74D61E}"/>
    <cellStyle name="Normal 5 3 3 4 2 5" xfId="13676" xr:uid="{C2B3E7DD-5C9B-4EFD-B66C-630DF72EFFA5}"/>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20452" xr:uid="{4CFFD0C1-2508-43D1-9E5D-480DBA686C14}"/>
    <cellStyle name="Normal 5 3 3 4 3 2 3" xfId="12023" xr:uid="{E6530304-A7D2-4728-A67F-797036966CD3}"/>
    <cellStyle name="Normal 5 3 3 4 3 2 4" xfId="16234" xr:uid="{CE7DB35A-4F14-4942-AA94-B8CA0E8D8879}"/>
    <cellStyle name="Normal 5 3 3 4 3 3" xfId="5646" xr:uid="{00000000-0005-0000-0000-0000F6190000}"/>
    <cellStyle name="Normal 5 3 3 4 3 3 2" xfId="18307" xr:uid="{8010A8F1-FE12-483F-A9E3-AB6E9033D797}"/>
    <cellStyle name="Normal 5 3 3 4 3 4" xfId="9878" xr:uid="{8A88736D-0804-48AA-8C4C-7C21288FDF65}"/>
    <cellStyle name="Normal 5 3 3 4 3 5" xfId="14089" xr:uid="{EBD1FDD3-2AEB-493B-A0FC-6A92D9E3642A}"/>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20865" xr:uid="{DD8DBA48-6DA7-4AFD-8192-21A5E1817967}"/>
    <cellStyle name="Normal 5 3 3 4 4 2 3" xfId="12436" xr:uid="{53134B6C-EF39-4C06-BEFB-F6663C54B7CE}"/>
    <cellStyle name="Normal 5 3 3 4 4 2 4" xfId="16647" xr:uid="{459AA80C-7FD1-4326-AFD1-765FBC22284C}"/>
    <cellStyle name="Normal 5 3 3 4 4 3" xfId="6059" xr:uid="{00000000-0005-0000-0000-0000FA190000}"/>
    <cellStyle name="Normal 5 3 3 4 4 3 2" xfId="18720" xr:uid="{213F32B3-768D-4467-B865-AEFE64F7EEC4}"/>
    <cellStyle name="Normal 5 3 3 4 4 4" xfId="10291" xr:uid="{774A3CAD-8740-400E-BB73-D4E86DBCA90B}"/>
    <cellStyle name="Normal 5 3 3 4 4 5" xfId="14502" xr:uid="{4ECDF98A-CFF1-46F5-90AE-10F538E2A8B1}"/>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21278" xr:uid="{6E162042-5F8A-4CBA-9F23-B9522F993E19}"/>
    <cellStyle name="Normal 5 3 3 4 5 2 3" xfId="12849" xr:uid="{331C17A8-4B1D-446D-9BEC-441B139B0FD4}"/>
    <cellStyle name="Normal 5 3 3 4 5 2 4" xfId="17060" xr:uid="{71C46E94-254A-4DFF-A3FC-AD2828CB599A}"/>
    <cellStyle name="Normal 5 3 3 4 5 3" xfId="6472" xr:uid="{00000000-0005-0000-0000-0000FE190000}"/>
    <cellStyle name="Normal 5 3 3 4 5 3 2" xfId="19133" xr:uid="{F2EFF5E5-09FA-4DB7-BE72-695516B1B5D6}"/>
    <cellStyle name="Normal 5 3 3 4 5 4" xfId="10704" xr:uid="{FE3E7E04-3AEA-4FEB-B332-1B71755B8CCD}"/>
    <cellStyle name="Normal 5 3 3 4 5 5" xfId="14915" xr:uid="{BF61BC09-9106-4D66-90E2-7A81391EC5B7}"/>
    <cellStyle name="Normal 5 3 3 4 6" xfId="2602" xr:uid="{00000000-0005-0000-0000-0000FF190000}"/>
    <cellStyle name="Normal 5 3 3 4 6 2" xfId="6885" xr:uid="{00000000-0005-0000-0000-0000001A0000}"/>
    <cellStyle name="Normal 5 3 3 4 6 2 2" xfId="19546" xr:uid="{9951D9A7-32BD-42D8-BBB9-31330F6377DA}"/>
    <cellStyle name="Normal 5 3 3 4 6 3" xfId="11117" xr:uid="{D5C7EB48-BB6E-417C-B7B0-FFAD062A8D56}"/>
    <cellStyle name="Normal 5 3 3 4 6 4" xfId="15328" xr:uid="{78A64F3C-39D5-43BE-8B17-998A9D2F1616}"/>
    <cellStyle name="Normal 5 3 3 4 7" xfId="4820" xr:uid="{00000000-0005-0000-0000-0000011A0000}"/>
    <cellStyle name="Normal 5 3 3 4 7 2" xfId="17481" xr:uid="{C7C26946-D15C-4846-B21E-FE187EF7D3DF}"/>
    <cellStyle name="Normal 5 3 3 4 8" xfId="9052" xr:uid="{440A4FEC-45CD-40A0-A9BF-924270DF7FB6}"/>
    <cellStyle name="Normal 5 3 3 4 9" xfId="13263" xr:uid="{5A133E58-8B4C-4FC7-A198-19AC95CCA169}"/>
    <cellStyle name="Normal 5 3 3 5" xfId="915" xr:uid="{00000000-0005-0000-0000-0000021A0000}"/>
    <cellStyle name="Normal 5 3 3 5 2" xfId="3149" xr:uid="{00000000-0005-0000-0000-0000031A0000}"/>
    <cellStyle name="Normal 5 3 3 5 2 2" xfId="7371" xr:uid="{00000000-0005-0000-0000-0000041A0000}"/>
    <cellStyle name="Normal 5 3 3 5 2 2 2" xfId="20032" xr:uid="{98E228EA-6EBB-41F4-8AB0-96D507B9B7E4}"/>
    <cellStyle name="Normal 5 3 3 5 2 3" xfId="11603" xr:uid="{4DD9EB99-E3C8-402D-8A91-62CCF7EDBB29}"/>
    <cellStyle name="Normal 5 3 3 5 2 4" xfId="15814" xr:uid="{20DD0DB7-E956-45ED-88AE-E370B3A8BDF8}"/>
    <cellStyle name="Normal 5 3 3 5 3" xfId="5226" xr:uid="{00000000-0005-0000-0000-0000051A0000}"/>
    <cellStyle name="Normal 5 3 3 5 3 2" xfId="17887" xr:uid="{E9E64170-BAF7-4AB8-A209-3ABE7254C9A2}"/>
    <cellStyle name="Normal 5 3 3 5 4" xfId="9458" xr:uid="{B465FB8D-6B61-41A4-8C3C-FE65387A390A}"/>
    <cellStyle name="Normal 5 3 3 5 5" xfId="13669" xr:uid="{9F0700A0-9853-4F9E-982F-07804562C5E3}"/>
    <cellStyle name="Normal 5 3 3 6" xfId="1332" xr:uid="{00000000-0005-0000-0000-0000061A0000}"/>
    <cellStyle name="Normal 5 3 3 6 2" xfId="3562" xr:uid="{00000000-0005-0000-0000-0000071A0000}"/>
    <cellStyle name="Normal 5 3 3 6 2 2" xfId="7784" xr:uid="{00000000-0005-0000-0000-0000081A0000}"/>
    <cellStyle name="Normal 5 3 3 6 2 2 2" xfId="20445" xr:uid="{9D770CC5-7076-4888-A034-AD8AC9012934}"/>
    <cellStyle name="Normal 5 3 3 6 2 3" xfId="12016" xr:uid="{9DDBEABE-8129-4599-A2A2-1D83096E0F51}"/>
    <cellStyle name="Normal 5 3 3 6 2 4" xfId="16227" xr:uid="{B62EF2EE-A8A9-4986-B523-0E620FDAD887}"/>
    <cellStyle name="Normal 5 3 3 6 3" xfId="5639" xr:uid="{00000000-0005-0000-0000-0000091A0000}"/>
    <cellStyle name="Normal 5 3 3 6 3 2" xfId="18300" xr:uid="{5122A270-6547-4528-9C78-6AACF0022204}"/>
    <cellStyle name="Normal 5 3 3 6 4" xfId="9871" xr:uid="{6F1712BD-9ABC-44D0-AEC1-76ED233784C6}"/>
    <cellStyle name="Normal 5 3 3 6 5" xfId="14082" xr:uid="{8CCBF053-880A-4C8A-B191-BE0755BC2902}"/>
    <cellStyle name="Normal 5 3 3 7" xfId="1745" xr:uid="{00000000-0005-0000-0000-00000A1A0000}"/>
    <cellStyle name="Normal 5 3 3 7 2" xfId="3975" xr:uid="{00000000-0005-0000-0000-00000B1A0000}"/>
    <cellStyle name="Normal 5 3 3 7 2 2" xfId="8197" xr:uid="{00000000-0005-0000-0000-00000C1A0000}"/>
    <cellStyle name="Normal 5 3 3 7 2 2 2" xfId="20858" xr:uid="{F3C0734B-6515-4CEF-92E3-1D4CB82E556A}"/>
    <cellStyle name="Normal 5 3 3 7 2 3" xfId="12429" xr:uid="{BD97D643-5D0D-4237-BE7B-526F8CD166F1}"/>
    <cellStyle name="Normal 5 3 3 7 2 4" xfId="16640" xr:uid="{278F9DD2-0B30-4D71-B3DC-E03FD97554F9}"/>
    <cellStyle name="Normal 5 3 3 7 3" xfId="6052" xr:uid="{00000000-0005-0000-0000-00000D1A0000}"/>
    <cellStyle name="Normal 5 3 3 7 3 2" xfId="18713" xr:uid="{BE913E72-E6E9-480C-962E-0DDDBCFE920E}"/>
    <cellStyle name="Normal 5 3 3 7 4" xfId="10284" xr:uid="{DFE85A44-F4D4-4F20-B485-09F36723642C}"/>
    <cellStyle name="Normal 5 3 3 7 5" xfId="14495" xr:uid="{E2C123A6-4D22-4DD6-97FA-F4772F759381}"/>
    <cellStyle name="Normal 5 3 3 8" xfId="2159" xr:uid="{00000000-0005-0000-0000-00000E1A0000}"/>
    <cellStyle name="Normal 5 3 3 8 2" xfId="4388" xr:uid="{00000000-0005-0000-0000-00000F1A0000}"/>
    <cellStyle name="Normal 5 3 3 8 2 2" xfId="8610" xr:uid="{00000000-0005-0000-0000-0000101A0000}"/>
    <cellStyle name="Normal 5 3 3 8 2 2 2" xfId="21271" xr:uid="{2F10D7DF-3BAF-4D4C-815E-39D4A9290DC7}"/>
    <cellStyle name="Normal 5 3 3 8 2 3" xfId="12842" xr:uid="{894F8790-8F9E-4900-9739-E26FDB4EB272}"/>
    <cellStyle name="Normal 5 3 3 8 2 4" xfId="17053" xr:uid="{245D3930-C03C-4090-A06D-19EB7957296D}"/>
    <cellStyle name="Normal 5 3 3 8 3" xfId="6465" xr:uid="{00000000-0005-0000-0000-0000111A0000}"/>
    <cellStyle name="Normal 5 3 3 8 3 2" xfId="19126" xr:uid="{7B2FB197-1D28-4D0E-8AFF-12878AE9394A}"/>
    <cellStyle name="Normal 5 3 3 8 4" xfId="10697" xr:uid="{6EE9E714-7EAA-4F56-9E62-6AC8445C97F3}"/>
    <cellStyle name="Normal 5 3 3 8 5" xfId="14908" xr:uid="{5FC65F37-32A7-40BE-8199-646AB48A31D5}"/>
    <cellStyle name="Normal 5 3 3 9" xfId="2595" xr:uid="{00000000-0005-0000-0000-0000121A0000}"/>
    <cellStyle name="Normal 5 3 3 9 2" xfId="6878" xr:uid="{00000000-0005-0000-0000-0000131A0000}"/>
    <cellStyle name="Normal 5 3 3 9 2 2" xfId="19539" xr:uid="{8545F64B-DD64-4E99-BFA1-B1CB5AC6B3C8}"/>
    <cellStyle name="Normal 5 3 3 9 3" xfId="11110" xr:uid="{C44A7379-F960-405F-ADBA-76C789CAED19}"/>
    <cellStyle name="Normal 5 3 3 9 4" xfId="15321" xr:uid="{20BD06EA-7CCD-4DF0-9865-F83DF260DCBF}"/>
    <cellStyle name="Normal 5 3 4" xfId="449" xr:uid="{00000000-0005-0000-0000-0000141A0000}"/>
    <cellStyle name="Normal 5 3 4 10" xfId="9053" xr:uid="{C12F2CAE-ADEB-44CF-93C4-3088CCE29DDF}"/>
    <cellStyle name="Normal 5 3 4 11" xfId="13264" xr:uid="{8C06DB9A-CDA0-4F84-9E48-1C8DB821D3C7}"/>
    <cellStyle name="Normal 5 3 4 2" xfId="450" xr:uid="{00000000-0005-0000-0000-0000151A0000}"/>
    <cellStyle name="Normal 5 3 4 2 10" xfId="13265" xr:uid="{9673592E-3737-475B-99D0-7170F14BAA37}"/>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20042" xr:uid="{DE946BA0-AC83-44C3-818C-BD7BEE263ACC}"/>
    <cellStyle name="Normal 5 3 4 2 2 2 2 3" xfId="11613" xr:uid="{A4316DE3-5B00-44B4-B95A-96895D394BDA}"/>
    <cellStyle name="Normal 5 3 4 2 2 2 2 4" xfId="15824" xr:uid="{8249CC92-05A3-4CE8-8485-C47D0A642766}"/>
    <cellStyle name="Normal 5 3 4 2 2 2 3" xfId="5236" xr:uid="{00000000-0005-0000-0000-00001A1A0000}"/>
    <cellStyle name="Normal 5 3 4 2 2 2 3 2" xfId="17897" xr:uid="{3DBC91E2-BD30-45A3-9EF2-82873CF8D500}"/>
    <cellStyle name="Normal 5 3 4 2 2 2 4" xfId="9468" xr:uid="{1CA66C7C-6A7B-412D-926F-8304FD06CBCE}"/>
    <cellStyle name="Normal 5 3 4 2 2 2 5" xfId="13679" xr:uid="{7E9AC7A2-D7CC-478D-BB84-D62EFFC256D8}"/>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20455" xr:uid="{BA963B3A-E63C-46C6-906A-B4FADC56BCB1}"/>
    <cellStyle name="Normal 5 3 4 2 2 3 2 3" xfId="12026" xr:uid="{4CDC59F7-B4CA-4E2C-8686-A4A69F742F6A}"/>
    <cellStyle name="Normal 5 3 4 2 2 3 2 4" xfId="16237" xr:uid="{D2F01F3D-D1CE-49FB-9068-61BF78DEFAE3}"/>
    <cellStyle name="Normal 5 3 4 2 2 3 3" xfId="5649" xr:uid="{00000000-0005-0000-0000-00001E1A0000}"/>
    <cellStyle name="Normal 5 3 4 2 2 3 3 2" xfId="18310" xr:uid="{487244AF-3707-442B-98AC-4E36C466F5C5}"/>
    <cellStyle name="Normal 5 3 4 2 2 3 4" xfId="9881" xr:uid="{F78CB2EA-718A-4E20-96FA-9C9BDD04E089}"/>
    <cellStyle name="Normal 5 3 4 2 2 3 5" xfId="14092" xr:uid="{65EAE177-8A74-4E07-B00F-DC25C95D33B7}"/>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20868" xr:uid="{EEF3223B-1B39-49C2-AF17-BC7AF3D0938E}"/>
    <cellStyle name="Normal 5 3 4 2 2 4 2 3" xfId="12439" xr:uid="{D4A64062-C0EF-4EA0-8070-5D1C618F3F09}"/>
    <cellStyle name="Normal 5 3 4 2 2 4 2 4" xfId="16650" xr:uid="{ADC52019-8A8F-4067-974B-9714AE108D40}"/>
    <cellStyle name="Normal 5 3 4 2 2 4 3" xfId="6062" xr:uid="{00000000-0005-0000-0000-0000221A0000}"/>
    <cellStyle name="Normal 5 3 4 2 2 4 3 2" xfId="18723" xr:uid="{0C694E97-F304-4363-9EE4-7206DD3ACD02}"/>
    <cellStyle name="Normal 5 3 4 2 2 4 4" xfId="10294" xr:uid="{917B1356-530C-41FF-8599-FF2C1E5E6784}"/>
    <cellStyle name="Normal 5 3 4 2 2 4 5" xfId="14505" xr:uid="{1E425FBC-8EE2-49AC-9005-BD42EF3EC0C5}"/>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21281" xr:uid="{14D1ADB1-5FAA-4224-9A4A-7A4F3CF4BAC9}"/>
    <cellStyle name="Normal 5 3 4 2 2 5 2 3" xfId="12852" xr:uid="{0FB77A5F-F181-476E-8E90-DF29ADC5C64C}"/>
    <cellStyle name="Normal 5 3 4 2 2 5 2 4" xfId="17063" xr:uid="{EE93756A-E071-4871-BEDE-68AB466311FE}"/>
    <cellStyle name="Normal 5 3 4 2 2 5 3" xfId="6475" xr:uid="{00000000-0005-0000-0000-0000261A0000}"/>
    <cellStyle name="Normal 5 3 4 2 2 5 3 2" xfId="19136" xr:uid="{B8CF3C49-50BA-4F03-8218-9C2A24501EAD}"/>
    <cellStyle name="Normal 5 3 4 2 2 5 4" xfId="10707" xr:uid="{067B49DD-7AEF-48DD-A467-932294A2F41F}"/>
    <cellStyle name="Normal 5 3 4 2 2 5 5" xfId="14918" xr:uid="{6B968563-DEF8-435C-97E6-7E0885B0E968}"/>
    <cellStyle name="Normal 5 3 4 2 2 6" xfId="2605" xr:uid="{00000000-0005-0000-0000-0000271A0000}"/>
    <cellStyle name="Normal 5 3 4 2 2 6 2" xfId="6888" xr:uid="{00000000-0005-0000-0000-0000281A0000}"/>
    <cellStyle name="Normal 5 3 4 2 2 6 2 2" xfId="19549" xr:uid="{213D889F-E6D6-4DA7-93B1-5976A9889F52}"/>
    <cellStyle name="Normal 5 3 4 2 2 6 3" xfId="11120" xr:uid="{A1DE5D58-2D96-4C9E-AFD0-CC087CB6B332}"/>
    <cellStyle name="Normal 5 3 4 2 2 6 4" xfId="15331" xr:uid="{790DA8E2-A35A-4111-8964-AEA4B0F748E1}"/>
    <cellStyle name="Normal 5 3 4 2 2 7" xfId="4823" xr:uid="{00000000-0005-0000-0000-0000291A0000}"/>
    <cellStyle name="Normal 5 3 4 2 2 7 2" xfId="17484" xr:uid="{CA4C018F-6A33-4AB8-B9C0-70030ECD90EF}"/>
    <cellStyle name="Normal 5 3 4 2 2 8" xfId="9055" xr:uid="{165A005B-27A3-4A5F-9452-F7AEE3B8E92D}"/>
    <cellStyle name="Normal 5 3 4 2 2 9" xfId="13266" xr:uid="{501F2648-46D3-4533-9265-D7210A65A1C6}"/>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20041" xr:uid="{9F2EA4E8-D758-490E-8D43-6F85EAA8D824}"/>
    <cellStyle name="Normal 5 3 4 2 3 2 3" xfId="11612" xr:uid="{7C2B743B-3E27-4D20-86B5-6A5E5A265673}"/>
    <cellStyle name="Normal 5 3 4 2 3 2 4" xfId="15823" xr:uid="{75EB4464-826E-480F-883B-6456842CABDB}"/>
    <cellStyle name="Normal 5 3 4 2 3 3" xfId="5235" xr:uid="{00000000-0005-0000-0000-00002D1A0000}"/>
    <cellStyle name="Normal 5 3 4 2 3 3 2" xfId="17896" xr:uid="{C398AA6D-2D3E-4754-B957-ABA0BB8C3A06}"/>
    <cellStyle name="Normal 5 3 4 2 3 4" xfId="9467" xr:uid="{4FFE0263-D9C8-4FA7-84B0-CA40DC5920D6}"/>
    <cellStyle name="Normal 5 3 4 2 3 5" xfId="13678" xr:uid="{0A8E3A5A-64C0-4AA9-95BF-A1DDA313F814}"/>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20454" xr:uid="{99BC569C-38A5-43BB-B49D-6D3B745C1ADA}"/>
    <cellStyle name="Normal 5 3 4 2 4 2 3" xfId="12025" xr:uid="{E9D20033-8A37-4917-BBAF-825B906482F3}"/>
    <cellStyle name="Normal 5 3 4 2 4 2 4" xfId="16236" xr:uid="{1A9BA755-0470-413B-A63A-9888F2C4CF2B}"/>
    <cellStyle name="Normal 5 3 4 2 4 3" xfId="5648" xr:uid="{00000000-0005-0000-0000-0000311A0000}"/>
    <cellStyle name="Normal 5 3 4 2 4 3 2" xfId="18309" xr:uid="{E6A86826-719F-43BD-9756-D6F5E35BCC97}"/>
    <cellStyle name="Normal 5 3 4 2 4 4" xfId="9880" xr:uid="{AB5A329B-FA69-42FB-977C-A83C6D9C34AE}"/>
    <cellStyle name="Normal 5 3 4 2 4 5" xfId="14091" xr:uid="{4ECCFF81-DB9D-49E9-8E3D-6007AC1C5B79}"/>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20867" xr:uid="{C7E31CC5-D754-4B3E-84F0-C6B24F2B705A}"/>
    <cellStyle name="Normal 5 3 4 2 5 2 3" xfId="12438" xr:uid="{FE794A3B-7A63-4C0D-8604-AB0DCF0FFBCA}"/>
    <cellStyle name="Normal 5 3 4 2 5 2 4" xfId="16649" xr:uid="{F9B75267-7EEA-4704-B7ED-96439A92DBBE}"/>
    <cellStyle name="Normal 5 3 4 2 5 3" xfId="6061" xr:uid="{00000000-0005-0000-0000-0000351A0000}"/>
    <cellStyle name="Normal 5 3 4 2 5 3 2" xfId="18722" xr:uid="{AFFD36E8-403C-41DC-96AD-E6B6197D2C57}"/>
    <cellStyle name="Normal 5 3 4 2 5 4" xfId="10293" xr:uid="{D4310B20-E072-459B-A5A7-C56F5DFE1586}"/>
    <cellStyle name="Normal 5 3 4 2 5 5" xfId="14504" xr:uid="{BF3830E9-D30A-422F-AC24-3786DFDE76C0}"/>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21280" xr:uid="{5B5DFEC6-2A3C-4162-BE4D-FB5EB6FA05AA}"/>
    <cellStyle name="Normal 5 3 4 2 6 2 3" xfId="12851" xr:uid="{1371CEBF-2B4A-4543-A21D-E8B8E37D5076}"/>
    <cellStyle name="Normal 5 3 4 2 6 2 4" xfId="17062" xr:uid="{7911BF79-074F-4B80-881D-99EDE4D7F4A3}"/>
    <cellStyle name="Normal 5 3 4 2 6 3" xfId="6474" xr:uid="{00000000-0005-0000-0000-0000391A0000}"/>
    <cellStyle name="Normal 5 3 4 2 6 3 2" xfId="19135" xr:uid="{1909E816-E97A-444D-A9B8-A752C553E023}"/>
    <cellStyle name="Normal 5 3 4 2 6 4" xfId="10706" xr:uid="{80671081-F6EA-4FB2-AF2F-C1C142D51430}"/>
    <cellStyle name="Normal 5 3 4 2 6 5" xfId="14917" xr:uid="{06F94F1E-0B34-4AE2-9782-DC5CD74AF14B}"/>
    <cellStyle name="Normal 5 3 4 2 7" xfId="2604" xr:uid="{00000000-0005-0000-0000-00003A1A0000}"/>
    <cellStyle name="Normal 5 3 4 2 7 2" xfId="6887" xr:uid="{00000000-0005-0000-0000-00003B1A0000}"/>
    <cellStyle name="Normal 5 3 4 2 7 2 2" xfId="19548" xr:uid="{BB327AFE-55B5-4E60-9CFE-143F58DFA6EC}"/>
    <cellStyle name="Normal 5 3 4 2 7 3" xfId="11119" xr:uid="{95E8C243-275D-415F-8EE0-D45CB036C532}"/>
    <cellStyle name="Normal 5 3 4 2 7 4" xfId="15330" xr:uid="{13C2B4F9-7C34-4556-BB75-1EC3DD0BB459}"/>
    <cellStyle name="Normal 5 3 4 2 8" xfId="4822" xr:uid="{00000000-0005-0000-0000-00003C1A0000}"/>
    <cellStyle name="Normal 5 3 4 2 8 2" xfId="17483" xr:uid="{4E95144E-2B78-4E72-867F-0D7868618B16}"/>
    <cellStyle name="Normal 5 3 4 2 9" xfId="9054" xr:uid="{B0EC3F24-D769-4FF0-9A49-05FF4A57C03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20043" xr:uid="{57F30786-9D36-4342-AF78-0159077D139B}"/>
    <cellStyle name="Normal 5 3 4 3 2 2 3" xfId="11614" xr:uid="{EA1435E1-43EA-4726-A200-BB4BD54FF488}"/>
    <cellStyle name="Normal 5 3 4 3 2 2 4" xfId="15825" xr:uid="{BE3A19B0-D14B-464E-8E26-C3C66861189B}"/>
    <cellStyle name="Normal 5 3 4 3 2 3" xfId="5237" xr:uid="{00000000-0005-0000-0000-0000411A0000}"/>
    <cellStyle name="Normal 5 3 4 3 2 3 2" xfId="17898" xr:uid="{809B83CB-0CE9-4BB4-A9F6-958EE7730F89}"/>
    <cellStyle name="Normal 5 3 4 3 2 4" xfId="9469" xr:uid="{2E2FC97D-3244-4BB6-B382-420AF76C0918}"/>
    <cellStyle name="Normal 5 3 4 3 2 5" xfId="13680" xr:uid="{FBB7B77A-0077-4A74-987C-C5D72393255D}"/>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20456" xr:uid="{637D803F-1B7D-445D-B031-55E45CE12BAC}"/>
    <cellStyle name="Normal 5 3 4 3 3 2 3" xfId="12027" xr:uid="{F8292009-3CAF-4BEE-BAD4-202DA5B2306D}"/>
    <cellStyle name="Normal 5 3 4 3 3 2 4" xfId="16238" xr:uid="{DAEF3CBD-8A64-4CAE-901D-76411D5818B8}"/>
    <cellStyle name="Normal 5 3 4 3 3 3" xfId="5650" xr:uid="{00000000-0005-0000-0000-0000451A0000}"/>
    <cellStyle name="Normal 5 3 4 3 3 3 2" xfId="18311" xr:uid="{51220B30-4CEE-44CC-ADEF-385A5BB0EAB9}"/>
    <cellStyle name="Normal 5 3 4 3 3 4" xfId="9882" xr:uid="{B53BDBBD-113C-4142-B6A6-C77DC0B95B12}"/>
    <cellStyle name="Normal 5 3 4 3 3 5" xfId="14093" xr:uid="{9CB07E46-6789-4227-91E6-511B808D37FF}"/>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20869" xr:uid="{FCDA3C4B-5EE7-45CF-BA52-930F906F1286}"/>
    <cellStyle name="Normal 5 3 4 3 4 2 3" xfId="12440" xr:uid="{D3A4950E-0AD2-458D-9D44-F67974D80115}"/>
    <cellStyle name="Normal 5 3 4 3 4 2 4" xfId="16651" xr:uid="{67942131-AED6-4140-BB88-99FB0AAD4004}"/>
    <cellStyle name="Normal 5 3 4 3 4 3" xfId="6063" xr:uid="{00000000-0005-0000-0000-0000491A0000}"/>
    <cellStyle name="Normal 5 3 4 3 4 3 2" xfId="18724" xr:uid="{3A8C918D-8D59-4858-A3AA-CC26508BCBFD}"/>
    <cellStyle name="Normal 5 3 4 3 4 4" xfId="10295" xr:uid="{5BC6201E-0D49-4555-914B-9CA1111BF526}"/>
    <cellStyle name="Normal 5 3 4 3 4 5" xfId="14506" xr:uid="{3BE2DF63-D14D-4E5B-8F6F-663515B68E3C}"/>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21282" xr:uid="{17973F82-11EF-4096-B967-162D9C7FA437}"/>
    <cellStyle name="Normal 5 3 4 3 5 2 3" xfId="12853" xr:uid="{813DA4D9-B400-4B76-8412-9274CB5FA9B3}"/>
    <cellStyle name="Normal 5 3 4 3 5 2 4" xfId="17064" xr:uid="{4CD6A052-43D1-44D2-AE37-D7BF4E4832C3}"/>
    <cellStyle name="Normal 5 3 4 3 5 3" xfId="6476" xr:uid="{00000000-0005-0000-0000-00004D1A0000}"/>
    <cellStyle name="Normal 5 3 4 3 5 3 2" xfId="19137" xr:uid="{5BEF6EFF-3B30-44BC-87F8-BB8878521034}"/>
    <cellStyle name="Normal 5 3 4 3 5 4" xfId="10708" xr:uid="{15251C74-46D4-4942-A479-BCE18D431A9B}"/>
    <cellStyle name="Normal 5 3 4 3 5 5" xfId="14919" xr:uid="{AC9F4D6D-2F1F-4A71-BEDF-5463339EC45C}"/>
    <cellStyle name="Normal 5 3 4 3 6" xfId="2606" xr:uid="{00000000-0005-0000-0000-00004E1A0000}"/>
    <cellStyle name="Normal 5 3 4 3 6 2" xfId="6889" xr:uid="{00000000-0005-0000-0000-00004F1A0000}"/>
    <cellStyle name="Normal 5 3 4 3 6 2 2" xfId="19550" xr:uid="{0912BE56-DFB5-43C3-B9B4-A09BEDE1D2C2}"/>
    <cellStyle name="Normal 5 3 4 3 6 3" xfId="11121" xr:uid="{459F0432-350D-4236-90A9-C8A55920CBF3}"/>
    <cellStyle name="Normal 5 3 4 3 6 4" xfId="15332" xr:uid="{6F878273-32E4-4B36-8C87-E33558BAD697}"/>
    <cellStyle name="Normal 5 3 4 3 7" xfId="4824" xr:uid="{00000000-0005-0000-0000-0000501A0000}"/>
    <cellStyle name="Normal 5 3 4 3 7 2" xfId="17485" xr:uid="{A962A62E-995F-4F18-A2C1-7C817F4EA424}"/>
    <cellStyle name="Normal 5 3 4 3 8" xfId="9056" xr:uid="{DE6F91E7-4504-4C83-B1B1-1A6A7E083A57}"/>
    <cellStyle name="Normal 5 3 4 3 9" xfId="13267" xr:uid="{86414779-81EE-462E-AD88-37107F3D6A76}"/>
    <cellStyle name="Normal 5 3 4 4" xfId="923" xr:uid="{00000000-0005-0000-0000-0000511A0000}"/>
    <cellStyle name="Normal 5 3 4 4 2" xfId="3157" xr:uid="{00000000-0005-0000-0000-0000521A0000}"/>
    <cellStyle name="Normal 5 3 4 4 2 2" xfId="7379" xr:uid="{00000000-0005-0000-0000-0000531A0000}"/>
    <cellStyle name="Normal 5 3 4 4 2 2 2" xfId="20040" xr:uid="{63B0FDAF-87B6-44A9-A4D9-094B40B75CF7}"/>
    <cellStyle name="Normal 5 3 4 4 2 3" xfId="11611" xr:uid="{E9B7BB05-DB28-4352-A5CC-B1C596489A60}"/>
    <cellStyle name="Normal 5 3 4 4 2 4" xfId="15822" xr:uid="{BB401290-84F9-4742-A47D-D7023A84DBD9}"/>
    <cellStyle name="Normal 5 3 4 4 3" xfId="5234" xr:uid="{00000000-0005-0000-0000-0000541A0000}"/>
    <cellStyle name="Normal 5 3 4 4 3 2" xfId="17895" xr:uid="{83E9A40F-EDA7-4E94-A784-B4E1D5B61136}"/>
    <cellStyle name="Normal 5 3 4 4 4" xfId="9466" xr:uid="{13FD1CDC-48E3-4894-AEF0-A57CEDD95029}"/>
    <cellStyle name="Normal 5 3 4 4 5" xfId="13677" xr:uid="{CBEB8C2B-9B7C-47DA-8F7B-B63C38FD1FFA}"/>
    <cellStyle name="Normal 5 3 4 5" xfId="1340" xr:uid="{00000000-0005-0000-0000-0000551A0000}"/>
    <cellStyle name="Normal 5 3 4 5 2" xfId="3570" xr:uid="{00000000-0005-0000-0000-0000561A0000}"/>
    <cellStyle name="Normal 5 3 4 5 2 2" xfId="7792" xr:uid="{00000000-0005-0000-0000-0000571A0000}"/>
    <cellStyle name="Normal 5 3 4 5 2 2 2" xfId="20453" xr:uid="{363D66B6-B40E-4242-A171-2CF0A3B66A01}"/>
    <cellStyle name="Normal 5 3 4 5 2 3" xfId="12024" xr:uid="{2475D686-BD0F-4BBC-85F5-4FE30FCBBA12}"/>
    <cellStyle name="Normal 5 3 4 5 2 4" xfId="16235" xr:uid="{0DFDC2AF-38F7-4C87-BBB0-FF9173F75E3A}"/>
    <cellStyle name="Normal 5 3 4 5 3" xfId="5647" xr:uid="{00000000-0005-0000-0000-0000581A0000}"/>
    <cellStyle name="Normal 5 3 4 5 3 2" xfId="18308" xr:uid="{730BF7A7-CB21-4840-8A72-EEC4C8F73F07}"/>
    <cellStyle name="Normal 5 3 4 5 4" xfId="9879" xr:uid="{80F92EFC-A80E-4965-A9E2-E735E2958176}"/>
    <cellStyle name="Normal 5 3 4 5 5" xfId="14090" xr:uid="{3F57D6ED-1692-49CF-8AF6-6C6119AEF226}"/>
    <cellStyle name="Normal 5 3 4 6" xfId="1753" xr:uid="{00000000-0005-0000-0000-0000591A0000}"/>
    <cellStyle name="Normal 5 3 4 6 2" xfId="3983" xr:uid="{00000000-0005-0000-0000-00005A1A0000}"/>
    <cellStyle name="Normal 5 3 4 6 2 2" xfId="8205" xr:uid="{00000000-0005-0000-0000-00005B1A0000}"/>
    <cellStyle name="Normal 5 3 4 6 2 2 2" xfId="20866" xr:uid="{FC127F2D-B358-4201-8960-9034C678A472}"/>
    <cellStyle name="Normal 5 3 4 6 2 3" xfId="12437" xr:uid="{5AEE9078-DA4A-426C-8DD0-74C29A576E87}"/>
    <cellStyle name="Normal 5 3 4 6 2 4" xfId="16648" xr:uid="{EEA1BB26-573C-4F95-988F-0018236C4FB0}"/>
    <cellStyle name="Normal 5 3 4 6 3" xfId="6060" xr:uid="{00000000-0005-0000-0000-00005C1A0000}"/>
    <cellStyle name="Normal 5 3 4 6 3 2" xfId="18721" xr:uid="{5DE56C22-40E0-4671-8732-DB02B8A8444E}"/>
    <cellStyle name="Normal 5 3 4 6 4" xfId="10292" xr:uid="{F974A7BA-5FFC-42A4-992B-5DDEA5EF3B71}"/>
    <cellStyle name="Normal 5 3 4 6 5" xfId="14503" xr:uid="{3B7D8F14-7739-4D5E-A42C-CFEC15B7D515}"/>
    <cellStyle name="Normal 5 3 4 7" xfId="2167" xr:uid="{00000000-0005-0000-0000-00005D1A0000}"/>
    <cellStyle name="Normal 5 3 4 7 2" xfId="4396" xr:uid="{00000000-0005-0000-0000-00005E1A0000}"/>
    <cellStyle name="Normal 5 3 4 7 2 2" xfId="8618" xr:uid="{00000000-0005-0000-0000-00005F1A0000}"/>
    <cellStyle name="Normal 5 3 4 7 2 2 2" xfId="21279" xr:uid="{C5F0A338-8ED7-49FE-9EEA-CEF83B4B1CFD}"/>
    <cellStyle name="Normal 5 3 4 7 2 3" xfId="12850" xr:uid="{1655C891-1F00-43DD-844A-EDE5BCA352A7}"/>
    <cellStyle name="Normal 5 3 4 7 2 4" xfId="17061" xr:uid="{FF9F50DF-5F01-447C-9370-F72D2F589D74}"/>
    <cellStyle name="Normal 5 3 4 7 3" xfId="6473" xr:uid="{00000000-0005-0000-0000-0000601A0000}"/>
    <cellStyle name="Normal 5 3 4 7 3 2" xfId="19134" xr:uid="{8A5A51CD-A045-4B95-866C-B140009FEDFD}"/>
    <cellStyle name="Normal 5 3 4 7 4" xfId="10705" xr:uid="{0AA90725-CBDB-4C00-A7D2-E23BADCFEE90}"/>
    <cellStyle name="Normal 5 3 4 7 5" xfId="14916" xr:uid="{76792172-65F6-4EA0-8787-E6AA0B7179A3}"/>
    <cellStyle name="Normal 5 3 4 8" xfId="2603" xr:uid="{00000000-0005-0000-0000-0000611A0000}"/>
    <cellStyle name="Normal 5 3 4 8 2" xfId="6886" xr:uid="{00000000-0005-0000-0000-0000621A0000}"/>
    <cellStyle name="Normal 5 3 4 8 2 2" xfId="19547" xr:uid="{FE17DD8C-C682-499F-A53B-F89F20CB2310}"/>
    <cellStyle name="Normal 5 3 4 8 3" xfId="11118" xr:uid="{9B822136-60B1-4D5C-9620-C48DED367883}"/>
    <cellStyle name="Normal 5 3 4 8 4" xfId="15329" xr:uid="{BFC054CF-36BB-4B74-9CF2-C44230ECA874}"/>
    <cellStyle name="Normal 5 3 4 9" xfId="4821" xr:uid="{00000000-0005-0000-0000-0000631A0000}"/>
    <cellStyle name="Normal 5 3 4 9 2" xfId="17482" xr:uid="{C8A44613-7367-4170-8F1E-B74FEEBFBF50}"/>
    <cellStyle name="Normal 5 3 5" xfId="453" xr:uid="{00000000-0005-0000-0000-0000641A0000}"/>
    <cellStyle name="Normal 5 3 5 10" xfId="13268" xr:uid="{983FBC1D-8F10-4502-BAAA-DF492C230F37}"/>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20045" xr:uid="{46DB2F18-687C-4966-9C2A-98083F293D19}"/>
    <cellStyle name="Normal 5 3 5 2 2 2 3" xfId="11616" xr:uid="{27D40D73-8B9F-41F5-BEB9-C7718A1D268D}"/>
    <cellStyle name="Normal 5 3 5 2 2 2 4" xfId="15827" xr:uid="{DC622CEE-D698-491F-AAF8-754E0CEFC448}"/>
    <cellStyle name="Normal 5 3 5 2 2 3" xfId="5239" xr:uid="{00000000-0005-0000-0000-0000691A0000}"/>
    <cellStyle name="Normal 5 3 5 2 2 3 2" xfId="17900" xr:uid="{15B6B604-6D26-47F7-9E76-071BA89D90C7}"/>
    <cellStyle name="Normal 5 3 5 2 2 4" xfId="9471" xr:uid="{2B17E36F-37A6-4CDF-B2A6-91C6FD8A33C7}"/>
    <cellStyle name="Normal 5 3 5 2 2 5" xfId="13682" xr:uid="{0DD038EB-E522-457E-A402-723043AD1306}"/>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20458" xr:uid="{1E2241A0-814A-40B4-8B62-55DDEC1184E1}"/>
    <cellStyle name="Normal 5 3 5 2 3 2 3" xfId="12029" xr:uid="{089CCFE2-9DCA-4802-8D9B-322DC8AE7093}"/>
    <cellStyle name="Normal 5 3 5 2 3 2 4" xfId="16240" xr:uid="{52FAA42D-F6A1-4ED1-B018-28C9BF4EFEB9}"/>
    <cellStyle name="Normal 5 3 5 2 3 3" xfId="5652" xr:uid="{00000000-0005-0000-0000-00006D1A0000}"/>
    <cellStyle name="Normal 5 3 5 2 3 3 2" xfId="18313" xr:uid="{F8C77CB9-4CC6-4B2E-9069-BDD7B33CE381}"/>
    <cellStyle name="Normal 5 3 5 2 3 4" xfId="9884" xr:uid="{552E0E8C-2AC7-40A1-ABF4-7C810643982A}"/>
    <cellStyle name="Normal 5 3 5 2 3 5" xfId="14095" xr:uid="{0ABA92C1-669D-411F-9B42-74B0F9C83777}"/>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20871" xr:uid="{BF4BF396-D93F-4292-9AE4-B7A34525E32E}"/>
    <cellStyle name="Normal 5 3 5 2 4 2 3" xfId="12442" xr:uid="{1F85C012-DCB8-44D4-ADAA-BF7B0087DC5B}"/>
    <cellStyle name="Normal 5 3 5 2 4 2 4" xfId="16653" xr:uid="{C98EA40E-0576-463B-B0D7-07AD413F2B13}"/>
    <cellStyle name="Normal 5 3 5 2 4 3" xfId="6065" xr:uid="{00000000-0005-0000-0000-0000711A0000}"/>
    <cellStyle name="Normal 5 3 5 2 4 3 2" xfId="18726" xr:uid="{E7E0AC89-56D9-4CDB-9BB2-C083E84A21A5}"/>
    <cellStyle name="Normal 5 3 5 2 4 4" xfId="10297" xr:uid="{BDD20706-C429-4FD7-B792-D2DB9FC33CD1}"/>
    <cellStyle name="Normal 5 3 5 2 4 5" xfId="14508" xr:uid="{2B30A186-B6F0-4227-B7F1-B32B8CAE1DE7}"/>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21284" xr:uid="{86EE4566-2E9F-4B1D-8244-493BC82A7D83}"/>
    <cellStyle name="Normal 5 3 5 2 5 2 3" xfId="12855" xr:uid="{A023CBF6-BEA9-4873-AC6C-83E702DF94D2}"/>
    <cellStyle name="Normal 5 3 5 2 5 2 4" xfId="17066" xr:uid="{AA15D47E-0A2A-4266-8DAA-1768AEB9F2EF}"/>
    <cellStyle name="Normal 5 3 5 2 5 3" xfId="6478" xr:uid="{00000000-0005-0000-0000-0000751A0000}"/>
    <cellStyle name="Normal 5 3 5 2 5 3 2" xfId="19139" xr:uid="{A29CEB41-A93D-4F37-8EB8-C4BFA2906D3D}"/>
    <cellStyle name="Normal 5 3 5 2 5 4" xfId="10710" xr:uid="{B3153243-A1D0-471D-85E2-FC3B1840214D}"/>
    <cellStyle name="Normal 5 3 5 2 5 5" xfId="14921" xr:uid="{3EADA499-55F1-4866-A061-6B3EF865909B}"/>
    <cellStyle name="Normal 5 3 5 2 6" xfId="2608" xr:uid="{00000000-0005-0000-0000-0000761A0000}"/>
    <cellStyle name="Normal 5 3 5 2 6 2" xfId="6891" xr:uid="{00000000-0005-0000-0000-0000771A0000}"/>
    <cellStyle name="Normal 5 3 5 2 6 2 2" xfId="19552" xr:uid="{43B5791E-4AD6-4FE1-A530-579B78B630E9}"/>
    <cellStyle name="Normal 5 3 5 2 6 3" xfId="11123" xr:uid="{DD42E05F-6A22-4A3A-80A4-C0065EBF05E3}"/>
    <cellStyle name="Normal 5 3 5 2 6 4" xfId="15334" xr:uid="{4EAAC3AF-17E3-4DEE-8D66-09FEB29DF390}"/>
    <cellStyle name="Normal 5 3 5 2 7" xfId="4826" xr:uid="{00000000-0005-0000-0000-0000781A0000}"/>
    <cellStyle name="Normal 5 3 5 2 7 2" xfId="17487" xr:uid="{DCEE26D4-7C2C-417B-8CAA-0213B7B20744}"/>
    <cellStyle name="Normal 5 3 5 2 8" xfId="9058" xr:uid="{AFEAACEE-99F0-4487-83BD-2AC62732DC63}"/>
    <cellStyle name="Normal 5 3 5 2 9" xfId="13269" xr:uid="{A928CAB7-BD22-497F-A870-442FE5DD49A8}"/>
    <cellStyle name="Normal 5 3 5 3" xfId="927" xr:uid="{00000000-0005-0000-0000-0000791A0000}"/>
    <cellStyle name="Normal 5 3 5 3 2" xfId="3161" xr:uid="{00000000-0005-0000-0000-00007A1A0000}"/>
    <cellStyle name="Normal 5 3 5 3 2 2" xfId="7383" xr:uid="{00000000-0005-0000-0000-00007B1A0000}"/>
    <cellStyle name="Normal 5 3 5 3 2 2 2" xfId="20044" xr:uid="{818B51F1-CAF7-4199-997E-51B202CD549D}"/>
    <cellStyle name="Normal 5 3 5 3 2 3" xfId="11615" xr:uid="{23E05847-658A-4236-B6EB-C086E64A0F85}"/>
    <cellStyle name="Normal 5 3 5 3 2 4" xfId="15826" xr:uid="{EF3B7EC4-C3D7-40D6-B62B-5EFE31C2616E}"/>
    <cellStyle name="Normal 5 3 5 3 3" xfId="5238" xr:uid="{00000000-0005-0000-0000-00007C1A0000}"/>
    <cellStyle name="Normal 5 3 5 3 3 2" xfId="17899" xr:uid="{A1837695-92FE-4F5F-9A60-401046F08E3D}"/>
    <cellStyle name="Normal 5 3 5 3 4" xfId="9470" xr:uid="{35B95C94-2F5C-4359-8557-2DB6782E1BA5}"/>
    <cellStyle name="Normal 5 3 5 3 5" xfId="13681" xr:uid="{C534C740-3F09-4A1C-B659-64D82BC8E6BC}"/>
    <cellStyle name="Normal 5 3 5 4" xfId="1344" xr:uid="{00000000-0005-0000-0000-00007D1A0000}"/>
    <cellStyle name="Normal 5 3 5 4 2" xfId="3574" xr:uid="{00000000-0005-0000-0000-00007E1A0000}"/>
    <cellStyle name="Normal 5 3 5 4 2 2" xfId="7796" xr:uid="{00000000-0005-0000-0000-00007F1A0000}"/>
    <cellStyle name="Normal 5 3 5 4 2 2 2" xfId="20457" xr:uid="{F2BA4D4C-6B41-470A-9DA4-AF6814CA515C}"/>
    <cellStyle name="Normal 5 3 5 4 2 3" xfId="12028" xr:uid="{CC49B988-A3F1-4E76-BD29-50408F924697}"/>
    <cellStyle name="Normal 5 3 5 4 2 4" xfId="16239" xr:uid="{BD0D0324-2111-441C-936F-F0C93E04C41B}"/>
    <cellStyle name="Normal 5 3 5 4 3" xfId="5651" xr:uid="{00000000-0005-0000-0000-0000801A0000}"/>
    <cellStyle name="Normal 5 3 5 4 3 2" xfId="18312" xr:uid="{C74E7C1E-0895-4D39-A7D5-0DA17E489C48}"/>
    <cellStyle name="Normal 5 3 5 4 4" xfId="9883" xr:uid="{8E8ABE06-CEBE-46CB-85B0-3E8265A5CD86}"/>
    <cellStyle name="Normal 5 3 5 4 5" xfId="14094" xr:uid="{982CB43E-FF6B-45C3-A1FE-3F14D259501F}"/>
    <cellStyle name="Normal 5 3 5 5" xfId="1757" xr:uid="{00000000-0005-0000-0000-0000811A0000}"/>
    <cellStyle name="Normal 5 3 5 5 2" xfId="3987" xr:uid="{00000000-0005-0000-0000-0000821A0000}"/>
    <cellStyle name="Normal 5 3 5 5 2 2" xfId="8209" xr:uid="{00000000-0005-0000-0000-0000831A0000}"/>
    <cellStyle name="Normal 5 3 5 5 2 2 2" xfId="20870" xr:uid="{8A499D76-05C3-4C19-B06E-A25D84D6C3CF}"/>
    <cellStyle name="Normal 5 3 5 5 2 3" xfId="12441" xr:uid="{E58D7E33-4D2E-488C-A7A1-7A0C165A2A18}"/>
    <cellStyle name="Normal 5 3 5 5 2 4" xfId="16652" xr:uid="{E066BE5D-920D-41CA-9D72-6C77A4089260}"/>
    <cellStyle name="Normal 5 3 5 5 3" xfId="6064" xr:uid="{00000000-0005-0000-0000-0000841A0000}"/>
    <cellStyle name="Normal 5 3 5 5 3 2" xfId="18725" xr:uid="{8BEB7897-D3F3-4C7A-BC09-FCBC87A75E8E}"/>
    <cellStyle name="Normal 5 3 5 5 4" xfId="10296" xr:uid="{926683C5-7807-4D5B-A992-E4176F95EDEF}"/>
    <cellStyle name="Normal 5 3 5 5 5" xfId="14507" xr:uid="{B9D9CCDC-AA1B-49C4-8F1A-2B50EC1A4DCC}"/>
    <cellStyle name="Normal 5 3 5 6" xfId="2171" xr:uid="{00000000-0005-0000-0000-0000851A0000}"/>
    <cellStyle name="Normal 5 3 5 6 2" xfId="4400" xr:uid="{00000000-0005-0000-0000-0000861A0000}"/>
    <cellStyle name="Normal 5 3 5 6 2 2" xfId="8622" xr:uid="{00000000-0005-0000-0000-0000871A0000}"/>
    <cellStyle name="Normal 5 3 5 6 2 2 2" xfId="21283" xr:uid="{BE571A02-7F8D-4680-ADB7-3C8515E28B99}"/>
    <cellStyle name="Normal 5 3 5 6 2 3" xfId="12854" xr:uid="{D797C64F-6DB6-4C48-B236-93F55B352985}"/>
    <cellStyle name="Normal 5 3 5 6 2 4" xfId="17065" xr:uid="{65420A37-1AA2-4045-9619-BEF77A535005}"/>
    <cellStyle name="Normal 5 3 5 6 3" xfId="6477" xr:uid="{00000000-0005-0000-0000-0000881A0000}"/>
    <cellStyle name="Normal 5 3 5 6 3 2" xfId="19138" xr:uid="{735BE9EE-14B7-411D-A604-326B25E85026}"/>
    <cellStyle name="Normal 5 3 5 6 4" xfId="10709" xr:uid="{1415D390-C971-41FC-8CBA-1841613C3EF1}"/>
    <cellStyle name="Normal 5 3 5 6 5" xfId="14920" xr:uid="{7E44AABC-F0E7-4EDF-9EF8-37DFB67AAF99}"/>
    <cellStyle name="Normal 5 3 5 7" xfId="2607" xr:uid="{00000000-0005-0000-0000-0000891A0000}"/>
    <cellStyle name="Normal 5 3 5 7 2" xfId="6890" xr:uid="{00000000-0005-0000-0000-00008A1A0000}"/>
    <cellStyle name="Normal 5 3 5 7 2 2" xfId="19551" xr:uid="{71551264-77B7-491A-A30F-D05C43A6E762}"/>
    <cellStyle name="Normal 5 3 5 7 3" xfId="11122" xr:uid="{B0748F28-9B8D-437C-8260-96021CEE395C}"/>
    <cellStyle name="Normal 5 3 5 7 4" xfId="15333" xr:uid="{16546541-5602-4DD7-B597-EC72FD549A89}"/>
    <cellStyle name="Normal 5 3 5 8" xfId="4825" xr:uid="{00000000-0005-0000-0000-00008B1A0000}"/>
    <cellStyle name="Normal 5 3 5 8 2" xfId="17486" xr:uid="{6EB4722F-5721-405B-89C3-804F7821EC98}"/>
    <cellStyle name="Normal 5 3 5 9" xfId="9057" xr:uid="{C5F2DF50-A761-4703-BD15-88A8EA9CB3AA}"/>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20046" xr:uid="{57A198A9-A0E3-4B59-BE26-7CCBDEB548A6}"/>
    <cellStyle name="Normal 5 3 6 2 2 3" xfId="11617" xr:uid="{6B6C77E4-35B6-4B74-A4E6-D0F350C901C6}"/>
    <cellStyle name="Normal 5 3 6 2 2 4" xfId="15828" xr:uid="{99C518A3-02AA-44B1-A8EA-F564E0760DEA}"/>
    <cellStyle name="Normal 5 3 6 2 3" xfId="5240" xr:uid="{00000000-0005-0000-0000-0000901A0000}"/>
    <cellStyle name="Normal 5 3 6 2 3 2" xfId="17901" xr:uid="{43A9526E-A7FF-4759-AA37-D5C855BD0E80}"/>
    <cellStyle name="Normal 5 3 6 2 4" xfId="9472" xr:uid="{957BFE49-DD5A-4A6A-BC26-4C5257A8C160}"/>
    <cellStyle name="Normal 5 3 6 2 5" xfId="13683" xr:uid="{C8D98889-3702-46F1-878A-522CB7B820EA}"/>
    <cellStyle name="Normal 5 3 6 3" xfId="1346" xr:uid="{00000000-0005-0000-0000-0000911A0000}"/>
    <cellStyle name="Normal 5 3 6 3 2" xfId="3576" xr:uid="{00000000-0005-0000-0000-0000921A0000}"/>
    <cellStyle name="Normal 5 3 6 3 2 2" xfId="7798" xr:uid="{00000000-0005-0000-0000-0000931A0000}"/>
    <cellStyle name="Normal 5 3 6 3 2 2 2" xfId="20459" xr:uid="{D8A627FF-81CE-4EDC-9FB0-60F1C750C117}"/>
    <cellStyle name="Normal 5 3 6 3 2 3" xfId="12030" xr:uid="{A1B1A25B-7E84-4394-ADBC-DD9B6EA072AA}"/>
    <cellStyle name="Normal 5 3 6 3 2 4" xfId="16241" xr:uid="{AFF539DE-AD1E-4A78-B6B5-04AEA0B0FE88}"/>
    <cellStyle name="Normal 5 3 6 3 3" xfId="5653" xr:uid="{00000000-0005-0000-0000-0000941A0000}"/>
    <cellStyle name="Normal 5 3 6 3 3 2" xfId="18314" xr:uid="{8B33AAC9-C8D3-44B4-AD43-756B378C22F4}"/>
    <cellStyle name="Normal 5 3 6 3 4" xfId="9885" xr:uid="{70BDFE7F-7EFB-470D-B2B0-16DAD95788CE}"/>
    <cellStyle name="Normal 5 3 6 3 5" xfId="14096" xr:uid="{4A27CB5F-3912-4C6C-B2C4-EB4B369FCF43}"/>
    <cellStyle name="Normal 5 3 6 4" xfId="1759" xr:uid="{00000000-0005-0000-0000-0000951A0000}"/>
    <cellStyle name="Normal 5 3 6 4 2" xfId="3989" xr:uid="{00000000-0005-0000-0000-0000961A0000}"/>
    <cellStyle name="Normal 5 3 6 4 2 2" xfId="8211" xr:uid="{00000000-0005-0000-0000-0000971A0000}"/>
    <cellStyle name="Normal 5 3 6 4 2 2 2" xfId="20872" xr:uid="{138C73F4-E7A6-4742-9EF3-EF3828C8605A}"/>
    <cellStyle name="Normal 5 3 6 4 2 3" xfId="12443" xr:uid="{EE8D8CA8-E6F5-41C1-AA28-59F1E6DF06CC}"/>
    <cellStyle name="Normal 5 3 6 4 2 4" xfId="16654" xr:uid="{9B5C8869-A7D2-4309-826F-58E1709C4A13}"/>
    <cellStyle name="Normal 5 3 6 4 3" xfId="6066" xr:uid="{00000000-0005-0000-0000-0000981A0000}"/>
    <cellStyle name="Normal 5 3 6 4 3 2" xfId="18727" xr:uid="{A07102C0-F3BF-4864-9AEE-DAD05ADAED07}"/>
    <cellStyle name="Normal 5 3 6 4 4" xfId="10298" xr:uid="{141D343C-7FF8-43AD-AAEF-3BBC8C6A3899}"/>
    <cellStyle name="Normal 5 3 6 4 5" xfId="14509" xr:uid="{D5ED03FD-D5A8-4034-B841-D5395814A862}"/>
    <cellStyle name="Normal 5 3 6 5" xfId="2173" xr:uid="{00000000-0005-0000-0000-0000991A0000}"/>
    <cellStyle name="Normal 5 3 6 5 2" xfId="4402" xr:uid="{00000000-0005-0000-0000-00009A1A0000}"/>
    <cellStyle name="Normal 5 3 6 5 2 2" xfId="8624" xr:uid="{00000000-0005-0000-0000-00009B1A0000}"/>
    <cellStyle name="Normal 5 3 6 5 2 2 2" xfId="21285" xr:uid="{CABEF849-6EE4-4ABD-BA64-7B5A273D2892}"/>
    <cellStyle name="Normal 5 3 6 5 2 3" xfId="12856" xr:uid="{C13CEDEC-E819-48A8-ABB1-4CB6BA0F0816}"/>
    <cellStyle name="Normal 5 3 6 5 2 4" xfId="17067" xr:uid="{B7F7B031-1B45-40DB-A19B-38D06FDF017A}"/>
    <cellStyle name="Normal 5 3 6 5 3" xfId="6479" xr:uid="{00000000-0005-0000-0000-00009C1A0000}"/>
    <cellStyle name="Normal 5 3 6 5 3 2" xfId="19140" xr:uid="{2BDAAD4D-C92F-44BE-8A9D-29EA43A34727}"/>
    <cellStyle name="Normal 5 3 6 5 4" xfId="10711" xr:uid="{B41CEA26-4027-44C5-8F0D-9D0B82C8869F}"/>
    <cellStyle name="Normal 5 3 6 5 5" xfId="14922" xr:uid="{917B3A76-7F2F-44E6-92D4-EBE08AAC50DB}"/>
    <cellStyle name="Normal 5 3 6 6" xfId="2609" xr:uid="{00000000-0005-0000-0000-00009D1A0000}"/>
    <cellStyle name="Normal 5 3 6 6 2" xfId="6892" xr:uid="{00000000-0005-0000-0000-00009E1A0000}"/>
    <cellStyle name="Normal 5 3 6 6 2 2" xfId="19553" xr:uid="{B04652ED-7079-4A5D-A181-F00850B2A726}"/>
    <cellStyle name="Normal 5 3 6 6 3" xfId="11124" xr:uid="{13346B5B-1ADD-4517-8D56-426B63A45598}"/>
    <cellStyle name="Normal 5 3 6 6 4" xfId="15335" xr:uid="{A881D698-E531-40F9-8C3E-AC02EF93D88B}"/>
    <cellStyle name="Normal 5 3 6 7" xfId="4827" xr:uid="{00000000-0005-0000-0000-00009F1A0000}"/>
    <cellStyle name="Normal 5 3 6 7 2" xfId="17488" xr:uid="{57510E49-BF52-4B48-A321-A425B8D54FF4}"/>
    <cellStyle name="Normal 5 3 6 8" xfId="9059" xr:uid="{A8C636CE-9A34-44E1-82D6-50D72EFAD489}"/>
    <cellStyle name="Normal 5 3 6 9" xfId="13270" xr:uid="{6DCFD56D-A76E-454D-95E0-BFD5A45DD8C2}"/>
    <cellStyle name="Normal 5 3 7" xfId="913" xr:uid="{00000000-0005-0000-0000-0000A01A0000}"/>
    <cellStyle name="Normal 5 3 7 2" xfId="3148" xr:uid="{00000000-0005-0000-0000-0000A11A0000}"/>
    <cellStyle name="Normal 5 3 7 2 2" xfId="7370" xr:uid="{00000000-0005-0000-0000-0000A21A0000}"/>
    <cellStyle name="Normal 5 3 7 2 2 2" xfId="20031" xr:uid="{C5425CB2-DA3F-4157-B71D-2E8467BEA8F0}"/>
    <cellStyle name="Normal 5 3 7 2 3" xfId="11602" xr:uid="{8C50589A-7935-4EFD-9DB3-BA535D727059}"/>
    <cellStyle name="Normal 5 3 7 2 4" xfId="15813" xr:uid="{8307BE71-0291-48CB-97C4-138AD5AE8272}"/>
    <cellStyle name="Normal 5 3 7 3" xfId="5225" xr:uid="{00000000-0005-0000-0000-0000A31A0000}"/>
    <cellStyle name="Normal 5 3 7 3 2" xfId="17886" xr:uid="{BC3E5FDD-33DD-4C22-82FC-C4C45DC3BF34}"/>
    <cellStyle name="Normal 5 3 7 4" xfId="9457" xr:uid="{0F1A2E09-48AB-4407-B4B5-266E5DD1E0DE}"/>
    <cellStyle name="Normal 5 3 7 5" xfId="13668" xr:uid="{AD706629-AFEC-43BD-B76C-5701A6D2E449}"/>
    <cellStyle name="Normal 5 3 8" xfId="1331" xr:uid="{00000000-0005-0000-0000-0000A41A0000}"/>
    <cellStyle name="Normal 5 3 8 2" xfId="3561" xr:uid="{00000000-0005-0000-0000-0000A51A0000}"/>
    <cellStyle name="Normal 5 3 8 2 2" xfId="7783" xr:uid="{00000000-0005-0000-0000-0000A61A0000}"/>
    <cellStyle name="Normal 5 3 8 2 2 2" xfId="20444" xr:uid="{111D3721-8C7D-49A1-AE9E-8022FD468B6F}"/>
    <cellStyle name="Normal 5 3 8 2 3" xfId="12015" xr:uid="{7DA8B7D9-D914-48BD-B5AE-CCBC1C54215F}"/>
    <cellStyle name="Normal 5 3 8 2 4" xfId="16226" xr:uid="{9F893F50-02B0-475C-8D3F-5F7B04505316}"/>
    <cellStyle name="Normal 5 3 8 3" xfId="5638" xr:uid="{00000000-0005-0000-0000-0000A71A0000}"/>
    <cellStyle name="Normal 5 3 8 3 2" xfId="18299" xr:uid="{6C26536C-0F31-4FA1-896F-7B8C4EDCC532}"/>
    <cellStyle name="Normal 5 3 8 4" xfId="9870" xr:uid="{A8698FA8-01DF-4A1E-B0D2-28D519B525A6}"/>
    <cellStyle name="Normal 5 3 8 5" xfId="14081" xr:uid="{6740326E-1C7A-427E-96EF-A77877548128}"/>
    <cellStyle name="Normal 5 3 9" xfId="1744" xr:uid="{00000000-0005-0000-0000-0000A81A0000}"/>
    <cellStyle name="Normal 5 3 9 2" xfId="3974" xr:uid="{00000000-0005-0000-0000-0000A91A0000}"/>
    <cellStyle name="Normal 5 3 9 2 2" xfId="8196" xr:uid="{00000000-0005-0000-0000-0000AA1A0000}"/>
    <cellStyle name="Normal 5 3 9 2 2 2" xfId="20857" xr:uid="{233110D3-D7C1-4BC0-A104-05AA49664379}"/>
    <cellStyle name="Normal 5 3 9 2 3" xfId="12428" xr:uid="{2FDF94AE-6158-415C-B543-9A492A298C01}"/>
    <cellStyle name="Normal 5 3 9 2 4" xfId="16639" xr:uid="{E2F39B66-3CCA-4F68-81E5-6234C665E30C}"/>
    <cellStyle name="Normal 5 3 9 3" xfId="6051" xr:uid="{00000000-0005-0000-0000-0000AB1A0000}"/>
    <cellStyle name="Normal 5 3 9 3 2" xfId="18712" xr:uid="{4D43981B-BD58-4B83-930E-630C6942B82B}"/>
    <cellStyle name="Normal 5 3 9 4" xfId="10283" xr:uid="{713F3E7D-93DA-4CA6-B12F-D41864D58A16}"/>
    <cellStyle name="Normal 5 3 9 5" xfId="14494" xr:uid="{A107850E-2E96-4873-942F-E5801F3EEBA6}"/>
    <cellStyle name="Normal 5 4" xfId="456" xr:uid="{00000000-0005-0000-0000-0000AC1A0000}"/>
    <cellStyle name="Normal 5 4 10" xfId="4828" xr:uid="{00000000-0005-0000-0000-0000AD1A0000}"/>
    <cellStyle name="Normal 5 4 10 2" xfId="17489" xr:uid="{36F8212B-EC76-40A1-B568-48FF98300AB6}"/>
    <cellStyle name="Normal 5 4 11" xfId="9060" xr:uid="{A979032D-2E57-49D7-A9B1-B4B940087FFA}"/>
    <cellStyle name="Normal 5 4 12" xfId="13271" xr:uid="{80A4FED6-AA0D-4774-9C58-21B5394FFCDD}"/>
    <cellStyle name="Normal 5 4 2" xfId="457" xr:uid="{00000000-0005-0000-0000-0000AE1A0000}"/>
    <cellStyle name="Normal 5 4 2 10" xfId="9061" xr:uid="{FD64C067-25C0-4882-9ECC-E0B2C2EB0A92}"/>
    <cellStyle name="Normal 5 4 2 11" xfId="13272" xr:uid="{DA26624B-20C6-4472-BAE8-D04E8AD42C13}"/>
    <cellStyle name="Normal 5 4 2 2" xfId="458" xr:uid="{00000000-0005-0000-0000-0000AF1A0000}"/>
    <cellStyle name="Normal 5 4 2 2 10" xfId="13273" xr:uid="{4BC25D2D-127B-46B2-A1E8-E0C3CD1B13B4}"/>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20050" xr:uid="{FE0C635A-C36A-462D-AB7F-502DE12CBE82}"/>
    <cellStyle name="Normal 5 4 2 2 2 2 2 3" xfId="11621" xr:uid="{6FC1C0BC-6E5B-4689-8844-2F55E157F4E6}"/>
    <cellStyle name="Normal 5 4 2 2 2 2 2 4" xfId="15832" xr:uid="{E076D7E4-0675-443F-BF7A-3AACFA10A7C1}"/>
    <cellStyle name="Normal 5 4 2 2 2 2 3" xfId="5244" xr:uid="{00000000-0005-0000-0000-0000B41A0000}"/>
    <cellStyle name="Normal 5 4 2 2 2 2 3 2" xfId="17905" xr:uid="{5858A49D-C43C-4FE4-BD95-8EB23B60E31A}"/>
    <cellStyle name="Normal 5 4 2 2 2 2 4" xfId="9476" xr:uid="{15985442-633A-4C2D-89C7-098457346FE7}"/>
    <cellStyle name="Normal 5 4 2 2 2 2 5" xfId="13687" xr:uid="{29B498C7-F348-4E53-A6EA-32D8020FF216}"/>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20463" xr:uid="{269EC78F-DB28-4760-B4C8-72EF341EF286}"/>
    <cellStyle name="Normal 5 4 2 2 2 3 2 3" xfId="12034" xr:uid="{C8D1B3E0-1472-4E00-833B-E6D6CE35C981}"/>
    <cellStyle name="Normal 5 4 2 2 2 3 2 4" xfId="16245" xr:uid="{6024BD36-F5F8-4C8A-B069-456C0A5D8628}"/>
    <cellStyle name="Normal 5 4 2 2 2 3 3" xfId="5657" xr:uid="{00000000-0005-0000-0000-0000B81A0000}"/>
    <cellStyle name="Normal 5 4 2 2 2 3 3 2" xfId="18318" xr:uid="{081CEC14-E6B6-44CA-B93E-28ACD0321080}"/>
    <cellStyle name="Normal 5 4 2 2 2 3 4" xfId="9889" xr:uid="{2DA5A081-3731-4D24-B4A5-4FB4A32CAD94}"/>
    <cellStyle name="Normal 5 4 2 2 2 3 5" xfId="14100" xr:uid="{808F1B36-702E-421F-8770-BEDB1C640EC3}"/>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20876" xr:uid="{151335B9-F1A3-491D-9D0E-CC7CE5520982}"/>
    <cellStyle name="Normal 5 4 2 2 2 4 2 3" xfId="12447" xr:uid="{71D4598F-B9F4-4466-8E50-C5F24E60236D}"/>
    <cellStyle name="Normal 5 4 2 2 2 4 2 4" xfId="16658" xr:uid="{7C6FE52A-8D6F-4C5D-9947-F5DB96FD1D4B}"/>
    <cellStyle name="Normal 5 4 2 2 2 4 3" xfId="6070" xr:uid="{00000000-0005-0000-0000-0000BC1A0000}"/>
    <cellStyle name="Normal 5 4 2 2 2 4 3 2" xfId="18731" xr:uid="{16588C77-D973-4E06-9DC5-124C00902271}"/>
    <cellStyle name="Normal 5 4 2 2 2 4 4" xfId="10302" xr:uid="{2787E592-1146-4AA3-8B09-9B9504CA53B6}"/>
    <cellStyle name="Normal 5 4 2 2 2 4 5" xfId="14513" xr:uid="{0663E746-4BB7-4D5A-A8B7-CC1F63F81981}"/>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21289" xr:uid="{0A351537-AD4C-4564-8411-793FAD351A4A}"/>
    <cellStyle name="Normal 5 4 2 2 2 5 2 3" xfId="12860" xr:uid="{659AED03-8872-440E-92D5-1E86751A40AE}"/>
    <cellStyle name="Normal 5 4 2 2 2 5 2 4" xfId="17071" xr:uid="{54946CC9-7C7D-47A1-9B2F-4D226B396B5D}"/>
    <cellStyle name="Normal 5 4 2 2 2 5 3" xfId="6483" xr:uid="{00000000-0005-0000-0000-0000C01A0000}"/>
    <cellStyle name="Normal 5 4 2 2 2 5 3 2" xfId="19144" xr:uid="{E83A4627-3B27-4985-9F76-0EF4DFA20F96}"/>
    <cellStyle name="Normal 5 4 2 2 2 5 4" xfId="10715" xr:uid="{DB05C2B7-AA04-4C24-9ECE-38C201346E9A}"/>
    <cellStyle name="Normal 5 4 2 2 2 5 5" xfId="14926" xr:uid="{17DBC726-6B55-40F4-9FA8-EE7AFA2D9CE6}"/>
    <cellStyle name="Normal 5 4 2 2 2 6" xfId="2613" xr:uid="{00000000-0005-0000-0000-0000C11A0000}"/>
    <cellStyle name="Normal 5 4 2 2 2 6 2" xfId="6896" xr:uid="{00000000-0005-0000-0000-0000C21A0000}"/>
    <cellStyle name="Normal 5 4 2 2 2 6 2 2" xfId="19557" xr:uid="{F9968BD9-AADE-4F6F-9880-808B9D2CD406}"/>
    <cellStyle name="Normal 5 4 2 2 2 6 3" xfId="11128" xr:uid="{322EE7A6-E09B-499C-9EC6-4AF4BEE2EEF9}"/>
    <cellStyle name="Normal 5 4 2 2 2 6 4" xfId="15339" xr:uid="{9738E292-86F0-4BA2-88FF-298F46F1965C}"/>
    <cellStyle name="Normal 5 4 2 2 2 7" xfId="4831" xr:uid="{00000000-0005-0000-0000-0000C31A0000}"/>
    <cellStyle name="Normal 5 4 2 2 2 7 2" xfId="17492" xr:uid="{99266A7F-32B0-4ED9-A5DB-ACC5C2758FDF}"/>
    <cellStyle name="Normal 5 4 2 2 2 8" xfId="9063" xr:uid="{3D4E599C-A881-412C-B5BF-5747760DB038}"/>
    <cellStyle name="Normal 5 4 2 2 2 9" xfId="13274" xr:uid="{6A01C9D2-7BAE-49DB-BADB-5BBB7C7A0660}"/>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20049" xr:uid="{B29A3F7E-FAB7-43F9-9F11-DB6F4D84B9DB}"/>
    <cellStyle name="Normal 5 4 2 2 3 2 3" xfId="11620" xr:uid="{BB243F6C-A3C5-429A-9EE6-A9C9ABF52A38}"/>
    <cellStyle name="Normal 5 4 2 2 3 2 4" xfId="15831" xr:uid="{351ABC16-CA34-4FE0-A450-6281CE028498}"/>
    <cellStyle name="Normal 5 4 2 2 3 3" xfId="5243" xr:uid="{00000000-0005-0000-0000-0000C71A0000}"/>
    <cellStyle name="Normal 5 4 2 2 3 3 2" xfId="17904" xr:uid="{4F3D2EB6-DAEC-4DA3-8F34-36D5575B93B5}"/>
    <cellStyle name="Normal 5 4 2 2 3 4" xfId="9475" xr:uid="{0B6F2C6E-0E58-486C-8338-DA18F8521E68}"/>
    <cellStyle name="Normal 5 4 2 2 3 5" xfId="13686" xr:uid="{38C37F55-0934-4823-9080-7644067BD173}"/>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20462" xr:uid="{F325BF4A-418B-400C-A60A-AF61F2626FC7}"/>
    <cellStyle name="Normal 5 4 2 2 4 2 3" xfId="12033" xr:uid="{E094564C-9FD7-475C-9277-1F093950B3CC}"/>
    <cellStyle name="Normal 5 4 2 2 4 2 4" xfId="16244" xr:uid="{5514C6F4-18FF-4E88-B5A4-B7EBAF838D8C}"/>
    <cellStyle name="Normal 5 4 2 2 4 3" xfId="5656" xr:uid="{00000000-0005-0000-0000-0000CB1A0000}"/>
    <cellStyle name="Normal 5 4 2 2 4 3 2" xfId="18317" xr:uid="{B335225D-2E58-4139-AEAA-EE85AF814A1B}"/>
    <cellStyle name="Normal 5 4 2 2 4 4" xfId="9888" xr:uid="{A98DA9C9-0FB0-440B-BA24-AE7B5BF3280B}"/>
    <cellStyle name="Normal 5 4 2 2 4 5" xfId="14099" xr:uid="{77C57E31-F4DB-4284-AC1F-3319B2F2CDF3}"/>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20875" xr:uid="{23A94250-6110-4E53-ACD2-D9D333B09CED}"/>
    <cellStyle name="Normal 5 4 2 2 5 2 3" xfId="12446" xr:uid="{54951EC0-DD5A-4128-991D-4038A0F5BADB}"/>
    <cellStyle name="Normal 5 4 2 2 5 2 4" xfId="16657" xr:uid="{E450937B-8BB6-4F9B-AFBB-FD02800C23F0}"/>
    <cellStyle name="Normal 5 4 2 2 5 3" xfId="6069" xr:uid="{00000000-0005-0000-0000-0000CF1A0000}"/>
    <cellStyle name="Normal 5 4 2 2 5 3 2" xfId="18730" xr:uid="{007E55A6-5291-4ABC-8823-AB22CE53C96B}"/>
    <cellStyle name="Normal 5 4 2 2 5 4" xfId="10301" xr:uid="{65532092-E0F2-4002-86A6-C05831CDF57A}"/>
    <cellStyle name="Normal 5 4 2 2 5 5" xfId="14512" xr:uid="{6D76CD2B-D55D-4EB5-B237-115765624896}"/>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21288" xr:uid="{E9FDC09F-A0CD-4020-8111-362B2C1F4820}"/>
    <cellStyle name="Normal 5 4 2 2 6 2 3" xfId="12859" xr:uid="{7C124A63-618D-4EE2-833F-32D695CCF2D9}"/>
    <cellStyle name="Normal 5 4 2 2 6 2 4" xfId="17070" xr:uid="{6322D414-F57F-4662-8FE8-A02A926C4906}"/>
    <cellStyle name="Normal 5 4 2 2 6 3" xfId="6482" xr:uid="{00000000-0005-0000-0000-0000D31A0000}"/>
    <cellStyle name="Normal 5 4 2 2 6 3 2" xfId="19143" xr:uid="{540E5009-8C94-4C8A-BED7-5C0296158F95}"/>
    <cellStyle name="Normal 5 4 2 2 6 4" xfId="10714" xr:uid="{E46D6870-8141-457A-A5C3-96C92377388D}"/>
    <cellStyle name="Normal 5 4 2 2 6 5" xfId="14925" xr:uid="{679CD577-15ED-413C-BD8A-41536F900150}"/>
    <cellStyle name="Normal 5 4 2 2 7" xfId="2612" xr:uid="{00000000-0005-0000-0000-0000D41A0000}"/>
    <cellStyle name="Normal 5 4 2 2 7 2" xfId="6895" xr:uid="{00000000-0005-0000-0000-0000D51A0000}"/>
    <cellStyle name="Normal 5 4 2 2 7 2 2" xfId="19556" xr:uid="{350847E5-01E9-492C-83F4-34B16EE6C5EA}"/>
    <cellStyle name="Normal 5 4 2 2 7 3" xfId="11127" xr:uid="{D5C13665-4785-429D-B8F2-717B19DDC2BD}"/>
    <cellStyle name="Normal 5 4 2 2 7 4" xfId="15338" xr:uid="{FFB41BB9-43F5-4460-B5CA-DEBDAE06A732}"/>
    <cellStyle name="Normal 5 4 2 2 8" xfId="4830" xr:uid="{00000000-0005-0000-0000-0000D61A0000}"/>
    <cellStyle name="Normal 5 4 2 2 8 2" xfId="17491" xr:uid="{F138769E-8FF0-4F9E-919C-42817B20EE75}"/>
    <cellStyle name="Normal 5 4 2 2 9" xfId="9062" xr:uid="{2050CC24-B1E9-4F88-AB28-FDBCD7AFE408}"/>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20051" xr:uid="{2F0D32F0-860F-4A1B-8A22-81C693B181DA}"/>
    <cellStyle name="Normal 5 4 2 3 2 2 3" xfId="11622" xr:uid="{1985C542-BAD8-47A4-8241-956E57C5202E}"/>
    <cellStyle name="Normal 5 4 2 3 2 2 4" xfId="15833" xr:uid="{58A8134B-BC25-4E99-8AB3-A14D3B59BFEC}"/>
    <cellStyle name="Normal 5 4 2 3 2 3" xfId="5245" xr:uid="{00000000-0005-0000-0000-0000DB1A0000}"/>
    <cellStyle name="Normal 5 4 2 3 2 3 2" xfId="17906" xr:uid="{F49D3C33-24AF-4846-83CD-6E9141D125B6}"/>
    <cellStyle name="Normal 5 4 2 3 2 4" xfId="9477" xr:uid="{03CAB132-74A9-493A-A70F-9189F00FE6AD}"/>
    <cellStyle name="Normal 5 4 2 3 2 5" xfId="13688" xr:uid="{CE1CBD19-0EBC-4E60-A341-5F595FC52BD0}"/>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20464" xr:uid="{007F4481-62C1-47A6-B12F-D7994B127593}"/>
    <cellStyle name="Normal 5 4 2 3 3 2 3" xfId="12035" xr:uid="{A479D15F-EF6D-47BC-A8D2-4122CC4B28C5}"/>
    <cellStyle name="Normal 5 4 2 3 3 2 4" xfId="16246" xr:uid="{B4EEB93F-97ED-405A-B3A8-33DA5B7C28DF}"/>
    <cellStyle name="Normal 5 4 2 3 3 3" xfId="5658" xr:uid="{00000000-0005-0000-0000-0000DF1A0000}"/>
    <cellStyle name="Normal 5 4 2 3 3 3 2" xfId="18319" xr:uid="{489AF631-A430-4960-971D-7A4DAE8C47E7}"/>
    <cellStyle name="Normal 5 4 2 3 3 4" xfId="9890" xr:uid="{022E9AE9-595A-44E7-A350-913977213EFC}"/>
    <cellStyle name="Normal 5 4 2 3 3 5" xfId="14101" xr:uid="{7EB1E092-ED03-4FB7-B149-29C3E3DCED24}"/>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20877" xr:uid="{BC836EFF-C9BC-4CC2-8763-07EBB6BE9761}"/>
    <cellStyle name="Normal 5 4 2 3 4 2 3" xfId="12448" xr:uid="{3BCAF798-8307-4487-AC94-E0DE098DEC73}"/>
    <cellStyle name="Normal 5 4 2 3 4 2 4" xfId="16659" xr:uid="{5D8252E3-5751-476A-B213-9C5E546811B2}"/>
    <cellStyle name="Normal 5 4 2 3 4 3" xfId="6071" xr:uid="{00000000-0005-0000-0000-0000E31A0000}"/>
    <cellStyle name="Normal 5 4 2 3 4 3 2" xfId="18732" xr:uid="{FC6ACFB4-DB51-48F7-9203-CA2D79DBEA11}"/>
    <cellStyle name="Normal 5 4 2 3 4 4" xfId="10303" xr:uid="{921D34AA-D0D7-4C27-B810-089DEDD505F8}"/>
    <cellStyle name="Normal 5 4 2 3 4 5" xfId="14514" xr:uid="{EC5F6463-69C0-4A08-93DB-E3409ED29522}"/>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21290" xr:uid="{C46B8B08-B8A4-4F52-8625-BFC1D3B47747}"/>
    <cellStyle name="Normal 5 4 2 3 5 2 3" xfId="12861" xr:uid="{6A0E9DB7-6AAE-48B8-B63E-320D2BD706CB}"/>
    <cellStyle name="Normal 5 4 2 3 5 2 4" xfId="17072" xr:uid="{1D05DCCD-5F49-4391-B466-33B117FBFC40}"/>
    <cellStyle name="Normal 5 4 2 3 5 3" xfId="6484" xr:uid="{00000000-0005-0000-0000-0000E71A0000}"/>
    <cellStyle name="Normal 5 4 2 3 5 3 2" xfId="19145" xr:uid="{E34C5FB9-1DA8-46DE-A96E-286EA42B7EF7}"/>
    <cellStyle name="Normal 5 4 2 3 5 4" xfId="10716" xr:uid="{9213986C-1EF8-4A20-8346-A4CC8AD1C4BC}"/>
    <cellStyle name="Normal 5 4 2 3 5 5" xfId="14927" xr:uid="{0AA6A851-E7E9-439F-A77B-02FC13B614D5}"/>
    <cellStyle name="Normal 5 4 2 3 6" xfId="2614" xr:uid="{00000000-0005-0000-0000-0000E81A0000}"/>
    <cellStyle name="Normal 5 4 2 3 6 2" xfId="6897" xr:uid="{00000000-0005-0000-0000-0000E91A0000}"/>
    <cellStyle name="Normal 5 4 2 3 6 2 2" xfId="19558" xr:uid="{B803ED93-8D67-46F4-A398-6B7FABE11CBF}"/>
    <cellStyle name="Normal 5 4 2 3 6 3" xfId="11129" xr:uid="{815C7284-BE60-4ECE-ABB4-A97B3B8C9FB4}"/>
    <cellStyle name="Normal 5 4 2 3 6 4" xfId="15340" xr:uid="{4FDA8360-C6A6-4B8E-A132-3F4ACB6298A5}"/>
    <cellStyle name="Normal 5 4 2 3 7" xfId="4832" xr:uid="{00000000-0005-0000-0000-0000EA1A0000}"/>
    <cellStyle name="Normal 5 4 2 3 7 2" xfId="17493" xr:uid="{AE625591-0707-41C4-A298-44D60463E04E}"/>
    <cellStyle name="Normal 5 4 2 3 8" xfId="9064" xr:uid="{942C28CC-0613-46E7-BAE2-E81507537FAB}"/>
    <cellStyle name="Normal 5 4 2 3 9" xfId="13275" xr:uid="{56627065-5D43-4230-BF5B-305F3158E175}"/>
    <cellStyle name="Normal 5 4 2 4" xfId="931" xr:uid="{00000000-0005-0000-0000-0000EB1A0000}"/>
    <cellStyle name="Normal 5 4 2 4 2" xfId="3165" xr:uid="{00000000-0005-0000-0000-0000EC1A0000}"/>
    <cellStyle name="Normal 5 4 2 4 2 2" xfId="7387" xr:uid="{00000000-0005-0000-0000-0000ED1A0000}"/>
    <cellStyle name="Normal 5 4 2 4 2 2 2" xfId="20048" xr:uid="{BEC91692-6726-4F69-AF57-0C094D66B4DF}"/>
    <cellStyle name="Normal 5 4 2 4 2 3" xfId="11619" xr:uid="{EC9C9472-4B3D-4143-A57D-089A5D40EDDE}"/>
    <cellStyle name="Normal 5 4 2 4 2 4" xfId="15830" xr:uid="{AF026769-4BB8-4E4B-8625-3FF06FBDAF11}"/>
    <cellStyle name="Normal 5 4 2 4 3" xfId="5242" xr:uid="{00000000-0005-0000-0000-0000EE1A0000}"/>
    <cellStyle name="Normal 5 4 2 4 3 2" xfId="17903" xr:uid="{511C7CB7-9424-4362-AA61-B24AD2408FA1}"/>
    <cellStyle name="Normal 5 4 2 4 4" xfId="9474" xr:uid="{3503D02D-D7FD-4B5F-BF50-C0C095E40D35}"/>
    <cellStyle name="Normal 5 4 2 4 5" xfId="13685" xr:uid="{EACFD286-57E4-4843-A850-67BFBF7BBBD4}"/>
    <cellStyle name="Normal 5 4 2 5" xfId="1348" xr:uid="{00000000-0005-0000-0000-0000EF1A0000}"/>
    <cellStyle name="Normal 5 4 2 5 2" xfId="3578" xr:uid="{00000000-0005-0000-0000-0000F01A0000}"/>
    <cellStyle name="Normal 5 4 2 5 2 2" xfId="7800" xr:uid="{00000000-0005-0000-0000-0000F11A0000}"/>
    <cellStyle name="Normal 5 4 2 5 2 2 2" xfId="20461" xr:uid="{558F9605-BC79-41CD-B208-7F2368DDC765}"/>
    <cellStyle name="Normal 5 4 2 5 2 3" xfId="12032" xr:uid="{B3F56FB0-B36A-4B5E-849C-C9E600B99713}"/>
    <cellStyle name="Normal 5 4 2 5 2 4" xfId="16243" xr:uid="{08D4640D-730A-46D9-BA14-52EAE9CF1EDB}"/>
    <cellStyle name="Normal 5 4 2 5 3" xfId="5655" xr:uid="{00000000-0005-0000-0000-0000F21A0000}"/>
    <cellStyle name="Normal 5 4 2 5 3 2" xfId="18316" xr:uid="{51E62503-E1DC-4345-9086-B163D04A757F}"/>
    <cellStyle name="Normal 5 4 2 5 4" xfId="9887" xr:uid="{0F6DD601-E985-4B73-A0F7-2DA25DF189FE}"/>
    <cellStyle name="Normal 5 4 2 5 5" xfId="14098" xr:uid="{3E01E4AE-751D-4EEC-9E96-E519F6AE5A9A}"/>
    <cellStyle name="Normal 5 4 2 6" xfId="1761" xr:uid="{00000000-0005-0000-0000-0000F31A0000}"/>
    <cellStyle name="Normal 5 4 2 6 2" xfId="3991" xr:uid="{00000000-0005-0000-0000-0000F41A0000}"/>
    <cellStyle name="Normal 5 4 2 6 2 2" xfId="8213" xr:uid="{00000000-0005-0000-0000-0000F51A0000}"/>
    <cellStyle name="Normal 5 4 2 6 2 2 2" xfId="20874" xr:uid="{38EFFDBC-90D7-45CC-BD02-C4D0CE027063}"/>
    <cellStyle name="Normal 5 4 2 6 2 3" xfId="12445" xr:uid="{8B49B8ED-3573-4903-BBA4-DDE237B1CC4F}"/>
    <cellStyle name="Normal 5 4 2 6 2 4" xfId="16656" xr:uid="{C130FF66-A4D1-41DF-A44C-06739EDC7FE7}"/>
    <cellStyle name="Normal 5 4 2 6 3" xfId="6068" xr:uid="{00000000-0005-0000-0000-0000F61A0000}"/>
    <cellStyle name="Normal 5 4 2 6 3 2" xfId="18729" xr:uid="{B068C6BA-0FA9-46DB-835F-1531459E9FC1}"/>
    <cellStyle name="Normal 5 4 2 6 4" xfId="10300" xr:uid="{2D5C8A86-9A44-4802-980F-040FF70DFE2E}"/>
    <cellStyle name="Normal 5 4 2 6 5" xfId="14511" xr:uid="{3B63797D-EDF2-459A-96F0-E1C3FAB599DA}"/>
    <cellStyle name="Normal 5 4 2 7" xfId="2175" xr:uid="{00000000-0005-0000-0000-0000F71A0000}"/>
    <cellStyle name="Normal 5 4 2 7 2" xfId="4404" xr:uid="{00000000-0005-0000-0000-0000F81A0000}"/>
    <cellStyle name="Normal 5 4 2 7 2 2" xfId="8626" xr:uid="{00000000-0005-0000-0000-0000F91A0000}"/>
    <cellStyle name="Normal 5 4 2 7 2 2 2" xfId="21287" xr:uid="{A3055C01-02C4-4442-9281-FF09F37BEDF3}"/>
    <cellStyle name="Normal 5 4 2 7 2 3" xfId="12858" xr:uid="{C877947A-E220-4545-A1F4-E837806EFA9B}"/>
    <cellStyle name="Normal 5 4 2 7 2 4" xfId="17069" xr:uid="{50705D73-8F51-4BFE-A69C-045190A9609F}"/>
    <cellStyle name="Normal 5 4 2 7 3" xfId="6481" xr:uid="{00000000-0005-0000-0000-0000FA1A0000}"/>
    <cellStyle name="Normal 5 4 2 7 3 2" xfId="19142" xr:uid="{FAEA66C0-4BD7-45FF-A26A-084B3E67F922}"/>
    <cellStyle name="Normal 5 4 2 7 4" xfId="10713" xr:uid="{F95ACDF0-FC91-4582-8F72-94F35D005D46}"/>
    <cellStyle name="Normal 5 4 2 7 5" xfId="14924" xr:uid="{CC81D79A-57AD-4AB6-AACF-5BF7748A101D}"/>
    <cellStyle name="Normal 5 4 2 8" xfId="2611" xr:uid="{00000000-0005-0000-0000-0000FB1A0000}"/>
    <cellStyle name="Normal 5 4 2 8 2" xfId="6894" xr:uid="{00000000-0005-0000-0000-0000FC1A0000}"/>
    <cellStyle name="Normal 5 4 2 8 2 2" xfId="19555" xr:uid="{9F5C0716-4EEE-4751-90AB-FF2C5B87F5B7}"/>
    <cellStyle name="Normal 5 4 2 8 3" xfId="11126" xr:uid="{1368CDAE-293B-4521-8BB4-D41527968C0D}"/>
    <cellStyle name="Normal 5 4 2 8 4" xfId="15337" xr:uid="{3CDA2634-4638-4C58-963B-B7E2820512A7}"/>
    <cellStyle name="Normal 5 4 2 9" xfId="4829" xr:uid="{00000000-0005-0000-0000-0000FD1A0000}"/>
    <cellStyle name="Normal 5 4 2 9 2" xfId="17490" xr:uid="{9252C6E1-DD24-4A8E-92F5-72AA44F4AA83}"/>
    <cellStyle name="Normal 5 4 3" xfId="461" xr:uid="{00000000-0005-0000-0000-0000FE1A0000}"/>
    <cellStyle name="Normal 5 4 3 10" xfId="13276" xr:uid="{971EE5DF-D406-4EC3-B709-8CA6F026A372}"/>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20053" xr:uid="{379BD474-7B8D-4A59-8780-3D03746F920D}"/>
    <cellStyle name="Normal 5 4 3 2 2 2 3" xfId="11624" xr:uid="{EC2F5D61-093A-4467-A88C-2CF63F825736}"/>
    <cellStyle name="Normal 5 4 3 2 2 2 4" xfId="15835" xr:uid="{D7D7B945-6816-4853-9574-7B8E13D1ED22}"/>
    <cellStyle name="Normal 5 4 3 2 2 3" xfId="5247" xr:uid="{00000000-0005-0000-0000-0000031B0000}"/>
    <cellStyle name="Normal 5 4 3 2 2 3 2" xfId="17908" xr:uid="{34E03D9A-6F9E-4CB5-AFBF-1F73C87A9253}"/>
    <cellStyle name="Normal 5 4 3 2 2 4" xfId="9479" xr:uid="{E6FB6328-90E4-4DE2-BF7A-985F28E7B2F8}"/>
    <cellStyle name="Normal 5 4 3 2 2 5" xfId="13690" xr:uid="{EF90A5CF-BEC6-4544-B147-C89B0AD6BC72}"/>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20466" xr:uid="{1914C8B1-620C-4351-B49F-46C991074919}"/>
    <cellStyle name="Normal 5 4 3 2 3 2 3" xfId="12037" xr:uid="{77FA1ED0-DCC7-46F3-8E07-C0E996FDB6C5}"/>
    <cellStyle name="Normal 5 4 3 2 3 2 4" xfId="16248" xr:uid="{D51C9A7B-3D7E-49AA-9BD9-9A0C99C6A51A}"/>
    <cellStyle name="Normal 5 4 3 2 3 3" xfId="5660" xr:uid="{00000000-0005-0000-0000-0000071B0000}"/>
    <cellStyle name="Normal 5 4 3 2 3 3 2" xfId="18321" xr:uid="{2747357C-AF9C-4BDE-9C9D-BB8BF6882693}"/>
    <cellStyle name="Normal 5 4 3 2 3 4" xfId="9892" xr:uid="{AC0A0686-5AB0-4FA3-B834-2080418C2156}"/>
    <cellStyle name="Normal 5 4 3 2 3 5" xfId="14103" xr:uid="{83B9902B-B003-4725-894B-1AFCDB061931}"/>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20879" xr:uid="{6B23360A-BB1B-4D2B-B6AC-5C30C3A9BFE7}"/>
    <cellStyle name="Normal 5 4 3 2 4 2 3" xfId="12450" xr:uid="{EF915373-E76B-4AE3-AAEA-FCB75E40D288}"/>
    <cellStyle name="Normal 5 4 3 2 4 2 4" xfId="16661" xr:uid="{2645AFC6-BA7E-4F04-BAD3-FE2E5FA936B6}"/>
    <cellStyle name="Normal 5 4 3 2 4 3" xfId="6073" xr:uid="{00000000-0005-0000-0000-00000B1B0000}"/>
    <cellStyle name="Normal 5 4 3 2 4 3 2" xfId="18734" xr:uid="{D916D4E5-E31D-4544-AC32-AB39CE69F000}"/>
    <cellStyle name="Normal 5 4 3 2 4 4" xfId="10305" xr:uid="{56B306E5-69F5-4C60-A292-75433FA2DDB2}"/>
    <cellStyle name="Normal 5 4 3 2 4 5" xfId="14516" xr:uid="{EC3B94A2-41C2-414A-B95D-3756EA831195}"/>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21292" xr:uid="{2A3EF351-8F53-4EBE-B46B-176A53C44019}"/>
    <cellStyle name="Normal 5 4 3 2 5 2 3" xfId="12863" xr:uid="{F5F7931B-44EE-46C8-B480-412DE61FB9CD}"/>
    <cellStyle name="Normal 5 4 3 2 5 2 4" xfId="17074" xr:uid="{1B1D559E-5592-4255-B187-CE7227A422B7}"/>
    <cellStyle name="Normal 5 4 3 2 5 3" xfId="6486" xr:uid="{00000000-0005-0000-0000-00000F1B0000}"/>
    <cellStyle name="Normal 5 4 3 2 5 3 2" xfId="19147" xr:uid="{542D0140-5932-4B5C-B3ED-A72FDF6535D1}"/>
    <cellStyle name="Normal 5 4 3 2 5 4" xfId="10718" xr:uid="{7304FABE-C9F4-4B1D-9C3C-6433BE295BBD}"/>
    <cellStyle name="Normal 5 4 3 2 5 5" xfId="14929" xr:uid="{ED000DDF-F06D-4A41-91B4-4E3F1212E7F6}"/>
    <cellStyle name="Normal 5 4 3 2 6" xfId="2616" xr:uid="{00000000-0005-0000-0000-0000101B0000}"/>
    <cellStyle name="Normal 5 4 3 2 6 2" xfId="6899" xr:uid="{00000000-0005-0000-0000-0000111B0000}"/>
    <cellStyle name="Normal 5 4 3 2 6 2 2" xfId="19560" xr:uid="{943C9353-DB19-4A04-B7A4-69FF8A07CC77}"/>
    <cellStyle name="Normal 5 4 3 2 6 3" xfId="11131" xr:uid="{C13DD30F-9D67-4D3D-BDED-E218FEE30984}"/>
    <cellStyle name="Normal 5 4 3 2 6 4" xfId="15342" xr:uid="{4E645ABB-284B-4756-B741-73F3864E6640}"/>
    <cellStyle name="Normal 5 4 3 2 7" xfId="4834" xr:uid="{00000000-0005-0000-0000-0000121B0000}"/>
    <cellStyle name="Normal 5 4 3 2 7 2" xfId="17495" xr:uid="{776409AA-8C48-4872-A29D-3A648E602858}"/>
    <cellStyle name="Normal 5 4 3 2 8" xfId="9066" xr:uid="{309B6EEF-324B-417F-BBB3-20D6E087D976}"/>
    <cellStyle name="Normal 5 4 3 2 9" xfId="13277" xr:uid="{25D72B81-6609-4FB5-B57D-42A9DB9EA5DD}"/>
    <cellStyle name="Normal 5 4 3 3" xfId="935" xr:uid="{00000000-0005-0000-0000-0000131B0000}"/>
    <cellStyle name="Normal 5 4 3 3 2" xfId="3169" xr:uid="{00000000-0005-0000-0000-0000141B0000}"/>
    <cellStyle name="Normal 5 4 3 3 2 2" xfId="7391" xr:uid="{00000000-0005-0000-0000-0000151B0000}"/>
    <cellStyle name="Normal 5 4 3 3 2 2 2" xfId="20052" xr:uid="{CA039B69-C0A9-44F0-AEBE-252DD49D8368}"/>
    <cellStyle name="Normal 5 4 3 3 2 3" xfId="11623" xr:uid="{140C4744-6BEB-40B9-8527-FDE1495BE650}"/>
    <cellStyle name="Normal 5 4 3 3 2 4" xfId="15834" xr:uid="{263EA4DB-B053-4F88-A4DC-AE9FD3C126CF}"/>
    <cellStyle name="Normal 5 4 3 3 3" xfId="5246" xr:uid="{00000000-0005-0000-0000-0000161B0000}"/>
    <cellStyle name="Normal 5 4 3 3 3 2" xfId="17907" xr:uid="{89EF4986-5BE2-4373-999B-828A917D088E}"/>
    <cellStyle name="Normal 5 4 3 3 4" xfId="9478" xr:uid="{F56D5428-7883-434A-A2F7-06AEF1A07C8D}"/>
    <cellStyle name="Normal 5 4 3 3 5" xfId="13689" xr:uid="{0A4A3884-6877-4EEB-9764-79466826D9E6}"/>
    <cellStyle name="Normal 5 4 3 4" xfId="1352" xr:uid="{00000000-0005-0000-0000-0000171B0000}"/>
    <cellStyle name="Normal 5 4 3 4 2" xfId="3582" xr:uid="{00000000-0005-0000-0000-0000181B0000}"/>
    <cellStyle name="Normal 5 4 3 4 2 2" xfId="7804" xr:uid="{00000000-0005-0000-0000-0000191B0000}"/>
    <cellStyle name="Normal 5 4 3 4 2 2 2" xfId="20465" xr:uid="{145F9B00-DB29-447F-B210-622EDA54B029}"/>
    <cellStyle name="Normal 5 4 3 4 2 3" xfId="12036" xr:uid="{278758CB-B3E7-4F44-94FB-752E44989756}"/>
    <cellStyle name="Normal 5 4 3 4 2 4" xfId="16247" xr:uid="{B1CA6836-E505-48EE-BD58-6DA21DD328F7}"/>
    <cellStyle name="Normal 5 4 3 4 3" xfId="5659" xr:uid="{00000000-0005-0000-0000-00001A1B0000}"/>
    <cellStyle name="Normal 5 4 3 4 3 2" xfId="18320" xr:uid="{C1A9F525-B539-4BD0-A262-38C6DDCD87EE}"/>
    <cellStyle name="Normal 5 4 3 4 4" xfId="9891" xr:uid="{A426A55E-CEDE-4884-82F4-69C6BE9D8430}"/>
    <cellStyle name="Normal 5 4 3 4 5" xfId="14102" xr:uid="{4EC41EA7-BA0B-478C-BDFE-AD45B6BC448F}"/>
    <cellStyle name="Normal 5 4 3 5" xfId="1765" xr:uid="{00000000-0005-0000-0000-00001B1B0000}"/>
    <cellStyle name="Normal 5 4 3 5 2" xfId="3995" xr:uid="{00000000-0005-0000-0000-00001C1B0000}"/>
    <cellStyle name="Normal 5 4 3 5 2 2" xfId="8217" xr:uid="{00000000-0005-0000-0000-00001D1B0000}"/>
    <cellStyle name="Normal 5 4 3 5 2 2 2" xfId="20878" xr:uid="{E1EC5DE7-63E4-4874-9ABC-E69CB40E5E25}"/>
    <cellStyle name="Normal 5 4 3 5 2 3" xfId="12449" xr:uid="{C9ECE189-AA18-4D14-8186-CB3FD35571ED}"/>
    <cellStyle name="Normal 5 4 3 5 2 4" xfId="16660" xr:uid="{03084316-334D-4705-A6FC-976AD924AEF7}"/>
    <cellStyle name="Normal 5 4 3 5 3" xfId="6072" xr:uid="{00000000-0005-0000-0000-00001E1B0000}"/>
    <cellStyle name="Normal 5 4 3 5 3 2" xfId="18733" xr:uid="{4379A8E2-321D-4E97-9E3C-2A25D472900C}"/>
    <cellStyle name="Normal 5 4 3 5 4" xfId="10304" xr:uid="{8761A9E5-E466-4081-9859-993C4FF4C598}"/>
    <cellStyle name="Normal 5 4 3 5 5" xfId="14515" xr:uid="{17EA22A2-D65E-4A7A-82FA-7B6F0D42E833}"/>
    <cellStyle name="Normal 5 4 3 6" xfId="2179" xr:uid="{00000000-0005-0000-0000-00001F1B0000}"/>
    <cellStyle name="Normal 5 4 3 6 2" xfId="4408" xr:uid="{00000000-0005-0000-0000-0000201B0000}"/>
    <cellStyle name="Normal 5 4 3 6 2 2" xfId="8630" xr:uid="{00000000-0005-0000-0000-0000211B0000}"/>
    <cellStyle name="Normal 5 4 3 6 2 2 2" xfId="21291" xr:uid="{A65A2E62-23D6-43BA-A49D-985DA3476A08}"/>
    <cellStyle name="Normal 5 4 3 6 2 3" xfId="12862" xr:uid="{7C95DE34-0695-4112-8C91-FFCFE63CE73F}"/>
    <cellStyle name="Normal 5 4 3 6 2 4" xfId="17073" xr:uid="{AA21130C-27D8-4F4E-80BD-0B6956608B64}"/>
    <cellStyle name="Normal 5 4 3 6 3" xfId="6485" xr:uid="{00000000-0005-0000-0000-0000221B0000}"/>
    <cellStyle name="Normal 5 4 3 6 3 2" xfId="19146" xr:uid="{CC1B74A6-8136-4167-B66A-EA5E99492F51}"/>
    <cellStyle name="Normal 5 4 3 6 4" xfId="10717" xr:uid="{33A762CE-5EB2-4BBF-8353-AD74099A17A6}"/>
    <cellStyle name="Normal 5 4 3 6 5" xfId="14928" xr:uid="{13DAB365-9CCA-4AE0-AE42-4040F3A0C237}"/>
    <cellStyle name="Normal 5 4 3 7" xfId="2615" xr:uid="{00000000-0005-0000-0000-0000231B0000}"/>
    <cellStyle name="Normal 5 4 3 7 2" xfId="6898" xr:uid="{00000000-0005-0000-0000-0000241B0000}"/>
    <cellStyle name="Normal 5 4 3 7 2 2" xfId="19559" xr:uid="{1F9FF197-B899-439A-9004-0E92870338A2}"/>
    <cellStyle name="Normal 5 4 3 7 3" xfId="11130" xr:uid="{5BFFABA4-CDB8-47E8-821B-7F38A26BD0E4}"/>
    <cellStyle name="Normal 5 4 3 7 4" xfId="15341" xr:uid="{34759379-90B2-40E3-B5DF-D68C4B68B47B}"/>
    <cellStyle name="Normal 5 4 3 8" xfId="4833" xr:uid="{00000000-0005-0000-0000-0000251B0000}"/>
    <cellStyle name="Normal 5 4 3 8 2" xfId="17494" xr:uid="{187A4DDC-8F65-4665-8112-C210939D0DC5}"/>
    <cellStyle name="Normal 5 4 3 9" xfId="9065" xr:uid="{9C3CF6D1-7D65-401A-8372-AC3239AAD13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20054" xr:uid="{41F54581-84D1-4BDA-B74D-64104640A7BB}"/>
    <cellStyle name="Normal 5 4 4 2 2 3" xfId="11625" xr:uid="{6CC2CC18-BCEF-45C9-9400-C7A88A0516D6}"/>
    <cellStyle name="Normal 5 4 4 2 2 4" xfId="15836" xr:uid="{BD42702B-ACE8-466F-9856-503BC6A3BB14}"/>
    <cellStyle name="Normal 5 4 4 2 3" xfId="5248" xr:uid="{00000000-0005-0000-0000-00002A1B0000}"/>
    <cellStyle name="Normal 5 4 4 2 3 2" xfId="17909" xr:uid="{F29CCA54-E67B-4C2F-A7C5-19273A262E91}"/>
    <cellStyle name="Normal 5 4 4 2 4" xfId="9480" xr:uid="{4109D869-E822-42E6-AD17-60BCBBCDD9B7}"/>
    <cellStyle name="Normal 5 4 4 2 5" xfId="13691" xr:uid="{D042A288-6559-44CC-8DA8-84CE2C08A464}"/>
    <cellStyle name="Normal 5 4 4 3" xfId="1354" xr:uid="{00000000-0005-0000-0000-00002B1B0000}"/>
    <cellStyle name="Normal 5 4 4 3 2" xfId="3584" xr:uid="{00000000-0005-0000-0000-00002C1B0000}"/>
    <cellStyle name="Normal 5 4 4 3 2 2" xfId="7806" xr:uid="{00000000-0005-0000-0000-00002D1B0000}"/>
    <cellStyle name="Normal 5 4 4 3 2 2 2" xfId="20467" xr:uid="{1446FE7B-6992-4B63-82E0-5333049638E7}"/>
    <cellStyle name="Normal 5 4 4 3 2 3" xfId="12038" xr:uid="{92414446-28EA-4AB5-BFF9-30B80258FF33}"/>
    <cellStyle name="Normal 5 4 4 3 2 4" xfId="16249" xr:uid="{56315DFD-A97C-4CEE-A5CF-FF1242E016AF}"/>
    <cellStyle name="Normal 5 4 4 3 3" xfId="5661" xr:uid="{00000000-0005-0000-0000-00002E1B0000}"/>
    <cellStyle name="Normal 5 4 4 3 3 2" xfId="18322" xr:uid="{18588773-8BA0-49FE-8A73-17B44345EBCD}"/>
    <cellStyle name="Normal 5 4 4 3 4" xfId="9893" xr:uid="{49DCA846-7238-4B9C-AD84-19FB23F8A4C7}"/>
    <cellStyle name="Normal 5 4 4 3 5" xfId="14104" xr:uid="{C3A9BD64-7143-465B-B66D-50E6A224A056}"/>
    <cellStyle name="Normal 5 4 4 4" xfId="1767" xr:uid="{00000000-0005-0000-0000-00002F1B0000}"/>
    <cellStyle name="Normal 5 4 4 4 2" xfId="3997" xr:uid="{00000000-0005-0000-0000-0000301B0000}"/>
    <cellStyle name="Normal 5 4 4 4 2 2" xfId="8219" xr:uid="{00000000-0005-0000-0000-0000311B0000}"/>
    <cellStyle name="Normal 5 4 4 4 2 2 2" xfId="20880" xr:uid="{FA771176-444D-4D3E-B676-ED90F604B97D}"/>
    <cellStyle name="Normal 5 4 4 4 2 3" xfId="12451" xr:uid="{044FA0EB-C47D-4A16-96E2-6D6732D5F13C}"/>
    <cellStyle name="Normal 5 4 4 4 2 4" xfId="16662" xr:uid="{3A8A77FE-AD94-4397-BFE0-F192C668F92B}"/>
    <cellStyle name="Normal 5 4 4 4 3" xfId="6074" xr:uid="{00000000-0005-0000-0000-0000321B0000}"/>
    <cellStyle name="Normal 5 4 4 4 3 2" xfId="18735" xr:uid="{EF7F76B6-E5E6-4A21-ADAA-1501E0CBBC6C}"/>
    <cellStyle name="Normal 5 4 4 4 4" xfId="10306" xr:uid="{1373CBA5-24EB-4548-B8A3-C99460596541}"/>
    <cellStyle name="Normal 5 4 4 4 5" xfId="14517" xr:uid="{AE5B8457-58DA-4F13-BCA4-082E61E32AB7}"/>
    <cellStyle name="Normal 5 4 4 5" xfId="2181" xr:uid="{00000000-0005-0000-0000-0000331B0000}"/>
    <cellStyle name="Normal 5 4 4 5 2" xfId="4410" xr:uid="{00000000-0005-0000-0000-0000341B0000}"/>
    <cellStyle name="Normal 5 4 4 5 2 2" xfId="8632" xr:uid="{00000000-0005-0000-0000-0000351B0000}"/>
    <cellStyle name="Normal 5 4 4 5 2 2 2" xfId="21293" xr:uid="{A8AA66E5-C47C-429F-A319-0892F9628647}"/>
    <cellStyle name="Normal 5 4 4 5 2 3" xfId="12864" xr:uid="{1DE65137-E543-41C3-BCE1-33DEE191FA6C}"/>
    <cellStyle name="Normal 5 4 4 5 2 4" xfId="17075" xr:uid="{43BBA7F0-D092-490B-87A7-9F3208477239}"/>
    <cellStyle name="Normal 5 4 4 5 3" xfId="6487" xr:uid="{00000000-0005-0000-0000-0000361B0000}"/>
    <cellStyle name="Normal 5 4 4 5 3 2" xfId="19148" xr:uid="{F98CB3C1-B637-4BBA-A43F-AE58710EA452}"/>
    <cellStyle name="Normal 5 4 4 5 4" xfId="10719" xr:uid="{CA0F3324-B62A-4760-B44B-07E6DD22C567}"/>
    <cellStyle name="Normal 5 4 4 5 5" xfId="14930" xr:uid="{954A863E-DD1E-43B9-909E-61EF5A510EA9}"/>
    <cellStyle name="Normal 5 4 4 6" xfId="2617" xr:uid="{00000000-0005-0000-0000-0000371B0000}"/>
    <cellStyle name="Normal 5 4 4 6 2" xfId="6900" xr:uid="{00000000-0005-0000-0000-0000381B0000}"/>
    <cellStyle name="Normal 5 4 4 6 2 2" xfId="19561" xr:uid="{1CF5E068-A2D7-4037-B23E-C182905A6AF3}"/>
    <cellStyle name="Normal 5 4 4 6 3" xfId="11132" xr:uid="{816E07FD-2C2E-4342-8ED2-FC7B4B72EA75}"/>
    <cellStyle name="Normal 5 4 4 6 4" xfId="15343" xr:uid="{ED0343BC-8C61-40D8-9335-D0F9D9E371AE}"/>
    <cellStyle name="Normal 5 4 4 7" xfId="4835" xr:uid="{00000000-0005-0000-0000-0000391B0000}"/>
    <cellStyle name="Normal 5 4 4 7 2" xfId="17496" xr:uid="{C596D11C-EB4B-4EDB-BFFD-16E30F4BD84C}"/>
    <cellStyle name="Normal 5 4 4 8" xfId="9067" xr:uid="{67DD1C8F-97AE-4FAC-BEF8-9BA3B8724142}"/>
    <cellStyle name="Normal 5 4 4 9" xfId="13278" xr:uid="{077D16F2-B493-4AA2-B45C-93FC8565C8C9}"/>
    <cellStyle name="Normal 5 4 5" xfId="930" xr:uid="{00000000-0005-0000-0000-00003A1B0000}"/>
    <cellStyle name="Normal 5 4 5 2" xfId="3164" xr:uid="{00000000-0005-0000-0000-00003B1B0000}"/>
    <cellStyle name="Normal 5 4 5 2 2" xfId="7386" xr:uid="{00000000-0005-0000-0000-00003C1B0000}"/>
    <cellStyle name="Normal 5 4 5 2 2 2" xfId="20047" xr:uid="{6A796D58-48BD-46C9-AF03-7FA993D2C47C}"/>
    <cellStyle name="Normal 5 4 5 2 3" xfId="11618" xr:uid="{FB93336B-5768-4597-89A0-B8CA77983C99}"/>
    <cellStyle name="Normal 5 4 5 2 4" xfId="15829" xr:uid="{4B582F1D-428E-4E92-B5C7-58987D92E716}"/>
    <cellStyle name="Normal 5 4 5 3" xfId="5241" xr:uid="{00000000-0005-0000-0000-00003D1B0000}"/>
    <cellStyle name="Normal 5 4 5 3 2" xfId="17902" xr:uid="{84196EEA-207E-48AF-A898-07E97C94394C}"/>
    <cellStyle name="Normal 5 4 5 4" xfId="9473" xr:uid="{C4437850-AA5E-4601-9570-8437CB154E4B}"/>
    <cellStyle name="Normal 5 4 5 5" xfId="13684" xr:uid="{0B98DB92-43D1-4FA3-BEAD-69CE806F4A77}"/>
    <cellStyle name="Normal 5 4 6" xfId="1347" xr:uid="{00000000-0005-0000-0000-00003E1B0000}"/>
    <cellStyle name="Normal 5 4 6 2" xfId="3577" xr:uid="{00000000-0005-0000-0000-00003F1B0000}"/>
    <cellStyle name="Normal 5 4 6 2 2" xfId="7799" xr:uid="{00000000-0005-0000-0000-0000401B0000}"/>
    <cellStyle name="Normal 5 4 6 2 2 2" xfId="20460" xr:uid="{432A27DB-2D34-4CC0-AA4C-9E4DCDBF7BDB}"/>
    <cellStyle name="Normal 5 4 6 2 3" xfId="12031" xr:uid="{00B2F5E4-FC39-4F14-89CF-8222FDDF136D}"/>
    <cellStyle name="Normal 5 4 6 2 4" xfId="16242" xr:uid="{B1F5D1DC-2625-41A6-8E13-B5EA7AF683DD}"/>
    <cellStyle name="Normal 5 4 6 3" xfId="5654" xr:uid="{00000000-0005-0000-0000-0000411B0000}"/>
    <cellStyle name="Normal 5 4 6 3 2" xfId="18315" xr:uid="{9944FE39-9391-497B-9CEC-039F4100163A}"/>
    <cellStyle name="Normal 5 4 6 4" xfId="9886" xr:uid="{A6C59D64-1F3B-4F9E-9762-1EF5DFF3632E}"/>
    <cellStyle name="Normal 5 4 6 5" xfId="14097" xr:uid="{316E5CC9-8675-4496-97F6-C7F20CCDFA23}"/>
    <cellStyle name="Normal 5 4 7" xfId="1760" xr:uid="{00000000-0005-0000-0000-0000421B0000}"/>
    <cellStyle name="Normal 5 4 7 2" xfId="3990" xr:uid="{00000000-0005-0000-0000-0000431B0000}"/>
    <cellStyle name="Normal 5 4 7 2 2" xfId="8212" xr:uid="{00000000-0005-0000-0000-0000441B0000}"/>
    <cellStyle name="Normal 5 4 7 2 2 2" xfId="20873" xr:uid="{22219B0A-032B-47B9-A53C-4FDC0B3D22AD}"/>
    <cellStyle name="Normal 5 4 7 2 3" xfId="12444" xr:uid="{83C53F94-6CA2-483F-8140-50CAF5FC8B3B}"/>
    <cellStyle name="Normal 5 4 7 2 4" xfId="16655" xr:uid="{9E862694-A961-44D3-99F7-35414C514D76}"/>
    <cellStyle name="Normal 5 4 7 3" xfId="6067" xr:uid="{00000000-0005-0000-0000-0000451B0000}"/>
    <cellStyle name="Normal 5 4 7 3 2" xfId="18728" xr:uid="{ADCE3DC1-1388-46EB-8719-37D94D14A24F}"/>
    <cellStyle name="Normal 5 4 7 4" xfId="10299" xr:uid="{EF558D40-B123-4111-98F2-9FE6490F1628}"/>
    <cellStyle name="Normal 5 4 7 5" xfId="14510" xr:uid="{D6DF0393-8156-4A9A-B077-EA3563127767}"/>
    <cellStyle name="Normal 5 4 8" xfId="2174" xr:uid="{00000000-0005-0000-0000-0000461B0000}"/>
    <cellStyle name="Normal 5 4 8 2" xfId="4403" xr:uid="{00000000-0005-0000-0000-0000471B0000}"/>
    <cellStyle name="Normal 5 4 8 2 2" xfId="8625" xr:uid="{00000000-0005-0000-0000-0000481B0000}"/>
    <cellStyle name="Normal 5 4 8 2 2 2" xfId="21286" xr:uid="{93F14223-D364-42B9-B1DF-FF49A1FDEDF2}"/>
    <cellStyle name="Normal 5 4 8 2 3" xfId="12857" xr:uid="{3FC6DFEB-D740-4F27-B59A-E1311E317196}"/>
    <cellStyle name="Normal 5 4 8 2 4" xfId="17068" xr:uid="{F2BE95F4-99F2-4F69-9E80-C4B1F2848FC2}"/>
    <cellStyle name="Normal 5 4 8 3" xfId="6480" xr:uid="{00000000-0005-0000-0000-0000491B0000}"/>
    <cellStyle name="Normal 5 4 8 3 2" xfId="19141" xr:uid="{480B0159-6C20-49BF-94EB-FF45637B6E3D}"/>
    <cellStyle name="Normal 5 4 8 4" xfId="10712" xr:uid="{D2807A5B-EDC6-4836-89D9-51942E1DA96C}"/>
    <cellStyle name="Normal 5 4 8 5" xfId="14923" xr:uid="{D108D99F-2B8D-4793-8A35-C19080A4E8A9}"/>
    <cellStyle name="Normal 5 4 9" xfId="2610" xr:uid="{00000000-0005-0000-0000-00004A1B0000}"/>
    <cellStyle name="Normal 5 4 9 2" xfId="6893" xr:uid="{00000000-0005-0000-0000-00004B1B0000}"/>
    <cellStyle name="Normal 5 4 9 2 2" xfId="19554" xr:uid="{58897544-46A7-47C9-A602-95232C74C017}"/>
    <cellStyle name="Normal 5 4 9 3" xfId="11125" xr:uid="{9965A4F8-0D60-4599-B005-234F080D4CD1}"/>
    <cellStyle name="Normal 5 4 9 4" xfId="15336" xr:uid="{422312A4-8F5C-4FD1-8533-E5F932532AEA}"/>
    <cellStyle name="Normal 5 5" xfId="464" xr:uid="{00000000-0005-0000-0000-00004C1B0000}"/>
    <cellStyle name="Normal 5 5 10" xfId="9068" xr:uid="{E61A274E-6723-40A0-B422-A43B4B97268E}"/>
    <cellStyle name="Normal 5 5 11" xfId="13279" xr:uid="{E28E8989-1582-4D16-B850-F9635273F0D1}"/>
    <cellStyle name="Normal 5 5 2" xfId="465" xr:uid="{00000000-0005-0000-0000-00004D1B0000}"/>
    <cellStyle name="Normal 5 5 2 10" xfId="13280" xr:uid="{C47EFDCD-4223-4BD6-8A68-9F24568B02EC}"/>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20057" xr:uid="{4B18044B-B3B3-4CEB-B646-13C7FF59F44F}"/>
    <cellStyle name="Normal 5 5 2 2 2 2 3" xfId="11628" xr:uid="{9BA92D4E-CA68-4D65-A445-7BF18F3E7787}"/>
    <cellStyle name="Normal 5 5 2 2 2 2 4" xfId="15839" xr:uid="{0B504078-A4E5-4B24-9C53-FA4B54E8700B}"/>
    <cellStyle name="Normal 5 5 2 2 2 3" xfId="5251" xr:uid="{00000000-0005-0000-0000-0000521B0000}"/>
    <cellStyle name="Normal 5 5 2 2 2 3 2" xfId="17912" xr:uid="{3AE155AB-EF1E-4F3C-8D80-D3F0F54DA3CE}"/>
    <cellStyle name="Normal 5 5 2 2 2 4" xfId="9483" xr:uid="{FCE61B18-A41D-426F-B3A6-B338F396514D}"/>
    <cellStyle name="Normal 5 5 2 2 2 5" xfId="13694" xr:uid="{0451B5B1-8B36-48B7-BFF8-C3FF83126169}"/>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20470" xr:uid="{3115EFEA-E659-4A30-8987-F818349F17FE}"/>
    <cellStyle name="Normal 5 5 2 2 3 2 3" xfId="12041" xr:uid="{58FFC5EC-4788-4EDC-AEC1-C05AC4B51204}"/>
    <cellStyle name="Normal 5 5 2 2 3 2 4" xfId="16252" xr:uid="{683FC1D4-4DE9-43F5-8166-3A0B7D7849BE}"/>
    <cellStyle name="Normal 5 5 2 2 3 3" xfId="5664" xr:uid="{00000000-0005-0000-0000-0000561B0000}"/>
    <cellStyle name="Normal 5 5 2 2 3 3 2" xfId="18325" xr:uid="{685B270C-9FC5-4099-B40F-39BED429AC86}"/>
    <cellStyle name="Normal 5 5 2 2 3 4" xfId="9896" xr:uid="{5843BFCE-C933-4752-9961-5AE6A1940593}"/>
    <cellStyle name="Normal 5 5 2 2 3 5" xfId="14107" xr:uid="{1B2B1EB2-8BCA-4CC2-A0C8-AF0F9E11A522}"/>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20883" xr:uid="{0628DB67-F44F-4245-9D50-B3059E4DF90F}"/>
    <cellStyle name="Normal 5 5 2 2 4 2 3" xfId="12454" xr:uid="{D638D4CD-ABA1-4BA1-9F4D-42F013B169B6}"/>
    <cellStyle name="Normal 5 5 2 2 4 2 4" xfId="16665" xr:uid="{E98B2CB1-FBC3-44B8-B635-571C6A2F9C98}"/>
    <cellStyle name="Normal 5 5 2 2 4 3" xfId="6077" xr:uid="{00000000-0005-0000-0000-00005A1B0000}"/>
    <cellStyle name="Normal 5 5 2 2 4 3 2" xfId="18738" xr:uid="{6CE284AE-C43A-4A73-A4D4-A1C939C3FD2F}"/>
    <cellStyle name="Normal 5 5 2 2 4 4" xfId="10309" xr:uid="{2942AE36-D1FA-4B63-80D7-B10878B1DCA9}"/>
    <cellStyle name="Normal 5 5 2 2 4 5" xfId="14520" xr:uid="{CF933237-F203-41E1-A368-14B169202372}"/>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21296" xr:uid="{3AEEBDF6-E585-4F7B-A676-FF4D3F7C2317}"/>
    <cellStyle name="Normal 5 5 2 2 5 2 3" xfId="12867" xr:uid="{198CD8E3-C485-44A6-9ADF-48209F2B5B69}"/>
    <cellStyle name="Normal 5 5 2 2 5 2 4" xfId="17078" xr:uid="{31818F85-ADE7-4D16-989B-2A2A78BCAF76}"/>
    <cellStyle name="Normal 5 5 2 2 5 3" xfId="6490" xr:uid="{00000000-0005-0000-0000-00005E1B0000}"/>
    <cellStyle name="Normal 5 5 2 2 5 3 2" xfId="19151" xr:uid="{5ED198AE-336E-4336-B725-D867DC6FE6E9}"/>
    <cellStyle name="Normal 5 5 2 2 5 4" xfId="10722" xr:uid="{BB178B4D-7D9E-4AE4-B551-C615E8FA10E9}"/>
    <cellStyle name="Normal 5 5 2 2 5 5" xfId="14933" xr:uid="{572D0728-68BB-45E7-8695-D6104620F4C2}"/>
    <cellStyle name="Normal 5 5 2 2 6" xfId="2620" xr:uid="{00000000-0005-0000-0000-00005F1B0000}"/>
    <cellStyle name="Normal 5 5 2 2 6 2" xfId="6903" xr:uid="{00000000-0005-0000-0000-0000601B0000}"/>
    <cellStyle name="Normal 5 5 2 2 6 2 2" xfId="19564" xr:uid="{3B30CEF6-B600-44C2-AFC8-8D2FA5948135}"/>
    <cellStyle name="Normal 5 5 2 2 6 3" xfId="11135" xr:uid="{3A50588B-9118-48F6-AE2E-635EC3C486E3}"/>
    <cellStyle name="Normal 5 5 2 2 6 4" xfId="15346" xr:uid="{68C91691-0EC6-4A32-8E80-DD224378549A}"/>
    <cellStyle name="Normal 5 5 2 2 7" xfId="4838" xr:uid="{00000000-0005-0000-0000-0000611B0000}"/>
    <cellStyle name="Normal 5 5 2 2 7 2" xfId="17499" xr:uid="{071ACBB8-4D0B-453A-B782-9B6A70F65114}"/>
    <cellStyle name="Normal 5 5 2 2 8" xfId="9070" xr:uid="{B163C98A-305B-4207-A3F0-EA619E8962AF}"/>
    <cellStyle name="Normal 5 5 2 2 9" xfId="13281" xr:uid="{A096CED0-0677-43B3-92E9-364640535637}"/>
    <cellStyle name="Normal 5 5 2 3" xfId="939" xr:uid="{00000000-0005-0000-0000-0000621B0000}"/>
    <cellStyle name="Normal 5 5 2 3 2" xfId="3173" xr:uid="{00000000-0005-0000-0000-0000631B0000}"/>
    <cellStyle name="Normal 5 5 2 3 2 2" xfId="7395" xr:uid="{00000000-0005-0000-0000-0000641B0000}"/>
    <cellStyle name="Normal 5 5 2 3 2 2 2" xfId="20056" xr:uid="{0E966FA7-692F-4E60-8A54-9F7DED2A288D}"/>
    <cellStyle name="Normal 5 5 2 3 2 3" xfId="11627" xr:uid="{76B0CE6C-3CAE-4CC7-84FB-FB5A43938DA6}"/>
    <cellStyle name="Normal 5 5 2 3 2 4" xfId="15838" xr:uid="{AB0190C8-FECB-482D-AF02-F3D9A6FBEE9B}"/>
    <cellStyle name="Normal 5 5 2 3 3" xfId="5250" xr:uid="{00000000-0005-0000-0000-0000651B0000}"/>
    <cellStyle name="Normal 5 5 2 3 3 2" xfId="17911" xr:uid="{ADBA2461-AC38-498B-A4A0-6F31CF5B1A67}"/>
    <cellStyle name="Normal 5 5 2 3 4" xfId="9482" xr:uid="{5AA24D7A-5B42-4357-9DCF-BF5D5627D3DA}"/>
    <cellStyle name="Normal 5 5 2 3 5" xfId="13693" xr:uid="{04499092-8250-41FF-89BA-86BF173801D0}"/>
    <cellStyle name="Normal 5 5 2 4" xfId="1356" xr:uid="{00000000-0005-0000-0000-0000661B0000}"/>
    <cellStyle name="Normal 5 5 2 4 2" xfId="3586" xr:uid="{00000000-0005-0000-0000-0000671B0000}"/>
    <cellStyle name="Normal 5 5 2 4 2 2" xfId="7808" xr:uid="{00000000-0005-0000-0000-0000681B0000}"/>
    <cellStyle name="Normal 5 5 2 4 2 2 2" xfId="20469" xr:uid="{20FD9A11-427C-4279-BCCE-C0B504BFCB16}"/>
    <cellStyle name="Normal 5 5 2 4 2 3" xfId="12040" xr:uid="{DF4B5234-9CB9-450F-B35F-55389CD9B011}"/>
    <cellStyle name="Normal 5 5 2 4 2 4" xfId="16251" xr:uid="{797473EB-AD3F-489A-BAD9-E7F6C2C6AF59}"/>
    <cellStyle name="Normal 5 5 2 4 3" xfId="5663" xr:uid="{00000000-0005-0000-0000-0000691B0000}"/>
    <cellStyle name="Normal 5 5 2 4 3 2" xfId="18324" xr:uid="{F88E4875-A358-4EF1-B9E5-D03DC2B5B3B1}"/>
    <cellStyle name="Normal 5 5 2 4 4" xfId="9895" xr:uid="{5F8E3550-D129-470F-A54C-B9E91779E50B}"/>
    <cellStyle name="Normal 5 5 2 4 5" xfId="14106" xr:uid="{B4DEC5C0-9E2B-4FF0-9868-73CCB302B310}"/>
    <cellStyle name="Normal 5 5 2 5" xfId="1769" xr:uid="{00000000-0005-0000-0000-00006A1B0000}"/>
    <cellStyle name="Normal 5 5 2 5 2" xfId="3999" xr:uid="{00000000-0005-0000-0000-00006B1B0000}"/>
    <cellStyle name="Normal 5 5 2 5 2 2" xfId="8221" xr:uid="{00000000-0005-0000-0000-00006C1B0000}"/>
    <cellStyle name="Normal 5 5 2 5 2 2 2" xfId="20882" xr:uid="{F3ECA9CA-A84E-4917-874C-C87ECA5D60DC}"/>
    <cellStyle name="Normal 5 5 2 5 2 3" xfId="12453" xr:uid="{9C84B944-4F64-421F-B8FC-B317BC18A5D1}"/>
    <cellStyle name="Normal 5 5 2 5 2 4" xfId="16664" xr:uid="{AB4496D0-C733-4176-8B38-7824024B03EF}"/>
    <cellStyle name="Normal 5 5 2 5 3" xfId="6076" xr:uid="{00000000-0005-0000-0000-00006D1B0000}"/>
    <cellStyle name="Normal 5 5 2 5 3 2" xfId="18737" xr:uid="{B3F44256-7B02-4219-A00E-AD621C1FAE7F}"/>
    <cellStyle name="Normal 5 5 2 5 4" xfId="10308" xr:uid="{DA592153-392F-448F-83CA-7243BB0DDE27}"/>
    <cellStyle name="Normal 5 5 2 5 5" xfId="14519" xr:uid="{AD89FDA8-5186-42DF-ADE6-830A99FA37E6}"/>
    <cellStyle name="Normal 5 5 2 6" xfId="2183" xr:uid="{00000000-0005-0000-0000-00006E1B0000}"/>
    <cellStyle name="Normal 5 5 2 6 2" xfId="4412" xr:uid="{00000000-0005-0000-0000-00006F1B0000}"/>
    <cellStyle name="Normal 5 5 2 6 2 2" xfId="8634" xr:uid="{00000000-0005-0000-0000-0000701B0000}"/>
    <cellStyle name="Normal 5 5 2 6 2 2 2" xfId="21295" xr:uid="{8F0B1C60-AACC-4FDE-B46E-037E322E7423}"/>
    <cellStyle name="Normal 5 5 2 6 2 3" xfId="12866" xr:uid="{286E8E8F-EA31-4CFC-8BFE-927F8D074D90}"/>
    <cellStyle name="Normal 5 5 2 6 2 4" xfId="17077" xr:uid="{BF5B5E2B-67E1-434F-BF87-D5EAB9E2F353}"/>
    <cellStyle name="Normal 5 5 2 6 3" xfId="6489" xr:uid="{00000000-0005-0000-0000-0000711B0000}"/>
    <cellStyle name="Normal 5 5 2 6 3 2" xfId="19150" xr:uid="{C2B2F9C9-5A6D-492B-885B-C78F7F28722C}"/>
    <cellStyle name="Normal 5 5 2 6 4" xfId="10721" xr:uid="{107CD548-B34B-4420-BB85-2CFA232F926F}"/>
    <cellStyle name="Normal 5 5 2 6 5" xfId="14932" xr:uid="{A5FB80AA-D6AA-4A32-8F51-580D507681A7}"/>
    <cellStyle name="Normal 5 5 2 7" xfId="2619" xr:uid="{00000000-0005-0000-0000-0000721B0000}"/>
    <cellStyle name="Normal 5 5 2 7 2" xfId="6902" xr:uid="{00000000-0005-0000-0000-0000731B0000}"/>
    <cellStyle name="Normal 5 5 2 7 2 2" xfId="19563" xr:uid="{AE442AF4-D1C0-42CD-8466-940F2481E697}"/>
    <cellStyle name="Normal 5 5 2 7 3" xfId="11134" xr:uid="{D3EA18B0-81DC-4576-9A05-6ABC25DFA272}"/>
    <cellStyle name="Normal 5 5 2 7 4" xfId="15345" xr:uid="{8970D89C-9804-437A-A97B-723AEF5A8066}"/>
    <cellStyle name="Normal 5 5 2 8" xfId="4837" xr:uid="{00000000-0005-0000-0000-0000741B0000}"/>
    <cellStyle name="Normal 5 5 2 8 2" xfId="17498" xr:uid="{7B3F08D1-7541-4AE9-B18C-84951CD29639}"/>
    <cellStyle name="Normal 5 5 2 9" xfId="9069" xr:uid="{570B3334-F98E-48F7-BCBF-2AA22B142437}"/>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20058" xr:uid="{2168CF5D-E1B0-48A9-B3A9-7312458C195B}"/>
    <cellStyle name="Normal 5 5 3 2 2 3" xfId="11629" xr:uid="{8DC4DC83-9513-4269-855D-99A03D047451}"/>
    <cellStyle name="Normal 5 5 3 2 2 4" xfId="15840" xr:uid="{608A397F-8E5B-44D1-9B1D-E3D533A05C64}"/>
    <cellStyle name="Normal 5 5 3 2 3" xfId="5252" xr:uid="{00000000-0005-0000-0000-0000791B0000}"/>
    <cellStyle name="Normal 5 5 3 2 3 2" xfId="17913" xr:uid="{72AC48BE-ACFF-49BE-A11C-B7EB396F09F3}"/>
    <cellStyle name="Normal 5 5 3 2 4" xfId="9484" xr:uid="{5902278F-85AF-4DC8-802F-16073A25D655}"/>
    <cellStyle name="Normal 5 5 3 2 5" xfId="13695" xr:uid="{4C7EAB7F-7835-4F4D-BB04-5E88814F0947}"/>
    <cellStyle name="Normal 5 5 3 3" xfId="1358" xr:uid="{00000000-0005-0000-0000-00007A1B0000}"/>
    <cellStyle name="Normal 5 5 3 3 2" xfId="3588" xr:uid="{00000000-0005-0000-0000-00007B1B0000}"/>
    <cellStyle name="Normal 5 5 3 3 2 2" xfId="7810" xr:uid="{00000000-0005-0000-0000-00007C1B0000}"/>
    <cellStyle name="Normal 5 5 3 3 2 2 2" xfId="20471" xr:uid="{0AE6CC7C-9E0A-4661-B40C-A4D33D63E346}"/>
    <cellStyle name="Normal 5 5 3 3 2 3" xfId="12042" xr:uid="{A28723BD-CE33-439E-897C-2B0A986F9864}"/>
    <cellStyle name="Normal 5 5 3 3 2 4" xfId="16253" xr:uid="{30271F52-D00C-4066-9447-92CC3855A8C7}"/>
    <cellStyle name="Normal 5 5 3 3 3" xfId="5665" xr:uid="{00000000-0005-0000-0000-00007D1B0000}"/>
    <cellStyle name="Normal 5 5 3 3 3 2" xfId="18326" xr:uid="{6A25485E-3390-42FE-A583-DB066F90FF10}"/>
    <cellStyle name="Normal 5 5 3 3 4" xfId="9897" xr:uid="{6F527662-0D58-45E3-BA62-004FEF160D54}"/>
    <cellStyle name="Normal 5 5 3 3 5" xfId="14108" xr:uid="{53796337-7A58-468F-B4E9-71FFBC3CCC9E}"/>
    <cellStyle name="Normal 5 5 3 4" xfId="1771" xr:uid="{00000000-0005-0000-0000-00007E1B0000}"/>
    <cellStyle name="Normal 5 5 3 4 2" xfId="4001" xr:uid="{00000000-0005-0000-0000-00007F1B0000}"/>
    <cellStyle name="Normal 5 5 3 4 2 2" xfId="8223" xr:uid="{00000000-0005-0000-0000-0000801B0000}"/>
    <cellStyle name="Normal 5 5 3 4 2 2 2" xfId="20884" xr:uid="{142F7049-685E-4872-9BB6-F49A7E91F7AE}"/>
    <cellStyle name="Normal 5 5 3 4 2 3" xfId="12455" xr:uid="{D4B4BC9E-25B0-4870-A96F-D01863E848B7}"/>
    <cellStyle name="Normal 5 5 3 4 2 4" xfId="16666" xr:uid="{390D739C-AA96-4920-8673-6D8FF381A53A}"/>
    <cellStyle name="Normal 5 5 3 4 3" xfId="6078" xr:uid="{00000000-0005-0000-0000-0000811B0000}"/>
    <cellStyle name="Normal 5 5 3 4 3 2" xfId="18739" xr:uid="{E66F1244-9F38-4D18-945D-A815AE097DD6}"/>
    <cellStyle name="Normal 5 5 3 4 4" xfId="10310" xr:uid="{55F47143-7C59-4D94-BA83-04D9D6A56AD9}"/>
    <cellStyle name="Normal 5 5 3 4 5" xfId="14521" xr:uid="{69FF8330-C0A2-4FE0-BC98-6F8BBDD22457}"/>
    <cellStyle name="Normal 5 5 3 5" xfId="2185" xr:uid="{00000000-0005-0000-0000-0000821B0000}"/>
    <cellStyle name="Normal 5 5 3 5 2" xfId="4414" xr:uid="{00000000-0005-0000-0000-0000831B0000}"/>
    <cellStyle name="Normal 5 5 3 5 2 2" xfId="8636" xr:uid="{00000000-0005-0000-0000-0000841B0000}"/>
    <cellStyle name="Normal 5 5 3 5 2 2 2" xfId="21297" xr:uid="{E783DEAD-C728-4026-AE5A-3EE50409DBD7}"/>
    <cellStyle name="Normal 5 5 3 5 2 3" xfId="12868" xr:uid="{6FCF2412-2B58-4EC5-9C9E-524370C22038}"/>
    <cellStyle name="Normal 5 5 3 5 2 4" xfId="17079" xr:uid="{B1B7D73D-05A7-4791-88EC-8131A5EA8BBD}"/>
    <cellStyle name="Normal 5 5 3 5 3" xfId="6491" xr:uid="{00000000-0005-0000-0000-0000851B0000}"/>
    <cellStyle name="Normal 5 5 3 5 3 2" xfId="19152" xr:uid="{104C8EC6-4A39-4656-9366-E3DBA3D58EAE}"/>
    <cellStyle name="Normal 5 5 3 5 4" xfId="10723" xr:uid="{5CD454C1-FD59-41E7-ADB1-0155512D8087}"/>
    <cellStyle name="Normal 5 5 3 5 5" xfId="14934" xr:uid="{D5D6C9CF-7B3B-4EB8-BCF9-C405990B823E}"/>
    <cellStyle name="Normal 5 5 3 6" xfId="2621" xr:uid="{00000000-0005-0000-0000-0000861B0000}"/>
    <cellStyle name="Normal 5 5 3 6 2" xfId="6904" xr:uid="{00000000-0005-0000-0000-0000871B0000}"/>
    <cellStyle name="Normal 5 5 3 6 2 2" xfId="19565" xr:uid="{4958D990-08F6-4823-89DD-30212BA755F5}"/>
    <cellStyle name="Normal 5 5 3 6 3" xfId="11136" xr:uid="{4ED0F3A7-B669-4512-8FA6-14348F37F594}"/>
    <cellStyle name="Normal 5 5 3 6 4" xfId="15347" xr:uid="{34DE5BDD-AC76-4CF6-9409-E66C6EED4525}"/>
    <cellStyle name="Normal 5 5 3 7" xfId="4839" xr:uid="{00000000-0005-0000-0000-0000881B0000}"/>
    <cellStyle name="Normal 5 5 3 7 2" xfId="17500" xr:uid="{2B28F377-7A29-4D70-888E-5F0B78369B83}"/>
    <cellStyle name="Normal 5 5 3 8" xfId="9071" xr:uid="{B0E07151-3D5A-4DC9-9847-2634622F577F}"/>
    <cellStyle name="Normal 5 5 3 9" xfId="13282" xr:uid="{289A2C59-7EEA-4AB6-AEFC-B96868B87C31}"/>
    <cellStyle name="Normal 5 5 4" xfId="938" xr:uid="{00000000-0005-0000-0000-0000891B0000}"/>
    <cellStyle name="Normal 5 5 4 2" xfId="3172" xr:uid="{00000000-0005-0000-0000-00008A1B0000}"/>
    <cellStyle name="Normal 5 5 4 2 2" xfId="7394" xr:uid="{00000000-0005-0000-0000-00008B1B0000}"/>
    <cellStyle name="Normal 5 5 4 2 2 2" xfId="20055" xr:uid="{13036196-836B-4C4A-A0C4-271260BAFBB1}"/>
    <cellStyle name="Normal 5 5 4 2 3" xfId="11626" xr:uid="{80EEC220-A9A3-4A6A-82E4-8C940D0A0FBB}"/>
    <cellStyle name="Normal 5 5 4 2 4" xfId="15837" xr:uid="{D54288B6-B933-41A0-B5AE-DBFA9D9F6AF2}"/>
    <cellStyle name="Normal 5 5 4 3" xfId="5249" xr:uid="{00000000-0005-0000-0000-00008C1B0000}"/>
    <cellStyle name="Normal 5 5 4 3 2" xfId="17910" xr:uid="{64B3E902-EDF5-4EEB-8432-55D3357AD3D9}"/>
    <cellStyle name="Normal 5 5 4 4" xfId="9481" xr:uid="{2A23DA7A-85C7-434D-9E74-F560170FB0B2}"/>
    <cellStyle name="Normal 5 5 4 5" xfId="13692" xr:uid="{FC9ED135-B196-4FF1-9B9A-6B09C5DE30F5}"/>
    <cellStyle name="Normal 5 5 5" xfId="1355" xr:uid="{00000000-0005-0000-0000-00008D1B0000}"/>
    <cellStyle name="Normal 5 5 5 2" xfId="3585" xr:uid="{00000000-0005-0000-0000-00008E1B0000}"/>
    <cellStyle name="Normal 5 5 5 2 2" xfId="7807" xr:uid="{00000000-0005-0000-0000-00008F1B0000}"/>
    <cellStyle name="Normal 5 5 5 2 2 2" xfId="20468" xr:uid="{6659E143-2F1F-4DE3-BFE9-2A2684A7637A}"/>
    <cellStyle name="Normal 5 5 5 2 3" xfId="12039" xr:uid="{9612D301-27F3-4858-8479-BFD7C09046DB}"/>
    <cellStyle name="Normal 5 5 5 2 4" xfId="16250" xr:uid="{6A9F6B45-8434-457F-A54F-68F0EFCF6A31}"/>
    <cellStyle name="Normal 5 5 5 3" xfId="5662" xr:uid="{00000000-0005-0000-0000-0000901B0000}"/>
    <cellStyle name="Normal 5 5 5 3 2" xfId="18323" xr:uid="{56CA52F2-187E-4F0F-9159-D9A518074802}"/>
    <cellStyle name="Normal 5 5 5 4" xfId="9894" xr:uid="{85A4C4D0-62B6-42B8-BB96-F76996A9C112}"/>
    <cellStyle name="Normal 5 5 5 5" xfId="14105" xr:uid="{D59DE596-8843-4495-AF4F-87B58920F264}"/>
    <cellStyle name="Normal 5 5 6" xfId="1768" xr:uid="{00000000-0005-0000-0000-0000911B0000}"/>
    <cellStyle name="Normal 5 5 6 2" xfId="3998" xr:uid="{00000000-0005-0000-0000-0000921B0000}"/>
    <cellStyle name="Normal 5 5 6 2 2" xfId="8220" xr:uid="{00000000-0005-0000-0000-0000931B0000}"/>
    <cellStyle name="Normal 5 5 6 2 2 2" xfId="20881" xr:uid="{6D6E0C54-2E43-4EE9-9D9D-DA78468DEE8A}"/>
    <cellStyle name="Normal 5 5 6 2 3" xfId="12452" xr:uid="{205F7326-6097-4C02-B0EF-ED27F418C32D}"/>
    <cellStyle name="Normal 5 5 6 2 4" xfId="16663" xr:uid="{CCD52A24-A4A0-429D-AA0E-137122C69463}"/>
    <cellStyle name="Normal 5 5 6 3" xfId="6075" xr:uid="{00000000-0005-0000-0000-0000941B0000}"/>
    <cellStyle name="Normal 5 5 6 3 2" xfId="18736" xr:uid="{748DACEA-BD53-47E0-9A5F-25A683570AF8}"/>
    <cellStyle name="Normal 5 5 6 4" xfId="10307" xr:uid="{22B575D0-2CC1-4FD8-878B-DAC4FEB11C19}"/>
    <cellStyle name="Normal 5 5 6 5" xfId="14518" xr:uid="{D9A904CA-5A79-4664-A985-3298228DCCB7}"/>
    <cellStyle name="Normal 5 5 7" xfId="2182" xr:uid="{00000000-0005-0000-0000-0000951B0000}"/>
    <cellStyle name="Normal 5 5 7 2" xfId="4411" xr:uid="{00000000-0005-0000-0000-0000961B0000}"/>
    <cellStyle name="Normal 5 5 7 2 2" xfId="8633" xr:uid="{00000000-0005-0000-0000-0000971B0000}"/>
    <cellStyle name="Normal 5 5 7 2 2 2" xfId="21294" xr:uid="{A92A1BFF-798A-4044-9396-489243C97E9F}"/>
    <cellStyle name="Normal 5 5 7 2 3" xfId="12865" xr:uid="{E671B7F1-3CA3-4E29-9355-A2F4AECCC964}"/>
    <cellStyle name="Normal 5 5 7 2 4" xfId="17076" xr:uid="{F661D4BC-00A0-4516-B636-B8E1AC508A52}"/>
    <cellStyle name="Normal 5 5 7 3" xfId="6488" xr:uid="{00000000-0005-0000-0000-0000981B0000}"/>
    <cellStyle name="Normal 5 5 7 3 2" xfId="19149" xr:uid="{7B64C234-59F6-47A9-860E-A1B1E5EE5ABA}"/>
    <cellStyle name="Normal 5 5 7 4" xfId="10720" xr:uid="{4BF6DD6B-1D4F-4B79-AF8F-83590AB4303F}"/>
    <cellStyle name="Normal 5 5 7 5" xfId="14931" xr:uid="{84514294-EBD6-4013-898C-51FA9F7856C0}"/>
    <cellStyle name="Normal 5 5 8" xfId="2618" xr:uid="{00000000-0005-0000-0000-0000991B0000}"/>
    <cellStyle name="Normal 5 5 8 2" xfId="6901" xr:uid="{00000000-0005-0000-0000-00009A1B0000}"/>
    <cellStyle name="Normal 5 5 8 2 2" xfId="19562" xr:uid="{9B756B4F-DA09-4072-80FF-384CA551521C}"/>
    <cellStyle name="Normal 5 5 8 3" xfId="11133" xr:uid="{5D30A3B5-85B5-4AB8-A5EC-49CB7913610E}"/>
    <cellStyle name="Normal 5 5 8 4" xfId="15344" xr:uid="{2D739D8B-EC01-4257-B51A-00067FC1C240}"/>
    <cellStyle name="Normal 5 5 9" xfId="4836" xr:uid="{00000000-0005-0000-0000-00009B1B0000}"/>
    <cellStyle name="Normal 5 5 9 2" xfId="17497" xr:uid="{2423C052-D550-45E6-830F-0D25EB3A7639}"/>
    <cellStyle name="Normal 5 6" xfId="468" xr:uid="{00000000-0005-0000-0000-00009C1B0000}"/>
    <cellStyle name="Normal 5 6 10" xfId="13283" xr:uid="{B49C3E79-30BA-46C5-95D5-4E86CB1988CF}"/>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20060" xr:uid="{6D78A1EE-9F47-48EF-832A-239D26B4F4B1}"/>
    <cellStyle name="Normal 5 6 2 2 2 3" xfId="11631" xr:uid="{16B162DE-0301-46D3-8E22-726CCA7AE708}"/>
    <cellStyle name="Normal 5 6 2 2 2 4" xfId="15842" xr:uid="{FE3F39B8-6333-4056-A513-1A67B39EC213}"/>
    <cellStyle name="Normal 5 6 2 2 3" xfId="5254" xr:uid="{00000000-0005-0000-0000-0000A11B0000}"/>
    <cellStyle name="Normal 5 6 2 2 3 2" xfId="17915" xr:uid="{71666DBB-28DD-432C-B796-33AF8EAE2757}"/>
    <cellStyle name="Normal 5 6 2 2 4" xfId="9486" xr:uid="{C62F3CC9-5DB8-4BD8-B1F2-6CA5CBEBBEA4}"/>
    <cellStyle name="Normal 5 6 2 2 5" xfId="13697" xr:uid="{5C10D7D2-1A66-4E49-946D-F6BED4135426}"/>
    <cellStyle name="Normal 5 6 2 3" xfId="1360" xr:uid="{00000000-0005-0000-0000-0000A21B0000}"/>
    <cellStyle name="Normal 5 6 2 3 2" xfId="3590" xr:uid="{00000000-0005-0000-0000-0000A31B0000}"/>
    <cellStyle name="Normal 5 6 2 3 2 2" xfId="7812" xr:uid="{00000000-0005-0000-0000-0000A41B0000}"/>
    <cellStyle name="Normal 5 6 2 3 2 2 2" xfId="20473" xr:uid="{A2E923AF-1ADF-435F-91BE-A7B8695FE57A}"/>
    <cellStyle name="Normal 5 6 2 3 2 3" xfId="12044" xr:uid="{271C98BB-431D-4C20-BFF1-33A5701489AC}"/>
    <cellStyle name="Normal 5 6 2 3 2 4" xfId="16255" xr:uid="{121FE951-29EF-48E6-9209-A756D83F7A04}"/>
    <cellStyle name="Normal 5 6 2 3 3" xfId="5667" xr:uid="{00000000-0005-0000-0000-0000A51B0000}"/>
    <cellStyle name="Normal 5 6 2 3 3 2" xfId="18328" xr:uid="{7FB87EF3-DCC6-4082-8E5F-1DA44334E82E}"/>
    <cellStyle name="Normal 5 6 2 3 4" xfId="9899" xr:uid="{EB679B39-C82D-4E16-B0F0-99CF1E322866}"/>
    <cellStyle name="Normal 5 6 2 3 5" xfId="14110" xr:uid="{0FE8B587-F4D6-4E1F-BBFD-97D53EC3313F}"/>
    <cellStyle name="Normal 5 6 2 4" xfId="1773" xr:uid="{00000000-0005-0000-0000-0000A61B0000}"/>
    <cellStyle name="Normal 5 6 2 4 2" xfId="4003" xr:uid="{00000000-0005-0000-0000-0000A71B0000}"/>
    <cellStyle name="Normal 5 6 2 4 2 2" xfId="8225" xr:uid="{00000000-0005-0000-0000-0000A81B0000}"/>
    <cellStyle name="Normal 5 6 2 4 2 2 2" xfId="20886" xr:uid="{3186DA22-BDB0-4D7D-9351-770D8D8F89E8}"/>
    <cellStyle name="Normal 5 6 2 4 2 3" xfId="12457" xr:uid="{A1C60584-0002-4127-9A8A-DCAE2B6EEA07}"/>
    <cellStyle name="Normal 5 6 2 4 2 4" xfId="16668" xr:uid="{4B87D9EE-65B2-45E1-B00A-3EEA8229109B}"/>
    <cellStyle name="Normal 5 6 2 4 3" xfId="6080" xr:uid="{00000000-0005-0000-0000-0000A91B0000}"/>
    <cellStyle name="Normal 5 6 2 4 3 2" xfId="18741" xr:uid="{2F956A8B-CA89-451A-8BD2-57C8FE91650E}"/>
    <cellStyle name="Normal 5 6 2 4 4" xfId="10312" xr:uid="{B619F6EE-4D99-40D1-B22B-C0751BFAD41D}"/>
    <cellStyle name="Normal 5 6 2 4 5" xfId="14523" xr:uid="{CBC92C36-2D7A-4F7D-A474-6BC6D36A44B7}"/>
    <cellStyle name="Normal 5 6 2 5" xfId="2187" xr:uid="{00000000-0005-0000-0000-0000AA1B0000}"/>
    <cellStyle name="Normal 5 6 2 5 2" xfId="4416" xr:uid="{00000000-0005-0000-0000-0000AB1B0000}"/>
    <cellStyle name="Normal 5 6 2 5 2 2" xfId="8638" xr:uid="{00000000-0005-0000-0000-0000AC1B0000}"/>
    <cellStyle name="Normal 5 6 2 5 2 2 2" xfId="21299" xr:uid="{A3D1A97A-836D-4B0D-95E0-AB9AF5C8AF78}"/>
    <cellStyle name="Normal 5 6 2 5 2 3" xfId="12870" xr:uid="{4E00C32E-A8D1-43E7-B3CC-4C0524A4186B}"/>
    <cellStyle name="Normal 5 6 2 5 2 4" xfId="17081" xr:uid="{5AF1FF43-9C92-4C46-8D28-2E4CBBAEAA9D}"/>
    <cellStyle name="Normal 5 6 2 5 3" xfId="6493" xr:uid="{00000000-0005-0000-0000-0000AD1B0000}"/>
    <cellStyle name="Normal 5 6 2 5 3 2" xfId="19154" xr:uid="{6C792132-8BEF-4432-BBA7-72B9CD760EB5}"/>
    <cellStyle name="Normal 5 6 2 5 4" xfId="10725" xr:uid="{0FD15415-7A0A-4BCA-9700-78B2648A5387}"/>
    <cellStyle name="Normal 5 6 2 5 5" xfId="14936" xr:uid="{BEA66235-8017-4BDB-81FE-6CF4B8743BFA}"/>
    <cellStyle name="Normal 5 6 2 6" xfId="2623" xr:uid="{00000000-0005-0000-0000-0000AE1B0000}"/>
    <cellStyle name="Normal 5 6 2 6 2" xfId="6906" xr:uid="{00000000-0005-0000-0000-0000AF1B0000}"/>
    <cellStyle name="Normal 5 6 2 6 2 2" xfId="19567" xr:uid="{F2930196-B6EF-446C-8F64-01197F01BD4D}"/>
    <cellStyle name="Normal 5 6 2 6 3" xfId="11138" xr:uid="{D0265387-EF7E-4F59-95C1-43F6C96398F5}"/>
    <cellStyle name="Normal 5 6 2 6 4" xfId="15349" xr:uid="{01750199-9D5C-44AF-98F8-434A30B86270}"/>
    <cellStyle name="Normal 5 6 2 7" xfId="4841" xr:uid="{00000000-0005-0000-0000-0000B01B0000}"/>
    <cellStyle name="Normal 5 6 2 7 2" xfId="17502" xr:uid="{323B617F-6323-462E-B12B-106E07FA826F}"/>
    <cellStyle name="Normal 5 6 2 8" xfId="9073" xr:uid="{64A36BCB-8DF2-416B-8B10-A7B01F5E7966}"/>
    <cellStyle name="Normal 5 6 2 9" xfId="13284" xr:uid="{51654F9D-39F3-442B-9B20-1025995B514A}"/>
    <cellStyle name="Normal 5 6 3" xfId="942" xr:uid="{00000000-0005-0000-0000-0000B11B0000}"/>
    <cellStyle name="Normal 5 6 3 2" xfId="3176" xr:uid="{00000000-0005-0000-0000-0000B21B0000}"/>
    <cellStyle name="Normal 5 6 3 2 2" xfId="7398" xr:uid="{00000000-0005-0000-0000-0000B31B0000}"/>
    <cellStyle name="Normal 5 6 3 2 2 2" xfId="20059" xr:uid="{0254FF55-1062-4111-AFC9-22B52325CD63}"/>
    <cellStyle name="Normal 5 6 3 2 3" xfId="11630" xr:uid="{D0C2D0C6-6222-4BCD-A483-01BBA9BA9B97}"/>
    <cellStyle name="Normal 5 6 3 2 4" xfId="15841" xr:uid="{113D81D1-D12A-46A0-9B4F-A46643970AE1}"/>
    <cellStyle name="Normal 5 6 3 3" xfId="5253" xr:uid="{00000000-0005-0000-0000-0000B41B0000}"/>
    <cellStyle name="Normal 5 6 3 3 2" xfId="17914" xr:uid="{F38A398E-0975-4453-94C0-EE6036F0C677}"/>
    <cellStyle name="Normal 5 6 3 4" xfId="9485" xr:uid="{A1A63F54-AAEE-4DA1-AC5B-FF06244E870F}"/>
    <cellStyle name="Normal 5 6 3 5" xfId="13696" xr:uid="{DC5CDB77-25E2-4160-9DF2-3F7B567C510A}"/>
    <cellStyle name="Normal 5 6 4" xfId="1359" xr:uid="{00000000-0005-0000-0000-0000B51B0000}"/>
    <cellStyle name="Normal 5 6 4 2" xfId="3589" xr:uid="{00000000-0005-0000-0000-0000B61B0000}"/>
    <cellStyle name="Normal 5 6 4 2 2" xfId="7811" xr:uid="{00000000-0005-0000-0000-0000B71B0000}"/>
    <cellStyle name="Normal 5 6 4 2 2 2" xfId="20472" xr:uid="{A30A32D8-86E8-445A-822D-D93D31156574}"/>
    <cellStyle name="Normal 5 6 4 2 3" xfId="12043" xr:uid="{E6D4881E-6E6A-4D52-856B-81C28D1063EC}"/>
    <cellStyle name="Normal 5 6 4 2 4" xfId="16254" xr:uid="{C920BD8C-B9E8-4F0A-9B8A-F711736CE64B}"/>
    <cellStyle name="Normal 5 6 4 3" xfId="5666" xr:uid="{00000000-0005-0000-0000-0000B81B0000}"/>
    <cellStyle name="Normal 5 6 4 3 2" xfId="18327" xr:uid="{AA1E6EC8-989E-40CB-9489-E7E5CA267B06}"/>
    <cellStyle name="Normal 5 6 4 4" xfId="9898" xr:uid="{A11F09C6-D681-4E80-8D99-887DCCA0B4D4}"/>
    <cellStyle name="Normal 5 6 4 5" xfId="14109" xr:uid="{32806B99-20B8-4000-A3B6-1398843D3F50}"/>
    <cellStyle name="Normal 5 6 5" xfId="1772" xr:uid="{00000000-0005-0000-0000-0000B91B0000}"/>
    <cellStyle name="Normal 5 6 5 2" xfId="4002" xr:uid="{00000000-0005-0000-0000-0000BA1B0000}"/>
    <cellStyle name="Normal 5 6 5 2 2" xfId="8224" xr:uid="{00000000-0005-0000-0000-0000BB1B0000}"/>
    <cellStyle name="Normal 5 6 5 2 2 2" xfId="20885" xr:uid="{CC061FFC-C88D-4355-9768-74FC02D5A8E2}"/>
    <cellStyle name="Normal 5 6 5 2 3" xfId="12456" xr:uid="{9502918C-8AA8-4715-AA8D-04FEB0F7B3EB}"/>
    <cellStyle name="Normal 5 6 5 2 4" xfId="16667" xr:uid="{7EC75EFC-9961-4131-A202-5ACC271784AE}"/>
    <cellStyle name="Normal 5 6 5 3" xfId="6079" xr:uid="{00000000-0005-0000-0000-0000BC1B0000}"/>
    <cellStyle name="Normal 5 6 5 3 2" xfId="18740" xr:uid="{2AEE9B2F-F1B1-4AAB-9AFC-D36BFE7B18BF}"/>
    <cellStyle name="Normal 5 6 5 4" xfId="10311" xr:uid="{62986643-94FE-45B7-927E-17FA29726527}"/>
    <cellStyle name="Normal 5 6 5 5" xfId="14522" xr:uid="{65612005-38D0-446A-8A1F-DF1E6E9600A9}"/>
    <cellStyle name="Normal 5 6 6" xfId="2186" xr:uid="{00000000-0005-0000-0000-0000BD1B0000}"/>
    <cellStyle name="Normal 5 6 6 2" xfId="4415" xr:uid="{00000000-0005-0000-0000-0000BE1B0000}"/>
    <cellStyle name="Normal 5 6 6 2 2" xfId="8637" xr:uid="{00000000-0005-0000-0000-0000BF1B0000}"/>
    <cellStyle name="Normal 5 6 6 2 2 2" xfId="21298" xr:uid="{868E39C5-BAEB-4014-AD96-E7EFA1FB4DCF}"/>
    <cellStyle name="Normal 5 6 6 2 3" xfId="12869" xr:uid="{CACA9E9F-D6E1-4C25-87AF-A0B59E21D2A6}"/>
    <cellStyle name="Normal 5 6 6 2 4" xfId="17080" xr:uid="{BC819BB6-93ED-4AFE-A948-6471222C75D3}"/>
    <cellStyle name="Normal 5 6 6 3" xfId="6492" xr:uid="{00000000-0005-0000-0000-0000C01B0000}"/>
    <cellStyle name="Normal 5 6 6 3 2" xfId="19153" xr:uid="{B66145CB-7586-4ABF-B8AA-1894AD9D8C3B}"/>
    <cellStyle name="Normal 5 6 6 4" xfId="10724" xr:uid="{286F8FCF-3397-4EC8-B45C-D7A20409E888}"/>
    <cellStyle name="Normal 5 6 6 5" xfId="14935" xr:uid="{A5DD52F9-13A9-4222-89B4-CEAEF5539800}"/>
    <cellStyle name="Normal 5 6 7" xfId="2622" xr:uid="{00000000-0005-0000-0000-0000C11B0000}"/>
    <cellStyle name="Normal 5 6 7 2" xfId="6905" xr:uid="{00000000-0005-0000-0000-0000C21B0000}"/>
    <cellStyle name="Normal 5 6 7 2 2" xfId="19566" xr:uid="{14E6A369-313F-4D51-9AE8-25ED93A16D68}"/>
    <cellStyle name="Normal 5 6 7 3" xfId="11137" xr:uid="{CA3F250D-42EA-4045-B018-52F5FBC5B227}"/>
    <cellStyle name="Normal 5 6 7 4" xfId="15348" xr:uid="{6343668C-F566-4C86-9959-89D407B4468D}"/>
    <cellStyle name="Normal 5 6 8" xfId="4840" xr:uid="{00000000-0005-0000-0000-0000C31B0000}"/>
    <cellStyle name="Normal 5 6 8 2" xfId="17501" xr:uid="{46CBEDF1-6E01-417C-942C-FD666803B721}"/>
    <cellStyle name="Normal 5 6 9" xfId="9072" xr:uid="{A6A3A5B2-4EB7-47A7-AC61-8BB85702DE5C}"/>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20061" xr:uid="{7E0C6EBC-5DBF-4B6E-83B2-34927EC5C4CF}"/>
    <cellStyle name="Normal 5 7 2 2 3" xfId="11632" xr:uid="{180CB49F-D71C-4C18-B241-59FCCC325E7A}"/>
    <cellStyle name="Normal 5 7 2 2 4" xfId="15843" xr:uid="{A698C507-A739-4D79-A693-63C3E69ED585}"/>
    <cellStyle name="Normal 5 7 2 3" xfId="5255" xr:uid="{00000000-0005-0000-0000-0000C81B0000}"/>
    <cellStyle name="Normal 5 7 2 3 2" xfId="17916" xr:uid="{B0098731-9409-453E-9A5C-609E21300A3E}"/>
    <cellStyle name="Normal 5 7 2 4" xfId="9487" xr:uid="{3108D1E0-2927-48E4-B08C-6F54666C34B7}"/>
    <cellStyle name="Normal 5 7 2 5" xfId="13698" xr:uid="{BFE806E7-42E0-4478-9FB1-429C30C216BD}"/>
    <cellStyle name="Normal 5 7 3" xfId="1361" xr:uid="{00000000-0005-0000-0000-0000C91B0000}"/>
    <cellStyle name="Normal 5 7 3 2" xfId="3591" xr:uid="{00000000-0005-0000-0000-0000CA1B0000}"/>
    <cellStyle name="Normal 5 7 3 2 2" xfId="7813" xr:uid="{00000000-0005-0000-0000-0000CB1B0000}"/>
    <cellStyle name="Normal 5 7 3 2 2 2" xfId="20474" xr:uid="{05520E8C-4593-4B68-8E79-BAB6D1BC30B3}"/>
    <cellStyle name="Normal 5 7 3 2 3" xfId="12045" xr:uid="{44903DFB-64DE-4A31-9F5B-7E4C8E4AA756}"/>
    <cellStyle name="Normal 5 7 3 2 4" xfId="16256" xr:uid="{A2471A98-29FB-4DDF-B7B6-EBDC3ABC447F}"/>
    <cellStyle name="Normal 5 7 3 3" xfId="5668" xr:uid="{00000000-0005-0000-0000-0000CC1B0000}"/>
    <cellStyle name="Normal 5 7 3 3 2" xfId="18329" xr:uid="{E97CD67D-BB1C-4B81-B74F-F55E107DEEC3}"/>
    <cellStyle name="Normal 5 7 3 4" xfId="9900" xr:uid="{F0F18AE6-3956-4D4D-90A6-AB38988BB1AD}"/>
    <cellStyle name="Normal 5 7 3 5" xfId="14111" xr:uid="{0CC317AD-9315-4F2F-BAC8-1334285D09CC}"/>
    <cellStyle name="Normal 5 7 4" xfId="1774" xr:uid="{00000000-0005-0000-0000-0000CD1B0000}"/>
    <cellStyle name="Normal 5 7 4 2" xfId="4004" xr:uid="{00000000-0005-0000-0000-0000CE1B0000}"/>
    <cellStyle name="Normal 5 7 4 2 2" xfId="8226" xr:uid="{00000000-0005-0000-0000-0000CF1B0000}"/>
    <cellStyle name="Normal 5 7 4 2 2 2" xfId="20887" xr:uid="{E47A253D-61D8-43C4-B609-CC2A2D451D93}"/>
    <cellStyle name="Normal 5 7 4 2 3" xfId="12458" xr:uid="{A855F578-6A94-49E9-9582-753DA235116F}"/>
    <cellStyle name="Normal 5 7 4 2 4" xfId="16669" xr:uid="{4A0A51E1-4003-4529-9C19-5C171A73396B}"/>
    <cellStyle name="Normal 5 7 4 3" xfId="6081" xr:uid="{00000000-0005-0000-0000-0000D01B0000}"/>
    <cellStyle name="Normal 5 7 4 3 2" xfId="18742" xr:uid="{A94BCD11-5708-4F13-B13F-3A58256EFB07}"/>
    <cellStyle name="Normal 5 7 4 4" xfId="10313" xr:uid="{5F3C8207-AAF7-4422-AB62-238FC4D6F496}"/>
    <cellStyle name="Normal 5 7 4 5" xfId="14524" xr:uid="{7D9B00F4-C94C-4FC7-ABE1-10C7207210B3}"/>
    <cellStyle name="Normal 5 7 5" xfId="2188" xr:uid="{00000000-0005-0000-0000-0000D11B0000}"/>
    <cellStyle name="Normal 5 7 5 2" xfId="4417" xr:uid="{00000000-0005-0000-0000-0000D21B0000}"/>
    <cellStyle name="Normal 5 7 5 2 2" xfId="8639" xr:uid="{00000000-0005-0000-0000-0000D31B0000}"/>
    <cellStyle name="Normal 5 7 5 2 2 2" xfId="21300" xr:uid="{AA260A80-6214-4F13-B8F7-42E5E7300F4E}"/>
    <cellStyle name="Normal 5 7 5 2 3" xfId="12871" xr:uid="{6FC7E954-FC2A-4C79-84E2-114654D74685}"/>
    <cellStyle name="Normal 5 7 5 2 4" xfId="17082" xr:uid="{BECE1B05-CC1A-4DBB-96FF-13D4DE1AC388}"/>
    <cellStyle name="Normal 5 7 5 3" xfId="6494" xr:uid="{00000000-0005-0000-0000-0000D41B0000}"/>
    <cellStyle name="Normal 5 7 5 3 2" xfId="19155" xr:uid="{26CF2A0D-D5B8-42CB-B583-9F71BA843DB0}"/>
    <cellStyle name="Normal 5 7 5 4" xfId="10726" xr:uid="{9ED30A82-98B6-425E-8AE7-BB0C307BFFD1}"/>
    <cellStyle name="Normal 5 7 5 5" xfId="14937" xr:uid="{5527F97C-2D3C-44B9-BB58-B0FA8A54E5CA}"/>
    <cellStyle name="Normal 5 7 6" xfId="2624" xr:uid="{00000000-0005-0000-0000-0000D51B0000}"/>
    <cellStyle name="Normal 5 7 6 2" xfId="6907" xr:uid="{00000000-0005-0000-0000-0000D61B0000}"/>
    <cellStyle name="Normal 5 7 6 2 2" xfId="19568" xr:uid="{509A49B5-B1BE-4CF3-91E5-D754048E7994}"/>
    <cellStyle name="Normal 5 7 6 3" xfId="11139" xr:uid="{E0176654-6CEF-4CBE-9AC3-7B39A60FFB1C}"/>
    <cellStyle name="Normal 5 7 6 4" xfId="15350" xr:uid="{D8AD849F-9548-48E6-8A33-7A72AC37EDA4}"/>
    <cellStyle name="Normal 5 7 7" xfId="4842" xr:uid="{00000000-0005-0000-0000-0000D71B0000}"/>
    <cellStyle name="Normal 5 7 7 2" xfId="17503" xr:uid="{675A6F8B-C0F2-492D-9B6A-A4111F92E262}"/>
    <cellStyle name="Normal 5 7 8" xfId="9074" xr:uid="{E7EA0766-45EE-43F2-AFA1-BD9A92DF3F41}"/>
    <cellStyle name="Normal 5 7 9" xfId="13285" xr:uid="{72B8BBAC-2967-4391-BB5A-2278D7AC1579}"/>
    <cellStyle name="Normal 5 8" xfId="880" xr:uid="{00000000-0005-0000-0000-0000D81B0000}"/>
    <cellStyle name="Normal 5 8 2" xfId="3115" xr:uid="{00000000-0005-0000-0000-0000D91B0000}"/>
    <cellStyle name="Normal 5 8 2 2" xfId="7337" xr:uid="{00000000-0005-0000-0000-0000DA1B0000}"/>
    <cellStyle name="Normal 5 8 2 2 2" xfId="19998" xr:uid="{6C5F2FBC-155D-42FD-AB7C-14E053C351BD}"/>
    <cellStyle name="Normal 5 8 2 3" xfId="11569" xr:uid="{C7A01F49-3DD9-4121-A0B1-85AD12568EFC}"/>
    <cellStyle name="Normal 5 8 2 4" xfId="15780" xr:uid="{612427B4-84CD-4843-B735-2AB2A20EC8CA}"/>
    <cellStyle name="Normal 5 8 3" xfId="5192" xr:uid="{00000000-0005-0000-0000-0000DB1B0000}"/>
    <cellStyle name="Normal 5 8 3 2" xfId="17853" xr:uid="{E3798F13-3919-4278-BD3D-3B5B242738BB}"/>
    <cellStyle name="Normal 5 8 4" xfId="9424" xr:uid="{7390201C-58E4-4A11-A1CA-B8F0885E6ECD}"/>
    <cellStyle name="Normal 5 8 5" xfId="13635" xr:uid="{1C7519F9-2E34-4AF3-BF51-19370F28B807}"/>
    <cellStyle name="Normal 5 9" xfId="1298" xr:uid="{00000000-0005-0000-0000-0000DC1B0000}"/>
    <cellStyle name="Normal 5 9 2" xfId="3528" xr:uid="{00000000-0005-0000-0000-0000DD1B0000}"/>
    <cellStyle name="Normal 5 9 2 2" xfId="7750" xr:uid="{00000000-0005-0000-0000-0000DE1B0000}"/>
    <cellStyle name="Normal 5 9 2 2 2" xfId="20411" xr:uid="{6FE323C3-9010-4539-BE6E-32206D853D6C}"/>
    <cellStyle name="Normal 5 9 2 3" xfId="11982" xr:uid="{5DBBE4D0-4D7A-4EFC-958C-04AEAF5E902B}"/>
    <cellStyle name="Normal 5 9 2 4" xfId="16193" xr:uid="{201C55BC-A9C5-4E63-905A-3922613317D4}"/>
    <cellStyle name="Normal 5 9 3" xfId="5605" xr:uid="{00000000-0005-0000-0000-0000DF1B0000}"/>
    <cellStyle name="Normal 5 9 3 2" xfId="18266" xr:uid="{296B912D-8D8C-4AEA-8FDD-935C530687C2}"/>
    <cellStyle name="Normal 5 9 4" xfId="9837" xr:uid="{D9B6FBB0-86DE-475B-8043-8E2E45C54153}"/>
    <cellStyle name="Normal 5 9 5" xfId="14048" xr:uid="{00F2A86B-967D-4AA0-8EE9-FA4D72C297AF}"/>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21301" xr:uid="{4CBC5CEC-FBC2-40B6-B156-2105A773ACDA}"/>
    <cellStyle name="Normal 8 10 2 3" xfId="12872" xr:uid="{8ECEB664-BCF2-4C21-BAB4-0410A484AE84}"/>
    <cellStyle name="Normal 8 10 2 4" xfId="17083" xr:uid="{E3857F7D-3747-404E-B3FB-693DE661D9D1}"/>
    <cellStyle name="Normal 8 10 3" xfId="6495" xr:uid="{00000000-0005-0000-0000-0000EB1B0000}"/>
    <cellStyle name="Normal 8 10 3 2" xfId="19156" xr:uid="{7A63AEB9-FA44-4722-8B54-93B0DFFC680E}"/>
    <cellStyle name="Normal 8 10 4" xfId="10727" xr:uid="{A5577E74-639F-4DD4-BCBA-9EFA532955EC}"/>
    <cellStyle name="Normal 8 10 5" xfId="14938" xr:uid="{550B0075-5930-4B4A-B159-175436E33C0D}"/>
    <cellStyle name="Normal 8 11" xfId="2625" xr:uid="{00000000-0005-0000-0000-0000EC1B0000}"/>
    <cellStyle name="Normal 8 11 2" xfId="6908" xr:uid="{00000000-0005-0000-0000-0000ED1B0000}"/>
    <cellStyle name="Normal 8 11 2 2" xfId="19569" xr:uid="{9F962EDB-4489-4BC7-934B-55D30C886F65}"/>
    <cellStyle name="Normal 8 11 3" xfId="11140" xr:uid="{3DCAA14C-20F7-457D-9A35-032025BC3D01}"/>
    <cellStyle name="Normal 8 11 4" xfId="15351" xr:uid="{1FAD3F01-4BAF-44BC-8198-0EAE75A331CC}"/>
    <cellStyle name="Normal 8 12" xfId="4843" xr:uid="{00000000-0005-0000-0000-0000EE1B0000}"/>
    <cellStyle name="Normal 8 12 2" xfId="17504" xr:uid="{5CB993E0-1447-4436-8E06-1DBC1075057B}"/>
    <cellStyle name="Normal 8 13" xfId="9075" xr:uid="{A0FF8AC9-4032-48FA-AA6A-9E793AAA4419}"/>
    <cellStyle name="Normal 8 14" xfId="13286" xr:uid="{031DB566-5A5D-4795-AEDC-5B69552B9421}"/>
    <cellStyle name="Normal 8 2" xfId="479" xr:uid="{00000000-0005-0000-0000-0000EF1B0000}"/>
    <cellStyle name="Normal 8 2 10" xfId="2626" xr:uid="{00000000-0005-0000-0000-0000F01B0000}"/>
    <cellStyle name="Normal 8 2 10 2" xfId="6909" xr:uid="{00000000-0005-0000-0000-0000F11B0000}"/>
    <cellStyle name="Normal 8 2 10 2 2" xfId="19570" xr:uid="{CBC7AA87-6294-43BA-AE55-1F7ED28E72AE}"/>
    <cellStyle name="Normal 8 2 10 3" xfId="11141" xr:uid="{C0E28DD2-18E9-4FCA-91E9-149775C524CC}"/>
    <cellStyle name="Normal 8 2 10 4" xfId="15352" xr:uid="{46CACA4D-99AE-44F7-8E4A-6A243F91108B}"/>
    <cellStyle name="Normal 8 2 11" xfId="4844" xr:uid="{00000000-0005-0000-0000-0000F21B0000}"/>
    <cellStyle name="Normal 8 2 11 2" xfId="17505" xr:uid="{AAEB1A21-0212-470F-AEC6-7355453D7C8E}"/>
    <cellStyle name="Normal 8 2 12" xfId="9076" xr:uid="{1059C76F-5546-4E32-9399-BE7E0124E4B3}"/>
    <cellStyle name="Normal 8 2 13" xfId="13287" xr:uid="{F49E1F98-009C-4389-B3AB-854181701D55}"/>
    <cellStyle name="Normal 8 2 2" xfId="480" xr:uid="{00000000-0005-0000-0000-0000F31B0000}"/>
    <cellStyle name="Normal 8 2 2 10" xfId="4845" xr:uid="{00000000-0005-0000-0000-0000F41B0000}"/>
    <cellStyle name="Normal 8 2 2 10 2" xfId="17506" xr:uid="{08FDAF5A-9A92-4FCE-BFB6-D8FA8B6906DD}"/>
    <cellStyle name="Normal 8 2 2 11" xfId="9077" xr:uid="{79428510-8BBE-4C43-94B0-3EBB1EA5670A}"/>
    <cellStyle name="Normal 8 2 2 12" xfId="13288" xr:uid="{5FC299B6-0837-4B4C-BA97-6A90A10C7BCF}"/>
    <cellStyle name="Normal 8 2 2 2" xfId="481" xr:uid="{00000000-0005-0000-0000-0000F51B0000}"/>
    <cellStyle name="Normal 8 2 2 2 10" xfId="9078" xr:uid="{E49303F0-C1CC-446A-BFB4-33CFD64E5D2A}"/>
    <cellStyle name="Normal 8 2 2 2 11" xfId="13289" xr:uid="{379CFC32-E07C-4BF5-AA7A-3CC53D376E53}"/>
    <cellStyle name="Normal 8 2 2 2 2" xfId="482" xr:uid="{00000000-0005-0000-0000-0000F61B0000}"/>
    <cellStyle name="Normal 8 2 2 2 2 10" xfId="13290" xr:uid="{5E012F8C-FD53-4E5D-9D0D-850FBA17B39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20067" xr:uid="{3AB059BF-91FF-4E7C-9FB5-0B769FEE79D8}"/>
    <cellStyle name="Normal 8 2 2 2 2 2 2 2 3" xfId="11638" xr:uid="{9205C517-1EC5-4716-80B4-1081398817FF}"/>
    <cellStyle name="Normal 8 2 2 2 2 2 2 2 4" xfId="15849" xr:uid="{20D0B336-8B80-43BE-B03A-6BE826264508}"/>
    <cellStyle name="Normal 8 2 2 2 2 2 2 3" xfId="5261" xr:uid="{00000000-0005-0000-0000-0000FB1B0000}"/>
    <cellStyle name="Normal 8 2 2 2 2 2 2 3 2" xfId="17922" xr:uid="{3D550E31-3B24-431A-920F-AF848016C4C5}"/>
    <cellStyle name="Normal 8 2 2 2 2 2 2 4" xfId="9493" xr:uid="{DF293525-31B4-42D0-BD37-4A04A1217D9F}"/>
    <cellStyle name="Normal 8 2 2 2 2 2 2 5" xfId="13704" xr:uid="{07FED3EB-37B7-4DB0-9890-5713390D05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20480" xr:uid="{ABAFE733-D4DD-403F-9A0E-4AD5F47D0B59}"/>
    <cellStyle name="Normal 8 2 2 2 2 2 3 2 3" xfId="12051" xr:uid="{D0CA9B07-4726-47D2-B708-B83A0277D97E}"/>
    <cellStyle name="Normal 8 2 2 2 2 2 3 2 4" xfId="16262" xr:uid="{2F6D0DC0-8E7A-4404-8DFC-E4F43DD0A563}"/>
    <cellStyle name="Normal 8 2 2 2 2 2 3 3" xfId="5674" xr:uid="{00000000-0005-0000-0000-0000FF1B0000}"/>
    <cellStyle name="Normal 8 2 2 2 2 2 3 3 2" xfId="18335" xr:uid="{FDF96E9D-D30D-4B2D-B040-0FA90DF4676D}"/>
    <cellStyle name="Normal 8 2 2 2 2 2 3 4" xfId="9906" xr:uid="{9655A4A9-7044-4E45-8AB2-4C43B83B2DF7}"/>
    <cellStyle name="Normal 8 2 2 2 2 2 3 5" xfId="14117" xr:uid="{2C5E58BC-2DBC-4CC2-A6B8-857CD938588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20893" xr:uid="{C74BD3E0-B09B-4A0E-8369-08F8ACC20A76}"/>
    <cellStyle name="Normal 8 2 2 2 2 2 4 2 3" xfId="12464" xr:uid="{FEA5FC9C-407E-4496-86C4-FE4F1B8FAF81}"/>
    <cellStyle name="Normal 8 2 2 2 2 2 4 2 4" xfId="16675" xr:uid="{8F302F3F-8F6C-4DFB-B919-E9EB28407FD4}"/>
    <cellStyle name="Normal 8 2 2 2 2 2 4 3" xfId="6087" xr:uid="{00000000-0005-0000-0000-0000031C0000}"/>
    <cellStyle name="Normal 8 2 2 2 2 2 4 3 2" xfId="18748" xr:uid="{16950DB7-BEA3-4EE0-B814-C3568FF959D3}"/>
    <cellStyle name="Normal 8 2 2 2 2 2 4 4" xfId="10319" xr:uid="{3BBA1440-B7FB-4934-963D-4957361BC0A2}"/>
    <cellStyle name="Normal 8 2 2 2 2 2 4 5" xfId="14530" xr:uid="{69A384AC-7785-409F-9B8B-7FFC72FD048F}"/>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21306" xr:uid="{71F0B690-A90C-4F13-B0B0-FDB69BA22FC9}"/>
    <cellStyle name="Normal 8 2 2 2 2 2 5 2 3" xfId="12877" xr:uid="{A11272C1-ED51-4BB1-9EB9-9DFE591405CC}"/>
    <cellStyle name="Normal 8 2 2 2 2 2 5 2 4" xfId="17088" xr:uid="{2481E307-749D-48EA-9FE8-F22112C0EED7}"/>
    <cellStyle name="Normal 8 2 2 2 2 2 5 3" xfId="6500" xr:uid="{00000000-0005-0000-0000-0000071C0000}"/>
    <cellStyle name="Normal 8 2 2 2 2 2 5 3 2" xfId="19161" xr:uid="{9B665781-A49A-4D20-9545-AFE75FF3DEAF}"/>
    <cellStyle name="Normal 8 2 2 2 2 2 5 4" xfId="10732" xr:uid="{DB1392A4-EE03-4540-BCD5-46C6C540FF92}"/>
    <cellStyle name="Normal 8 2 2 2 2 2 5 5" xfId="14943" xr:uid="{8FD542C6-0D72-4728-9BD6-DCB7E1D1B2EA}"/>
    <cellStyle name="Normal 8 2 2 2 2 2 6" xfId="2630" xr:uid="{00000000-0005-0000-0000-0000081C0000}"/>
    <cellStyle name="Normal 8 2 2 2 2 2 6 2" xfId="6913" xr:uid="{00000000-0005-0000-0000-0000091C0000}"/>
    <cellStyle name="Normal 8 2 2 2 2 2 6 2 2" xfId="19574" xr:uid="{2406CC90-58B1-4410-99FB-05F3817B997E}"/>
    <cellStyle name="Normal 8 2 2 2 2 2 6 3" xfId="11145" xr:uid="{09869858-ACAE-4DD6-A526-BE06A33F15E7}"/>
    <cellStyle name="Normal 8 2 2 2 2 2 6 4" xfId="15356" xr:uid="{92908A1A-AE96-45C6-8600-AEE130F1F908}"/>
    <cellStyle name="Normal 8 2 2 2 2 2 7" xfId="4848" xr:uid="{00000000-0005-0000-0000-00000A1C0000}"/>
    <cellStyle name="Normal 8 2 2 2 2 2 7 2" xfId="17509" xr:uid="{4F15D1A8-551B-41F1-BE91-038117F1BA2C}"/>
    <cellStyle name="Normal 8 2 2 2 2 2 8" xfId="9080" xr:uid="{5E9084D5-E6E8-4E72-9D52-98E78205B3AF}"/>
    <cellStyle name="Normal 8 2 2 2 2 2 9" xfId="13291" xr:uid="{876158C5-92D6-41F3-880C-9317DDDB329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20066" xr:uid="{4E85CF5D-9D43-43E3-9162-99AA059AF407}"/>
    <cellStyle name="Normal 8 2 2 2 2 3 2 3" xfId="11637" xr:uid="{939F15B2-F13C-4CA4-9AC5-29914FD342B3}"/>
    <cellStyle name="Normal 8 2 2 2 2 3 2 4" xfId="15848" xr:uid="{B72B23C4-0720-4886-B54E-CD8FB6D9E2E9}"/>
    <cellStyle name="Normal 8 2 2 2 2 3 3" xfId="5260" xr:uid="{00000000-0005-0000-0000-00000E1C0000}"/>
    <cellStyle name="Normal 8 2 2 2 2 3 3 2" xfId="17921" xr:uid="{CF4105CC-4C6A-496A-8555-362B1CCFE95A}"/>
    <cellStyle name="Normal 8 2 2 2 2 3 4" xfId="9492" xr:uid="{19BA5511-B1F7-4BE6-AD01-9AC14E065ED3}"/>
    <cellStyle name="Normal 8 2 2 2 2 3 5" xfId="13703" xr:uid="{A20ED073-8A39-46D6-8F18-8AB5A1749876}"/>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20479" xr:uid="{8DE6C10F-172E-415A-852F-FF3C3C88FD07}"/>
    <cellStyle name="Normal 8 2 2 2 2 4 2 3" xfId="12050" xr:uid="{A73AF5A7-4370-4340-BFD8-E076024226DB}"/>
    <cellStyle name="Normal 8 2 2 2 2 4 2 4" xfId="16261" xr:uid="{46F39876-55EC-411D-B99B-199B557D0EED}"/>
    <cellStyle name="Normal 8 2 2 2 2 4 3" xfId="5673" xr:uid="{00000000-0005-0000-0000-0000121C0000}"/>
    <cellStyle name="Normal 8 2 2 2 2 4 3 2" xfId="18334" xr:uid="{B75DE9C6-8BD2-45DA-B52D-707F88D716DA}"/>
    <cellStyle name="Normal 8 2 2 2 2 4 4" xfId="9905" xr:uid="{EC702B05-C3A0-46D3-B37E-1E9482EBC38D}"/>
    <cellStyle name="Normal 8 2 2 2 2 4 5" xfId="14116" xr:uid="{AC22C295-BA05-4345-9D8A-8B8B2090DB39}"/>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20892" xr:uid="{06341D51-9965-4190-A98A-13DC4DCD24D6}"/>
    <cellStyle name="Normal 8 2 2 2 2 5 2 3" xfId="12463" xr:uid="{4AEACC2C-7476-41A3-A407-807D66C3E0FC}"/>
    <cellStyle name="Normal 8 2 2 2 2 5 2 4" xfId="16674" xr:uid="{77C7A278-4E64-477C-B863-07B9278DBCA5}"/>
    <cellStyle name="Normal 8 2 2 2 2 5 3" xfId="6086" xr:uid="{00000000-0005-0000-0000-0000161C0000}"/>
    <cellStyle name="Normal 8 2 2 2 2 5 3 2" xfId="18747" xr:uid="{10130A1C-7F3F-4136-A3C1-28337CC5BD2A}"/>
    <cellStyle name="Normal 8 2 2 2 2 5 4" xfId="10318" xr:uid="{DDEAD1CD-6908-4A81-BEE4-8C0D909273B5}"/>
    <cellStyle name="Normal 8 2 2 2 2 5 5" xfId="14529" xr:uid="{CCC407A8-0076-4AAB-B3F5-D7556DE97134}"/>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21305" xr:uid="{B7E2D81A-77C5-4808-862F-58A96E24B2CD}"/>
    <cellStyle name="Normal 8 2 2 2 2 6 2 3" xfId="12876" xr:uid="{BA6A9666-7594-4925-814E-D81F9A5DDE58}"/>
    <cellStyle name="Normal 8 2 2 2 2 6 2 4" xfId="17087" xr:uid="{5DA45000-08A0-46AF-8095-72D320A6707B}"/>
    <cellStyle name="Normal 8 2 2 2 2 6 3" xfId="6499" xr:uid="{00000000-0005-0000-0000-00001A1C0000}"/>
    <cellStyle name="Normal 8 2 2 2 2 6 3 2" xfId="19160" xr:uid="{16141324-21AD-4ACD-9035-4F9FE76EEE65}"/>
    <cellStyle name="Normal 8 2 2 2 2 6 4" xfId="10731" xr:uid="{1116318D-9CEE-4136-BA19-54D6BD7C1844}"/>
    <cellStyle name="Normal 8 2 2 2 2 6 5" xfId="14942" xr:uid="{FC23FCBE-888A-4638-B71B-35984BAEFBEF}"/>
    <cellStyle name="Normal 8 2 2 2 2 7" xfId="2629" xr:uid="{00000000-0005-0000-0000-00001B1C0000}"/>
    <cellStyle name="Normal 8 2 2 2 2 7 2" xfId="6912" xr:uid="{00000000-0005-0000-0000-00001C1C0000}"/>
    <cellStyle name="Normal 8 2 2 2 2 7 2 2" xfId="19573" xr:uid="{59DA148C-0188-49CB-802A-9CAD6E04321A}"/>
    <cellStyle name="Normal 8 2 2 2 2 7 3" xfId="11144" xr:uid="{C09BF53C-6C74-4482-AF12-7EBF4111CF43}"/>
    <cellStyle name="Normal 8 2 2 2 2 7 4" xfId="15355" xr:uid="{99DF9F99-0081-4C30-9E95-A0B226617DB9}"/>
    <cellStyle name="Normal 8 2 2 2 2 8" xfId="4847" xr:uid="{00000000-0005-0000-0000-00001D1C0000}"/>
    <cellStyle name="Normal 8 2 2 2 2 8 2" xfId="17508" xr:uid="{F7029718-A060-4F8D-B51A-448D935CED06}"/>
    <cellStyle name="Normal 8 2 2 2 2 9" xfId="9079" xr:uid="{B56119D2-3FF8-405C-836F-99A5F6011FD4}"/>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20068" xr:uid="{93248F75-D19E-4919-9CE9-32F230D1BBD6}"/>
    <cellStyle name="Normal 8 2 2 2 3 2 2 3" xfId="11639" xr:uid="{6A8F6721-CF98-4007-B751-90BCEFBEB58B}"/>
    <cellStyle name="Normal 8 2 2 2 3 2 2 4" xfId="15850" xr:uid="{CF4D85D3-D979-496F-93C6-B138185DE318}"/>
    <cellStyle name="Normal 8 2 2 2 3 2 3" xfId="5262" xr:uid="{00000000-0005-0000-0000-0000221C0000}"/>
    <cellStyle name="Normal 8 2 2 2 3 2 3 2" xfId="17923" xr:uid="{B06DA34D-0CAC-4DC9-9793-EF1555C28A53}"/>
    <cellStyle name="Normal 8 2 2 2 3 2 4" xfId="9494" xr:uid="{ECF5254B-54CC-4A27-AFF9-32EB22D88061}"/>
    <cellStyle name="Normal 8 2 2 2 3 2 5" xfId="13705" xr:uid="{F71D10B8-C1B8-47E2-8BF7-006230648C8B}"/>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20481" xr:uid="{32EF52CF-F409-468E-A05C-342EFADBB0C5}"/>
    <cellStyle name="Normal 8 2 2 2 3 3 2 3" xfId="12052" xr:uid="{731EBA7F-A32D-44B0-B6D4-07AC9D46C762}"/>
    <cellStyle name="Normal 8 2 2 2 3 3 2 4" xfId="16263" xr:uid="{12FAF02C-C42D-4DFF-9EFD-37F111EDA2FF}"/>
    <cellStyle name="Normal 8 2 2 2 3 3 3" xfId="5675" xr:uid="{00000000-0005-0000-0000-0000261C0000}"/>
    <cellStyle name="Normal 8 2 2 2 3 3 3 2" xfId="18336" xr:uid="{628ED0A2-20DC-4BAD-8F3D-D588C5A38096}"/>
    <cellStyle name="Normal 8 2 2 2 3 3 4" xfId="9907" xr:uid="{72E77DCA-5497-4FFB-AB58-9C439F29C192}"/>
    <cellStyle name="Normal 8 2 2 2 3 3 5" xfId="14118" xr:uid="{D4056B4C-FE07-4A46-AA26-3F42952D6425}"/>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20894" xr:uid="{FE2A8A82-9495-46EB-93E2-4A6B220DCE20}"/>
    <cellStyle name="Normal 8 2 2 2 3 4 2 3" xfId="12465" xr:uid="{9513D128-FE04-4094-9979-FA3FD9225C11}"/>
    <cellStyle name="Normal 8 2 2 2 3 4 2 4" xfId="16676" xr:uid="{803696C2-B156-4C6D-8300-98B4E8C23D3C}"/>
    <cellStyle name="Normal 8 2 2 2 3 4 3" xfId="6088" xr:uid="{00000000-0005-0000-0000-00002A1C0000}"/>
    <cellStyle name="Normal 8 2 2 2 3 4 3 2" xfId="18749" xr:uid="{3AF0ED45-F1D0-4382-85C6-BE1443ECB684}"/>
    <cellStyle name="Normal 8 2 2 2 3 4 4" xfId="10320" xr:uid="{BE4E2E0C-C39D-4CD4-BB30-F28C676F9648}"/>
    <cellStyle name="Normal 8 2 2 2 3 4 5" xfId="14531" xr:uid="{A2AFE4C8-E934-4F6C-A21B-4DD2833806A8}"/>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21307" xr:uid="{A3AEF84E-4AC9-4F7B-A364-FD5021B51FDD}"/>
    <cellStyle name="Normal 8 2 2 2 3 5 2 3" xfId="12878" xr:uid="{056E39B5-5504-427D-A05D-42489E0E175B}"/>
    <cellStyle name="Normal 8 2 2 2 3 5 2 4" xfId="17089" xr:uid="{62729CF0-2E31-4E2B-9CC9-5F75BE99B59B}"/>
    <cellStyle name="Normal 8 2 2 2 3 5 3" xfId="6501" xr:uid="{00000000-0005-0000-0000-00002E1C0000}"/>
    <cellStyle name="Normal 8 2 2 2 3 5 3 2" xfId="19162" xr:uid="{5EDF60AA-35E4-4654-860B-2FBF26C874BA}"/>
    <cellStyle name="Normal 8 2 2 2 3 5 4" xfId="10733" xr:uid="{E7385584-47D6-493A-9C5D-30269353F0E7}"/>
    <cellStyle name="Normal 8 2 2 2 3 5 5" xfId="14944" xr:uid="{453BA176-53E2-40C1-846A-3D5B0A4E1E41}"/>
    <cellStyle name="Normal 8 2 2 2 3 6" xfId="2631" xr:uid="{00000000-0005-0000-0000-00002F1C0000}"/>
    <cellStyle name="Normal 8 2 2 2 3 6 2" xfId="6914" xr:uid="{00000000-0005-0000-0000-0000301C0000}"/>
    <cellStyle name="Normal 8 2 2 2 3 6 2 2" xfId="19575" xr:uid="{3FF23D72-7E4E-4D13-924A-85B3A32EA2AA}"/>
    <cellStyle name="Normal 8 2 2 2 3 6 3" xfId="11146" xr:uid="{A445A80D-76FD-4940-958A-9FD95A32F474}"/>
    <cellStyle name="Normal 8 2 2 2 3 6 4" xfId="15357" xr:uid="{F1DD3633-82AA-4F84-9DA1-24C91EEEF8CC}"/>
    <cellStyle name="Normal 8 2 2 2 3 7" xfId="4849" xr:uid="{00000000-0005-0000-0000-0000311C0000}"/>
    <cellStyle name="Normal 8 2 2 2 3 7 2" xfId="17510" xr:uid="{5980ECAA-0D14-4C1C-B0D2-97EA7975EA3C}"/>
    <cellStyle name="Normal 8 2 2 2 3 8" xfId="9081" xr:uid="{3CC81EA7-1F7B-4FF4-BB87-033DBB9D52C6}"/>
    <cellStyle name="Normal 8 2 2 2 3 9" xfId="13292" xr:uid="{03F189E7-3DB7-42D0-AC43-2F261180D8D5}"/>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20065" xr:uid="{3113C003-1C69-446E-AC4B-34BDED7E4EA8}"/>
    <cellStyle name="Normal 8 2 2 2 4 2 3" xfId="11636" xr:uid="{62F27404-A0E9-4CC8-AAD3-2FE52E2BEB8E}"/>
    <cellStyle name="Normal 8 2 2 2 4 2 4" xfId="15847" xr:uid="{6ED86C5E-0BA3-49C8-BC34-53D512B0134A}"/>
    <cellStyle name="Normal 8 2 2 2 4 3" xfId="5259" xr:uid="{00000000-0005-0000-0000-0000351C0000}"/>
    <cellStyle name="Normal 8 2 2 2 4 3 2" xfId="17920" xr:uid="{8A454482-E13A-4BFC-9F3F-10800E5E76DC}"/>
    <cellStyle name="Normal 8 2 2 2 4 4" xfId="9491" xr:uid="{7859BB71-705A-4299-8631-F5B4095618B5}"/>
    <cellStyle name="Normal 8 2 2 2 4 5" xfId="13702" xr:uid="{9AA0234D-EDB2-403B-865A-4457649C80E4}"/>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20478" xr:uid="{8530462E-9437-4753-A858-E5F64F85A1EA}"/>
    <cellStyle name="Normal 8 2 2 2 5 2 3" xfId="12049" xr:uid="{9BFC4E2C-1D4D-4B42-A417-B8A4908A16E5}"/>
    <cellStyle name="Normal 8 2 2 2 5 2 4" xfId="16260" xr:uid="{30D3CF1D-DFCC-418B-B3BF-F7E96A3C01D6}"/>
    <cellStyle name="Normal 8 2 2 2 5 3" xfId="5672" xr:uid="{00000000-0005-0000-0000-0000391C0000}"/>
    <cellStyle name="Normal 8 2 2 2 5 3 2" xfId="18333" xr:uid="{260441D6-A27E-411D-8AE6-5DB7A783113E}"/>
    <cellStyle name="Normal 8 2 2 2 5 4" xfId="9904" xr:uid="{B4CCB71C-DBA2-4CDF-B847-68B3ACC64972}"/>
    <cellStyle name="Normal 8 2 2 2 5 5" xfId="14115" xr:uid="{DE55C09F-AFB5-4884-BF3D-75255846026C}"/>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20891" xr:uid="{70BBEC9E-E9AA-45BA-8675-E75A511484CA}"/>
    <cellStyle name="Normal 8 2 2 2 6 2 3" xfId="12462" xr:uid="{B9947C80-7927-4D5D-BF2C-8B6AA39B80F9}"/>
    <cellStyle name="Normal 8 2 2 2 6 2 4" xfId="16673" xr:uid="{1EFF6862-5317-4C40-95E0-44809CEF5F45}"/>
    <cellStyle name="Normal 8 2 2 2 6 3" xfId="6085" xr:uid="{00000000-0005-0000-0000-00003D1C0000}"/>
    <cellStyle name="Normal 8 2 2 2 6 3 2" xfId="18746" xr:uid="{0E12111F-8B80-4028-A5B1-3BA4410D0742}"/>
    <cellStyle name="Normal 8 2 2 2 6 4" xfId="10317" xr:uid="{7BC3690B-CD38-423E-ACFA-BC3BBB44B894}"/>
    <cellStyle name="Normal 8 2 2 2 6 5" xfId="14528" xr:uid="{B048E345-1211-4ED2-89A2-BDAE923D8770}"/>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21304" xr:uid="{B886700E-6D6A-480E-9FE1-69A6CCC445FB}"/>
    <cellStyle name="Normal 8 2 2 2 7 2 3" xfId="12875" xr:uid="{437D0F70-6271-4A47-B09E-7225C032AC67}"/>
    <cellStyle name="Normal 8 2 2 2 7 2 4" xfId="17086" xr:uid="{47F0B537-16D8-4F03-9905-C86D490D65C8}"/>
    <cellStyle name="Normal 8 2 2 2 7 3" xfId="6498" xr:uid="{00000000-0005-0000-0000-0000411C0000}"/>
    <cellStyle name="Normal 8 2 2 2 7 3 2" xfId="19159" xr:uid="{499A6DB0-6EA3-4D7A-9F60-D509001E7D43}"/>
    <cellStyle name="Normal 8 2 2 2 7 4" xfId="10730" xr:uid="{DF44E6E9-303E-4349-875E-C9DF7D418DBF}"/>
    <cellStyle name="Normal 8 2 2 2 7 5" xfId="14941" xr:uid="{077AC953-81A7-4B01-80B7-431068E0A328}"/>
    <cellStyle name="Normal 8 2 2 2 8" xfId="2628" xr:uid="{00000000-0005-0000-0000-0000421C0000}"/>
    <cellStyle name="Normal 8 2 2 2 8 2" xfId="6911" xr:uid="{00000000-0005-0000-0000-0000431C0000}"/>
    <cellStyle name="Normal 8 2 2 2 8 2 2" xfId="19572" xr:uid="{9C0D807F-5EE1-4550-AF22-CB598CE4E433}"/>
    <cellStyle name="Normal 8 2 2 2 8 3" xfId="11143" xr:uid="{F8B75E5A-3B96-4558-A442-D7B4A2E88487}"/>
    <cellStyle name="Normal 8 2 2 2 8 4" xfId="15354" xr:uid="{A7E96D30-3DD2-451F-A3A1-BBE3C5E1810B}"/>
    <cellStyle name="Normal 8 2 2 2 9" xfId="4846" xr:uid="{00000000-0005-0000-0000-0000441C0000}"/>
    <cellStyle name="Normal 8 2 2 2 9 2" xfId="17507" xr:uid="{2D355390-FE40-4E39-BB4E-30CA52E3168C}"/>
    <cellStyle name="Normal 8 2 2 3" xfId="485" xr:uid="{00000000-0005-0000-0000-0000451C0000}"/>
    <cellStyle name="Normal 8 2 2 3 10" xfId="13293" xr:uid="{5AC30E75-CC3F-4FA9-8735-46E59E0CAAAC}"/>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20070" xr:uid="{D9FBA767-DDD5-44B2-B9A2-6287763C86A8}"/>
    <cellStyle name="Normal 8 2 2 3 2 2 2 3" xfId="11641" xr:uid="{1DF5EF43-F3C2-4DF1-A631-C4D5D6DAF403}"/>
    <cellStyle name="Normal 8 2 2 3 2 2 2 4" xfId="15852" xr:uid="{F3EB406F-C94D-4980-BF94-9894E64B0F4D}"/>
    <cellStyle name="Normal 8 2 2 3 2 2 3" xfId="5264" xr:uid="{00000000-0005-0000-0000-00004A1C0000}"/>
    <cellStyle name="Normal 8 2 2 3 2 2 3 2" xfId="17925" xr:uid="{9E0E466E-B147-4DE6-951E-31B0A0495191}"/>
    <cellStyle name="Normal 8 2 2 3 2 2 4" xfId="9496" xr:uid="{A4F38E2C-9A92-410D-AB30-F184C343C8E2}"/>
    <cellStyle name="Normal 8 2 2 3 2 2 5" xfId="13707" xr:uid="{D8ABAAC7-E8CC-4C81-8AAC-EAE268B8A00F}"/>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20483" xr:uid="{F7986A2B-4C13-48CE-A0C3-3617C3E93A8B}"/>
    <cellStyle name="Normal 8 2 2 3 2 3 2 3" xfId="12054" xr:uid="{B1DC7270-78DE-4DC7-AA0E-A9F104EE0CE8}"/>
    <cellStyle name="Normal 8 2 2 3 2 3 2 4" xfId="16265" xr:uid="{3ED08899-3029-4A00-9FC9-F578D087CCE5}"/>
    <cellStyle name="Normal 8 2 2 3 2 3 3" xfId="5677" xr:uid="{00000000-0005-0000-0000-00004E1C0000}"/>
    <cellStyle name="Normal 8 2 2 3 2 3 3 2" xfId="18338" xr:uid="{0AA10ABA-DBA4-4717-AA77-1615B89FE526}"/>
    <cellStyle name="Normal 8 2 2 3 2 3 4" xfId="9909" xr:uid="{E533D68D-2F26-4630-8DE5-E53651413E3E}"/>
    <cellStyle name="Normal 8 2 2 3 2 3 5" xfId="14120" xr:uid="{9824C7F5-0C86-4F63-B227-A15D517DD101}"/>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20896" xr:uid="{2F7E23B2-F440-4919-A2A4-2D138ECBEEBC}"/>
    <cellStyle name="Normal 8 2 2 3 2 4 2 3" xfId="12467" xr:uid="{1F78A5D0-66ED-4462-B56D-D17EFF25BA10}"/>
    <cellStyle name="Normal 8 2 2 3 2 4 2 4" xfId="16678" xr:uid="{209A8F48-44BF-41AA-8F7E-93C3AABE47D6}"/>
    <cellStyle name="Normal 8 2 2 3 2 4 3" xfId="6090" xr:uid="{00000000-0005-0000-0000-0000521C0000}"/>
    <cellStyle name="Normal 8 2 2 3 2 4 3 2" xfId="18751" xr:uid="{B357552E-14CB-4B9E-8A16-678FEB92CB58}"/>
    <cellStyle name="Normal 8 2 2 3 2 4 4" xfId="10322" xr:uid="{53F09E77-1822-4DC1-A8BF-4F954635E436}"/>
    <cellStyle name="Normal 8 2 2 3 2 4 5" xfId="14533" xr:uid="{60AC0838-9D4E-478F-B2F8-62BA5D8CE7E1}"/>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21309" xr:uid="{DCDE8F1C-500D-4AD5-B8B0-8BD2F31CDCB4}"/>
    <cellStyle name="Normal 8 2 2 3 2 5 2 3" xfId="12880" xr:uid="{3AFC0F8C-7931-44E2-9590-63903879A3C7}"/>
    <cellStyle name="Normal 8 2 2 3 2 5 2 4" xfId="17091" xr:uid="{D2CB7E15-5D31-411A-A0F9-19A55DEC709E}"/>
    <cellStyle name="Normal 8 2 2 3 2 5 3" xfId="6503" xr:uid="{00000000-0005-0000-0000-0000561C0000}"/>
    <cellStyle name="Normal 8 2 2 3 2 5 3 2" xfId="19164" xr:uid="{5BD69A86-D8BA-479F-B5FB-F317796DC6D3}"/>
    <cellStyle name="Normal 8 2 2 3 2 5 4" xfId="10735" xr:uid="{050B6F94-F968-499B-AFB8-3686DD6D1B63}"/>
    <cellStyle name="Normal 8 2 2 3 2 5 5" xfId="14946" xr:uid="{507D9C4B-388D-49FA-A6D6-A476C4ACE6E3}"/>
    <cellStyle name="Normal 8 2 2 3 2 6" xfId="2633" xr:uid="{00000000-0005-0000-0000-0000571C0000}"/>
    <cellStyle name="Normal 8 2 2 3 2 6 2" xfId="6916" xr:uid="{00000000-0005-0000-0000-0000581C0000}"/>
    <cellStyle name="Normal 8 2 2 3 2 6 2 2" xfId="19577" xr:uid="{39F0F431-7946-4EE9-9B05-C13D8E9AA6C9}"/>
    <cellStyle name="Normal 8 2 2 3 2 6 3" xfId="11148" xr:uid="{0A347DD0-2E7B-4B12-9B76-9AA3427E9218}"/>
    <cellStyle name="Normal 8 2 2 3 2 6 4" xfId="15359" xr:uid="{D7A5633A-0C94-42F3-A402-70C534B26515}"/>
    <cellStyle name="Normal 8 2 2 3 2 7" xfId="4851" xr:uid="{00000000-0005-0000-0000-0000591C0000}"/>
    <cellStyle name="Normal 8 2 2 3 2 7 2" xfId="17512" xr:uid="{0EF60A99-638A-4E57-A332-1CC8010B799C}"/>
    <cellStyle name="Normal 8 2 2 3 2 8" xfId="9083" xr:uid="{D57F2E59-97AF-4C55-BE0A-2C53D4AFEDF6}"/>
    <cellStyle name="Normal 8 2 2 3 2 9" xfId="13294" xr:uid="{AF56C07A-D589-4910-9FAD-9FD5C11704E2}"/>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20069" xr:uid="{6AAA4761-F7CB-4F47-BB26-BFD62BB61B7C}"/>
    <cellStyle name="Normal 8 2 2 3 3 2 3" xfId="11640" xr:uid="{B3867D79-55D8-4058-BBF9-97D6C9BB153F}"/>
    <cellStyle name="Normal 8 2 2 3 3 2 4" xfId="15851" xr:uid="{F651DC6E-9DCD-4635-818D-204ED64FA641}"/>
    <cellStyle name="Normal 8 2 2 3 3 3" xfId="5263" xr:uid="{00000000-0005-0000-0000-00005D1C0000}"/>
    <cellStyle name="Normal 8 2 2 3 3 3 2" xfId="17924" xr:uid="{9DE119E2-B7DF-4776-994D-4BDF254919AA}"/>
    <cellStyle name="Normal 8 2 2 3 3 4" xfId="9495" xr:uid="{46E5A16D-C76A-4833-A813-08874FB8A2E1}"/>
    <cellStyle name="Normal 8 2 2 3 3 5" xfId="13706" xr:uid="{22E58FA5-C865-4A97-AB7B-A32630D4AA13}"/>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20482" xr:uid="{C6B77AD9-3603-4C02-8F7C-5C82C23E4515}"/>
    <cellStyle name="Normal 8 2 2 3 4 2 3" xfId="12053" xr:uid="{244E5638-BF97-44D2-B28B-6F581B879CBB}"/>
    <cellStyle name="Normal 8 2 2 3 4 2 4" xfId="16264" xr:uid="{0909AB0A-F12D-4E78-ABB6-BD91A5B02159}"/>
    <cellStyle name="Normal 8 2 2 3 4 3" xfId="5676" xr:uid="{00000000-0005-0000-0000-0000611C0000}"/>
    <cellStyle name="Normal 8 2 2 3 4 3 2" xfId="18337" xr:uid="{1A1F5C04-AB98-4928-9309-B862129240D3}"/>
    <cellStyle name="Normal 8 2 2 3 4 4" xfId="9908" xr:uid="{A90C2F7A-F689-498F-88E4-55C7575F2C9D}"/>
    <cellStyle name="Normal 8 2 2 3 4 5" xfId="14119" xr:uid="{DE1588BB-53CA-409A-B14C-0BCEC0631E2F}"/>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20895" xr:uid="{2C5E704B-82BB-47E8-B1B8-0A69AABEDA82}"/>
    <cellStyle name="Normal 8 2 2 3 5 2 3" xfId="12466" xr:uid="{E5D40692-7A41-42DD-B826-6F5C6C36AD1C}"/>
    <cellStyle name="Normal 8 2 2 3 5 2 4" xfId="16677" xr:uid="{7260828F-C8CE-4D46-A84A-38B4D006AC03}"/>
    <cellStyle name="Normal 8 2 2 3 5 3" xfId="6089" xr:uid="{00000000-0005-0000-0000-0000651C0000}"/>
    <cellStyle name="Normal 8 2 2 3 5 3 2" xfId="18750" xr:uid="{2971C4AA-6C0D-496F-AF55-6643A9C1060D}"/>
    <cellStyle name="Normal 8 2 2 3 5 4" xfId="10321" xr:uid="{4C039D0C-26DA-47B9-B45F-484FFE4B7397}"/>
    <cellStyle name="Normal 8 2 2 3 5 5" xfId="14532" xr:uid="{A43EC99F-1C7D-4D44-93F1-D46CEB9DE155}"/>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21308" xr:uid="{380AE878-791B-4C1A-927C-42C38ACC1959}"/>
    <cellStyle name="Normal 8 2 2 3 6 2 3" xfId="12879" xr:uid="{61B3D574-7ACA-4DB6-92F8-EDD540F7506A}"/>
    <cellStyle name="Normal 8 2 2 3 6 2 4" xfId="17090" xr:uid="{DBCB4CB5-BE12-4A7C-9FB6-C051296DE055}"/>
    <cellStyle name="Normal 8 2 2 3 6 3" xfId="6502" xr:uid="{00000000-0005-0000-0000-0000691C0000}"/>
    <cellStyle name="Normal 8 2 2 3 6 3 2" xfId="19163" xr:uid="{FC18C1C2-7A7A-41C4-A923-DA84AC8B9EBB}"/>
    <cellStyle name="Normal 8 2 2 3 6 4" xfId="10734" xr:uid="{460806B0-5B07-4E7C-A4AD-826E71FFA89C}"/>
    <cellStyle name="Normal 8 2 2 3 6 5" xfId="14945" xr:uid="{524B699B-82FC-4FEC-8F58-9B04F9DFB426}"/>
    <cellStyle name="Normal 8 2 2 3 7" xfId="2632" xr:uid="{00000000-0005-0000-0000-00006A1C0000}"/>
    <cellStyle name="Normal 8 2 2 3 7 2" xfId="6915" xr:uid="{00000000-0005-0000-0000-00006B1C0000}"/>
    <cellStyle name="Normal 8 2 2 3 7 2 2" xfId="19576" xr:uid="{5533554A-D53B-4512-A566-D01D25D2E795}"/>
    <cellStyle name="Normal 8 2 2 3 7 3" xfId="11147" xr:uid="{9024D072-2389-4536-9ED3-99D0C3634D53}"/>
    <cellStyle name="Normal 8 2 2 3 7 4" xfId="15358" xr:uid="{93F0590B-FD69-41FC-945A-16D87D787C1E}"/>
    <cellStyle name="Normal 8 2 2 3 8" xfId="4850" xr:uid="{00000000-0005-0000-0000-00006C1C0000}"/>
    <cellStyle name="Normal 8 2 2 3 8 2" xfId="17511" xr:uid="{5FB18B1E-5FE2-462E-8757-A437D51ECCDE}"/>
    <cellStyle name="Normal 8 2 2 3 9" xfId="9082" xr:uid="{CCEB4DD0-FA85-42DA-856B-1AED4B1F485F}"/>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20071" xr:uid="{DCA2B428-5060-47B2-BE8A-B7C1B3767359}"/>
    <cellStyle name="Normal 8 2 2 4 2 2 3" xfId="11642" xr:uid="{7AAE2BBB-7CA5-4B18-AA4E-C9C68A3E9F86}"/>
    <cellStyle name="Normal 8 2 2 4 2 2 4" xfId="15853" xr:uid="{CE269417-4AE8-4671-B358-5157FF66292B}"/>
    <cellStyle name="Normal 8 2 2 4 2 3" xfId="5265" xr:uid="{00000000-0005-0000-0000-0000711C0000}"/>
    <cellStyle name="Normal 8 2 2 4 2 3 2" xfId="17926" xr:uid="{E1579DF0-6215-463D-AB91-3044793072B1}"/>
    <cellStyle name="Normal 8 2 2 4 2 4" xfId="9497" xr:uid="{15550307-4E73-4F29-B2D8-531514BC9740}"/>
    <cellStyle name="Normal 8 2 2 4 2 5" xfId="13708" xr:uid="{B0DDD1A3-DADB-4B02-8995-BB073B2D847D}"/>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20484" xr:uid="{D9907B4D-2275-43A7-AE17-9BD304B49F0A}"/>
    <cellStyle name="Normal 8 2 2 4 3 2 3" xfId="12055" xr:uid="{167494ED-F3A0-45B4-A863-8CB7583A4334}"/>
    <cellStyle name="Normal 8 2 2 4 3 2 4" xfId="16266" xr:uid="{13EAEDB7-E5F4-4363-8ECD-DCB6A783F6BF}"/>
    <cellStyle name="Normal 8 2 2 4 3 3" xfId="5678" xr:uid="{00000000-0005-0000-0000-0000751C0000}"/>
    <cellStyle name="Normal 8 2 2 4 3 3 2" xfId="18339" xr:uid="{12046270-9C4B-4862-AA36-DB44CC4D9D7F}"/>
    <cellStyle name="Normal 8 2 2 4 3 4" xfId="9910" xr:uid="{1B71BE8E-FBE4-4793-815B-6017ED988DF1}"/>
    <cellStyle name="Normal 8 2 2 4 3 5" xfId="14121" xr:uid="{B2885267-4E33-45E1-BB64-32A8643E071D}"/>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20897" xr:uid="{7ED1216A-AD00-4186-80BE-5F60B521D47D}"/>
    <cellStyle name="Normal 8 2 2 4 4 2 3" xfId="12468" xr:uid="{B9582C0D-C4B6-4E4B-86B2-23BCC37E3216}"/>
    <cellStyle name="Normal 8 2 2 4 4 2 4" xfId="16679" xr:uid="{21BAB32F-71C8-4A0F-A509-337FEBC2880C}"/>
    <cellStyle name="Normal 8 2 2 4 4 3" xfId="6091" xr:uid="{00000000-0005-0000-0000-0000791C0000}"/>
    <cellStyle name="Normal 8 2 2 4 4 3 2" xfId="18752" xr:uid="{EA6BE549-8C15-472F-8D5C-5EE1FA139061}"/>
    <cellStyle name="Normal 8 2 2 4 4 4" xfId="10323" xr:uid="{A1DE66C9-2AE5-4888-A305-71339DAA39C2}"/>
    <cellStyle name="Normal 8 2 2 4 4 5" xfId="14534" xr:uid="{5C39CE86-9273-4829-B543-74C7D1837D45}"/>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21310" xr:uid="{96CA858B-207F-45E4-8834-8D1357B59E7B}"/>
    <cellStyle name="Normal 8 2 2 4 5 2 3" xfId="12881" xr:uid="{3FE45FF1-C55A-4922-9951-13766206F4B7}"/>
    <cellStyle name="Normal 8 2 2 4 5 2 4" xfId="17092" xr:uid="{F9487331-DDEE-4DB4-8597-0189BA4A602C}"/>
    <cellStyle name="Normal 8 2 2 4 5 3" xfId="6504" xr:uid="{00000000-0005-0000-0000-00007D1C0000}"/>
    <cellStyle name="Normal 8 2 2 4 5 3 2" xfId="19165" xr:uid="{74737909-C787-4CC2-B192-CDF6E53EEA15}"/>
    <cellStyle name="Normal 8 2 2 4 5 4" xfId="10736" xr:uid="{8DA8229D-8FDD-4BAE-BB59-AA6D10D3FEED}"/>
    <cellStyle name="Normal 8 2 2 4 5 5" xfId="14947" xr:uid="{7D0F74C3-4D9A-4574-ACA3-3F27F063D07C}"/>
    <cellStyle name="Normal 8 2 2 4 6" xfId="2634" xr:uid="{00000000-0005-0000-0000-00007E1C0000}"/>
    <cellStyle name="Normal 8 2 2 4 6 2" xfId="6917" xr:uid="{00000000-0005-0000-0000-00007F1C0000}"/>
    <cellStyle name="Normal 8 2 2 4 6 2 2" xfId="19578" xr:uid="{31FF1AF2-AA0E-4325-A348-21DB37CE4B44}"/>
    <cellStyle name="Normal 8 2 2 4 6 3" xfId="11149" xr:uid="{28BD7B5C-9211-4434-8CBF-1A6200FE48D2}"/>
    <cellStyle name="Normal 8 2 2 4 6 4" xfId="15360" xr:uid="{067CE5FF-A439-4546-9CEC-A882B3BB08F9}"/>
    <cellStyle name="Normal 8 2 2 4 7" xfId="4852" xr:uid="{00000000-0005-0000-0000-0000801C0000}"/>
    <cellStyle name="Normal 8 2 2 4 7 2" xfId="17513" xr:uid="{89AF4420-4DDC-422D-86C8-266204A20026}"/>
    <cellStyle name="Normal 8 2 2 4 8" xfId="9084" xr:uid="{145AD430-57F6-4A17-951A-596A792B7BCC}"/>
    <cellStyle name="Normal 8 2 2 4 9" xfId="13295" xr:uid="{803A5F58-CC17-4016-8E6C-51E00C99195B}"/>
    <cellStyle name="Normal 8 2 2 5" xfId="947" xr:uid="{00000000-0005-0000-0000-0000811C0000}"/>
    <cellStyle name="Normal 8 2 2 5 2" xfId="3181" xr:uid="{00000000-0005-0000-0000-0000821C0000}"/>
    <cellStyle name="Normal 8 2 2 5 2 2" xfId="7403" xr:uid="{00000000-0005-0000-0000-0000831C0000}"/>
    <cellStyle name="Normal 8 2 2 5 2 2 2" xfId="20064" xr:uid="{35D25071-68D1-486B-B224-1355EE600BF0}"/>
    <cellStyle name="Normal 8 2 2 5 2 3" xfId="11635" xr:uid="{DAF608E4-3F94-423E-A2A5-18B2D4420752}"/>
    <cellStyle name="Normal 8 2 2 5 2 4" xfId="15846" xr:uid="{B130C390-57BB-4896-B9A3-04EDAF0052B3}"/>
    <cellStyle name="Normal 8 2 2 5 3" xfId="5258" xr:uid="{00000000-0005-0000-0000-0000841C0000}"/>
    <cellStyle name="Normal 8 2 2 5 3 2" xfId="17919" xr:uid="{D3342FBD-DDD9-4FA1-8E92-A0D379E09900}"/>
    <cellStyle name="Normal 8 2 2 5 4" xfId="9490" xr:uid="{369961C0-A0D0-4691-9972-F766860FA299}"/>
    <cellStyle name="Normal 8 2 2 5 5" xfId="13701" xr:uid="{08506DC8-4BF9-4BE0-B991-6CEFDE51FAE2}"/>
    <cellStyle name="Normal 8 2 2 6" xfId="1364" xr:uid="{00000000-0005-0000-0000-0000851C0000}"/>
    <cellStyle name="Normal 8 2 2 6 2" xfId="3594" xr:uid="{00000000-0005-0000-0000-0000861C0000}"/>
    <cellStyle name="Normal 8 2 2 6 2 2" xfId="7816" xr:uid="{00000000-0005-0000-0000-0000871C0000}"/>
    <cellStyle name="Normal 8 2 2 6 2 2 2" xfId="20477" xr:uid="{9B0A07E8-D6FA-436B-B59F-36F095C8FBC8}"/>
    <cellStyle name="Normal 8 2 2 6 2 3" xfId="12048" xr:uid="{E03A732A-F816-4A64-BEA3-F53B5DD19C8F}"/>
    <cellStyle name="Normal 8 2 2 6 2 4" xfId="16259" xr:uid="{C8C7B606-E94F-4351-B0B1-681AD11CDEC7}"/>
    <cellStyle name="Normal 8 2 2 6 3" xfId="5671" xr:uid="{00000000-0005-0000-0000-0000881C0000}"/>
    <cellStyle name="Normal 8 2 2 6 3 2" xfId="18332" xr:uid="{512648D1-E6DC-4F6A-B888-3DCBC57614FA}"/>
    <cellStyle name="Normal 8 2 2 6 4" xfId="9903" xr:uid="{EAB9DCA0-6548-4C4F-BCB1-AAB4FE96E471}"/>
    <cellStyle name="Normal 8 2 2 6 5" xfId="14114" xr:uid="{8B499176-5495-4C4B-B248-8BCEBFFE853D}"/>
    <cellStyle name="Normal 8 2 2 7" xfId="1777" xr:uid="{00000000-0005-0000-0000-0000891C0000}"/>
    <cellStyle name="Normal 8 2 2 7 2" xfId="4007" xr:uid="{00000000-0005-0000-0000-00008A1C0000}"/>
    <cellStyle name="Normal 8 2 2 7 2 2" xfId="8229" xr:uid="{00000000-0005-0000-0000-00008B1C0000}"/>
    <cellStyle name="Normal 8 2 2 7 2 2 2" xfId="20890" xr:uid="{F46C43AC-CF7C-46BD-A606-B39D46BBEDFF}"/>
    <cellStyle name="Normal 8 2 2 7 2 3" xfId="12461" xr:uid="{C78423DA-2373-4D8F-B930-58E6098EA6ED}"/>
    <cellStyle name="Normal 8 2 2 7 2 4" xfId="16672" xr:uid="{84379B03-1CB4-4646-A186-23929ABEDAC5}"/>
    <cellStyle name="Normal 8 2 2 7 3" xfId="6084" xr:uid="{00000000-0005-0000-0000-00008C1C0000}"/>
    <cellStyle name="Normal 8 2 2 7 3 2" xfId="18745" xr:uid="{F59DC1AD-2F0F-4E8A-A18F-472F34B8344E}"/>
    <cellStyle name="Normal 8 2 2 7 4" xfId="10316" xr:uid="{F14F58B5-D4DA-440C-949E-1F23E1AF1730}"/>
    <cellStyle name="Normal 8 2 2 7 5" xfId="14527" xr:uid="{7F4DC785-5C26-40FF-9058-36CC861BD318}"/>
    <cellStyle name="Normal 8 2 2 8" xfId="2191" xr:uid="{00000000-0005-0000-0000-00008D1C0000}"/>
    <cellStyle name="Normal 8 2 2 8 2" xfId="4420" xr:uid="{00000000-0005-0000-0000-00008E1C0000}"/>
    <cellStyle name="Normal 8 2 2 8 2 2" xfId="8642" xr:uid="{00000000-0005-0000-0000-00008F1C0000}"/>
    <cellStyle name="Normal 8 2 2 8 2 2 2" xfId="21303" xr:uid="{F58E4788-5DC0-4AF1-95E2-32A1493441A3}"/>
    <cellStyle name="Normal 8 2 2 8 2 3" xfId="12874" xr:uid="{F1FBC652-CB63-46CD-9CB5-61D4994E3B43}"/>
    <cellStyle name="Normal 8 2 2 8 2 4" xfId="17085" xr:uid="{9C4C9F60-F2B0-4B74-8E7C-80437A4103BF}"/>
    <cellStyle name="Normal 8 2 2 8 3" xfId="6497" xr:uid="{00000000-0005-0000-0000-0000901C0000}"/>
    <cellStyle name="Normal 8 2 2 8 3 2" xfId="19158" xr:uid="{BE8177C4-F8B1-4AFF-BDD5-568A3A425BA4}"/>
    <cellStyle name="Normal 8 2 2 8 4" xfId="10729" xr:uid="{BB301FC2-4EF2-47FF-BBE4-624D0BC309DC}"/>
    <cellStyle name="Normal 8 2 2 8 5" xfId="14940" xr:uid="{6ED28FAA-2293-4B05-B117-B2601B72D872}"/>
    <cellStyle name="Normal 8 2 2 9" xfId="2627" xr:uid="{00000000-0005-0000-0000-0000911C0000}"/>
    <cellStyle name="Normal 8 2 2 9 2" xfId="6910" xr:uid="{00000000-0005-0000-0000-0000921C0000}"/>
    <cellStyle name="Normal 8 2 2 9 2 2" xfId="19571" xr:uid="{DB816DFF-7AB8-4345-B7C5-39B885E10836}"/>
    <cellStyle name="Normal 8 2 2 9 3" xfId="11142" xr:uid="{976B69A0-4120-47D4-883E-420A4DF4A303}"/>
    <cellStyle name="Normal 8 2 2 9 4" xfId="15353" xr:uid="{05709F76-C767-4EE6-88BC-D219A1D3A210}"/>
    <cellStyle name="Normal 8 2 3" xfId="488" xr:uid="{00000000-0005-0000-0000-0000931C0000}"/>
    <cellStyle name="Normal 8 2 3 10" xfId="9085" xr:uid="{5A38DBC9-241A-43FB-B685-F1A885B8A9BF}"/>
    <cellStyle name="Normal 8 2 3 11" xfId="13296" xr:uid="{AAF39BDA-D4A6-4956-9B0D-E2357ED10AF7}"/>
    <cellStyle name="Normal 8 2 3 2" xfId="489" xr:uid="{00000000-0005-0000-0000-0000941C0000}"/>
    <cellStyle name="Normal 8 2 3 2 10" xfId="13297" xr:uid="{35F58CD2-80EC-4C18-A03F-1AA08AAADBD3}"/>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20074" xr:uid="{5363F405-2903-45BC-A4CB-00D46F010CFD}"/>
    <cellStyle name="Normal 8 2 3 2 2 2 2 3" xfId="11645" xr:uid="{B6EEC08E-A042-4A0A-8966-C0F8B252450F}"/>
    <cellStyle name="Normal 8 2 3 2 2 2 2 4" xfId="15856" xr:uid="{07643DCF-53C9-4DB9-A329-F005D06CA160}"/>
    <cellStyle name="Normal 8 2 3 2 2 2 3" xfId="5268" xr:uid="{00000000-0005-0000-0000-0000991C0000}"/>
    <cellStyle name="Normal 8 2 3 2 2 2 3 2" xfId="17929" xr:uid="{FE396807-AD6A-47E9-9173-8FEF398912A2}"/>
    <cellStyle name="Normal 8 2 3 2 2 2 4" xfId="9500" xr:uid="{C797585E-64DB-4E7F-AC37-DC69AE572444}"/>
    <cellStyle name="Normal 8 2 3 2 2 2 5" xfId="13711" xr:uid="{BD7FC6F7-1ADA-45B3-8D22-32BEB3CFE3FA}"/>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20487" xr:uid="{3044E262-EF61-4547-9AC2-E728D8C21F18}"/>
    <cellStyle name="Normal 8 2 3 2 2 3 2 3" xfId="12058" xr:uid="{AA0DBEF5-36C6-4AEA-8CDF-D194542B871F}"/>
    <cellStyle name="Normal 8 2 3 2 2 3 2 4" xfId="16269" xr:uid="{69584C1A-2E9F-49BB-96B5-FC7F586B26A1}"/>
    <cellStyle name="Normal 8 2 3 2 2 3 3" xfId="5681" xr:uid="{00000000-0005-0000-0000-00009D1C0000}"/>
    <cellStyle name="Normal 8 2 3 2 2 3 3 2" xfId="18342" xr:uid="{457866EA-DEC3-4D50-A6D5-27C715A5188F}"/>
    <cellStyle name="Normal 8 2 3 2 2 3 4" xfId="9913" xr:uid="{60312A1B-F12E-4458-9225-025838574DC8}"/>
    <cellStyle name="Normal 8 2 3 2 2 3 5" xfId="14124" xr:uid="{6A376C6A-37C9-46D6-A9F6-A80BB142490C}"/>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20900" xr:uid="{C0564D97-D139-4F95-BF9A-E53333E21FE9}"/>
    <cellStyle name="Normal 8 2 3 2 2 4 2 3" xfId="12471" xr:uid="{1C664E99-5956-4322-8D6B-A6C84ECC2D8E}"/>
    <cellStyle name="Normal 8 2 3 2 2 4 2 4" xfId="16682" xr:uid="{3C49B342-5998-41CA-871F-1F89DAC62D4B}"/>
    <cellStyle name="Normal 8 2 3 2 2 4 3" xfId="6094" xr:uid="{00000000-0005-0000-0000-0000A11C0000}"/>
    <cellStyle name="Normal 8 2 3 2 2 4 3 2" xfId="18755" xr:uid="{48547F7F-1B10-4ACA-BA10-72F1FCAD0A80}"/>
    <cellStyle name="Normal 8 2 3 2 2 4 4" xfId="10326" xr:uid="{48F2B37A-A59D-45D8-B8B6-CC59884155D7}"/>
    <cellStyle name="Normal 8 2 3 2 2 4 5" xfId="14537" xr:uid="{6117A9F7-4478-4F35-B89D-C3BFC56DDFEE}"/>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21313" xr:uid="{E3321F3E-77DE-4F4F-AEE4-F7CEC98616C0}"/>
    <cellStyle name="Normal 8 2 3 2 2 5 2 3" xfId="12884" xr:uid="{58E5DABA-4766-42F1-8053-5421D6DFC139}"/>
    <cellStyle name="Normal 8 2 3 2 2 5 2 4" xfId="17095" xr:uid="{81D18D60-7414-43D7-94C8-AA0F42DD5AFE}"/>
    <cellStyle name="Normal 8 2 3 2 2 5 3" xfId="6507" xr:uid="{00000000-0005-0000-0000-0000A51C0000}"/>
    <cellStyle name="Normal 8 2 3 2 2 5 3 2" xfId="19168" xr:uid="{F681A509-0DB0-4BA4-AA28-15AB10CB79F3}"/>
    <cellStyle name="Normal 8 2 3 2 2 5 4" xfId="10739" xr:uid="{2016B5DC-55E7-4D58-817F-8DBE9CF3D86A}"/>
    <cellStyle name="Normal 8 2 3 2 2 5 5" xfId="14950" xr:uid="{6E380CE6-3211-4206-87F2-2593D240F998}"/>
    <cellStyle name="Normal 8 2 3 2 2 6" xfId="2637" xr:uid="{00000000-0005-0000-0000-0000A61C0000}"/>
    <cellStyle name="Normal 8 2 3 2 2 6 2" xfId="6920" xr:uid="{00000000-0005-0000-0000-0000A71C0000}"/>
    <cellStyle name="Normal 8 2 3 2 2 6 2 2" xfId="19581" xr:uid="{C3BCF364-DF00-4106-9804-F731D347A29E}"/>
    <cellStyle name="Normal 8 2 3 2 2 6 3" xfId="11152" xr:uid="{DE44D469-1684-4A1B-AF8A-8223A82A162C}"/>
    <cellStyle name="Normal 8 2 3 2 2 6 4" xfId="15363" xr:uid="{8C12420D-67E9-40CE-A180-00C55027F539}"/>
    <cellStyle name="Normal 8 2 3 2 2 7" xfId="4855" xr:uid="{00000000-0005-0000-0000-0000A81C0000}"/>
    <cellStyle name="Normal 8 2 3 2 2 7 2" xfId="17516" xr:uid="{1C799090-1781-46EF-B7F6-CD5F7E09002A}"/>
    <cellStyle name="Normal 8 2 3 2 2 8" xfId="9087" xr:uid="{3C760C89-10DD-4C14-81DF-2D5F0609A3C1}"/>
    <cellStyle name="Normal 8 2 3 2 2 9" xfId="13298" xr:uid="{597B09D8-DF0E-4977-A911-DC8B587F51C9}"/>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20073" xr:uid="{81B879D0-E956-4BF7-A3C6-0A3D54FC2E7B}"/>
    <cellStyle name="Normal 8 2 3 2 3 2 3" xfId="11644" xr:uid="{FBC9E10B-B3E7-44FD-869C-CD5C2161D92F}"/>
    <cellStyle name="Normal 8 2 3 2 3 2 4" xfId="15855" xr:uid="{E3AE562F-CD63-44E7-B2D8-463CFD01D8D7}"/>
    <cellStyle name="Normal 8 2 3 2 3 3" xfId="5267" xr:uid="{00000000-0005-0000-0000-0000AC1C0000}"/>
    <cellStyle name="Normal 8 2 3 2 3 3 2" xfId="17928" xr:uid="{2642B305-5239-4441-8074-9A910F800979}"/>
    <cellStyle name="Normal 8 2 3 2 3 4" xfId="9499" xr:uid="{0603024B-E49B-41F6-BC51-1AA544B661CF}"/>
    <cellStyle name="Normal 8 2 3 2 3 5" xfId="13710" xr:uid="{C6E2F554-6AE2-4892-B39A-28C9C49F8EAD}"/>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20486" xr:uid="{27C76DAE-CF3C-4D09-A071-53C4A8699154}"/>
    <cellStyle name="Normal 8 2 3 2 4 2 3" xfId="12057" xr:uid="{1B5379D3-DE48-4DF1-8D03-959E960BB679}"/>
    <cellStyle name="Normal 8 2 3 2 4 2 4" xfId="16268" xr:uid="{189032E8-C266-4076-A61E-1E2F4F09BBB8}"/>
    <cellStyle name="Normal 8 2 3 2 4 3" xfId="5680" xr:uid="{00000000-0005-0000-0000-0000B01C0000}"/>
    <cellStyle name="Normal 8 2 3 2 4 3 2" xfId="18341" xr:uid="{383D4444-096F-4DE9-91DC-CC1505F1E8A0}"/>
    <cellStyle name="Normal 8 2 3 2 4 4" xfId="9912" xr:uid="{790DA99F-3CCD-4610-93C9-DCF469F70CDD}"/>
    <cellStyle name="Normal 8 2 3 2 4 5" xfId="14123" xr:uid="{4ADF8528-FB7A-4A99-B179-3EDA440A1573}"/>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20899" xr:uid="{66061737-EACE-4021-89B7-E647B0CCB9A2}"/>
    <cellStyle name="Normal 8 2 3 2 5 2 3" xfId="12470" xr:uid="{E2CB7F13-EBC4-4CEC-B2D2-CB48CAB1C2F1}"/>
    <cellStyle name="Normal 8 2 3 2 5 2 4" xfId="16681" xr:uid="{D6062BEC-BD14-4724-8E49-758790581096}"/>
    <cellStyle name="Normal 8 2 3 2 5 3" xfId="6093" xr:uid="{00000000-0005-0000-0000-0000B41C0000}"/>
    <cellStyle name="Normal 8 2 3 2 5 3 2" xfId="18754" xr:uid="{65AAD7D7-4587-4328-9A0A-3E50FF0CF0F7}"/>
    <cellStyle name="Normal 8 2 3 2 5 4" xfId="10325" xr:uid="{A5DE2BD0-08DC-4797-A9E3-8A5F47BCE8CE}"/>
    <cellStyle name="Normal 8 2 3 2 5 5" xfId="14536" xr:uid="{1E3C1A0C-371D-4CD2-A0B9-402DB339E208}"/>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21312" xr:uid="{1783FC50-93A9-497B-BC16-2382358E86DA}"/>
    <cellStyle name="Normal 8 2 3 2 6 2 3" xfId="12883" xr:uid="{45620DFC-8890-4513-9EC8-9CFF2BCDE742}"/>
    <cellStyle name="Normal 8 2 3 2 6 2 4" xfId="17094" xr:uid="{F6E7673A-33CC-4021-A736-A6DBA69744B0}"/>
    <cellStyle name="Normal 8 2 3 2 6 3" xfId="6506" xr:uid="{00000000-0005-0000-0000-0000B81C0000}"/>
    <cellStyle name="Normal 8 2 3 2 6 3 2" xfId="19167" xr:uid="{29BCC0BF-4622-46BE-9FAF-EBF34FF07478}"/>
    <cellStyle name="Normal 8 2 3 2 6 4" xfId="10738" xr:uid="{678CB9E8-DE2C-4732-A741-E0B1D286F218}"/>
    <cellStyle name="Normal 8 2 3 2 6 5" xfId="14949" xr:uid="{5124A877-4ACC-4F60-918B-786B703F7E00}"/>
    <cellStyle name="Normal 8 2 3 2 7" xfId="2636" xr:uid="{00000000-0005-0000-0000-0000B91C0000}"/>
    <cellStyle name="Normal 8 2 3 2 7 2" xfId="6919" xr:uid="{00000000-0005-0000-0000-0000BA1C0000}"/>
    <cellStyle name="Normal 8 2 3 2 7 2 2" xfId="19580" xr:uid="{07A4483F-26A6-41E6-B570-536911A4AADD}"/>
    <cellStyle name="Normal 8 2 3 2 7 3" xfId="11151" xr:uid="{CC4FB658-6862-4993-9EF6-D8067FC95BCC}"/>
    <cellStyle name="Normal 8 2 3 2 7 4" xfId="15362" xr:uid="{A633A521-C76C-458C-9385-4496FD9E50DF}"/>
    <cellStyle name="Normal 8 2 3 2 8" xfId="4854" xr:uid="{00000000-0005-0000-0000-0000BB1C0000}"/>
    <cellStyle name="Normal 8 2 3 2 8 2" xfId="17515" xr:uid="{AD86FF92-665F-4EC0-BA78-471BEE4C53A1}"/>
    <cellStyle name="Normal 8 2 3 2 9" xfId="9086" xr:uid="{1AF2B2C9-D531-452C-BADB-05C89117A34A}"/>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20075" xr:uid="{29B6B5FE-BD93-47A9-9B89-1814CA07BE22}"/>
    <cellStyle name="Normal 8 2 3 3 2 2 3" xfId="11646" xr:uid="{932553F7-2D7C-4C96-8166-8FC74C9D14D4}"/>
    <cellStyle name="Normal 8 2 3 3 2 2 4" xfId="15857" xr:uid="{B7D02578-3A3E-4F05-BA1D-4DDC42B57647}"/>
    <cellStyle name="Normal 8 2 3 3 2 3" xfId="5269" xr:uid="{00000000-0005-0000-0000-0000C01C0000}"/>
    <cellStyle name="Normal 8 2 3 3 2 3 2" xfId="17930" xr:uid="{2EF3CF3E-FF7D-4E39-8A2A-0E3FA1F0397E}"/>
    <cellStyle name="Normal 8 2 3 3 2 4" xfId="9501" xr:uid="{94E65E85-EE9F-4712-8B83-BB66A6ACAFF0}"/>
    <cellStyle name="Normal 8 2 3 3 2 5" xfId="13712" xr:uid="{FFF2A86A-3E7F-4007-8F20-D21AE8C24A60}"/>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20488" xr:uid="{B99EF35B-E80C-4CDE-8A50-CE2CEAE0FB09}"/>
    <cellStyle name="Normal 8 2 3 3 3 2 3" xfId="12059" xr:uid="{8EA25CEF-0CDA-49ED-A5AB-4EA142472F82}"/>
    <cellStyle name="Normal 8 2 3 3 3 2 4" xfId="16270" xr:uid="{F1D2AB6F-2772-47CB-A190-558B580EB214}"/>
    <cellStyle name="Normal 8 2 3 3 3 3" xfId="5682" xr:uid="{00000000-0005-0000-0000-0000C41C0000}"/>
    <cellStyle name="Normal 8 2 3 3 3 3 2" xfId="18343" xr:uid="{8574C949-1854-4381-BB10-3243CCB435AC}"/>
    <cellStyle name="Normal 8 2 3 3 3 4" xfId="9914" xr:uid="{FA26F4A5-E1D1-4967-9A66-52EBC1C99745}"/>
    <cellStyle name="Normal 8 2 3 3 3 5" xfId="14125" xr:uid="{CB444C2C-FAC4-42E2-B6B3-38D1BCC506E3}"/>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20901" xr:uid="{770FC00A-13C0-40B4-9BE4-2FBD7F7B590C}"/>
    <cellStyle name="Normal 8 2 3 3 4 2 3" xfId="12472" xr:uid="{7F80DE23-2526-48D2-8199-4C055F31941B}"/>
    <cellStyle name="Normal 8 2 3 3 4 2 4" xfId="16683" xr:uid="{FA04D8CE-913B-45D1-8445-DAF94FEEDDB9}"/>
    <cellStyle name="Normal 8 2 3 3 4 3" xfId="6095" xr:uid="{00000000-0005-0000-0000-0000C81C0000}"/>
    <cellStyle name="Normal 8 2 3 3 4 3 2" xfId="18756" xr:uid="{5DBACF6F-BD2F-4DB3-B67D-486616B72472}"/>
    <cellStyle name="Normal 8 2 3 3 4 4" xfId="10327" xr:uid="{C2332B7E-E690-4E84-BDAC-09A87C21FD50}"/>
    <cellStyle name="Normal 8 2 3 3 4 5" xfId="14538" xr:uid="{86EDC83F-5D2D-4475-92A4-203621C50415}"/>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21314" xr:uid="{F41939FB-A3EB-40B5-AA1F-2FD812437064}"/>
    <cellStyle name="Normal 8 2 3 3 5 2 3" xfId="12885" xr:uid="{861A7549-6252-465E-A422-5208476372E8}"/>
    <cellStyle name="Normal 8 2 3 3 5 2 4" xfId="17096" xr:uid="{7130B0DD-AF34-428A-84FC-5D7C8054A9D3}"/>
    <cellStyle name="Normal 8 2 3 3 5 3" xfId="6508" xr:uid="{00000000-0005-0000-0000-0000CC1C0000}"/>
    <cellStyle name="Normal 8 2 3 3 5 3 2" xfId="19169" xr:uid="{6DA29357-193E-49C2-B2A0-2F0ACA6FEE9B}"/>
    <cellStyle name="Normal 8 2 3 3 5 4" xfId="10740" xr:uid="{25720F0E-6F27-4F71-B400-0815274F3E5B}"/>
    <cellStyle name="Normal 8 2 3 3 5 5" xfId="14951" xr:uid="{4ABFF11B-8F36-4162-9AD3-C8CFC78AF2FD}"/>
    <cellStyle name="Normal 8 2 3 3 6" xfId="2638" xr:uid="{00000000-0005-0000-0000-0000CD1C0000}"/>
    <cellStyle name="Normal 8 2 3 3 6 2" xfId="6921" xr:uid="{00000000-0005-0000-0000-0000CE1C0000}"/>
    <cellStyle name="Normal 8 2 3 3 6 2 2" xfId="19582" xr:uid="{CFDD861C-91AB-4258-9C77-DE6B3CF23FB7}"/>
    <cellStyle name="Normal 8 2 3 3 6 3" xfId="11153" xr:uid="{8181B3F4-4D93-4A5C-816C-E11127E24CE5}"/>
    <cellStyle name="Normal 8 2 3 3 6 4" xfId="15364" xr:uid="{6F7272F6-91BC-45B7-983C-914C59807722}"/>
    <cellStyle name="Normal 8 2 3 3 7" xfId="4856" xr:uid="{00000000-0005-0000-0000-0000CF1C0000}"/>
    <cellStyle name="Normal 8 2 3 3 7 2" xfId="17517" xr:uid="{749F9755-F496-4451-966F-96CD81B4E5D0}"/>
    <cellStyle name="Normal 8 2 3 3 8" xfId="9088" xr:uid="{1D44C8DA-E864-4279-AF55-52AE6DB56AC0}"/>
    <cellStyle name="Normal 8 2 3 3 9" xfId="13299" xr:uid="{38EEE0F6-4824-4B65-B562-3552F7D7C6CA}"/>
    <cellStyle name="Normal 8 2 3 4" xfId="955" xr:uid="{00000000-0005-0000-0000-0000D01C0000}"/>
    <cellStyle name="Normal 8 2 3 4 2" xfId="3189" xr:uid="{00000000-0005-0000-0000-0000D11C0000}"/>
    <cellStyle name="Normal 8 2 3 4 2 2" xfId="7411" xr:uid="{00000000-0005-0000-0000-0000D21C0000}"/>
    <cellStyle name="Normal 8 2 3 4 2 2 2" xfId="20072" xr:uid="{66B8BB38-3A38-4BFC-89AA-17C3E283425E}"/>
    <cellStyle name="Normal 8 2 3 4 2 3" xfId="11643" xr:uid="{A9670FC8-A27B-4422-8EC3-C6856BA12E28}"/>
    <cellStyle name="Normal 8 2 3 4 2 4" xfId="15854" xr:uid="{8B8B90F1-1DBA-4B02-A3D7-63E8F4EBF209}"/>
    <cellStyle name="Normal 8 2 3 4 3" xfId="5266" xr:uid="{00000000-0005-0000-0000-0000D31C0000}"/>
    <cellStyle name="Normal 8 2 3 4 3 2" xfId="17927" xr:uid="{BB351EE2-F96F-4199-B855-CDAFF5050950}"/>
    <cellStyle name="Normal 8 2 3 4 4" xfId="9498" xr:uid="{C2218789-2F88-4C97-8A53-7EC94894E664}"/>
    <cellStyle name="Normal 8 2 3 4 5" xfId="13709" xr:uid="{A8DF9AFA-7538-4DA6-8ECB-5E7BC1AB8416}"/>
    <cellStyle name="Normal 8 2 3 5" xfId="1372" xr:uid="{00000000-0005-0000-0000-0000D41C0000}"/>
    <cellStyle name="Normal 8 2 3 5 2" xfId="3602" xr:uid="{00000000-0005-0000-0000-0000D51C0000}"/>
    <cellStyle name="Normal 8 2 3 5 2 2" xfId="7824" xr:uid="{00000000-0005-0000-0000-0000D61C0000}"/>
    <cellStyle name="Normal 8 2 3 5 2 2 2" xfId="20485" xr:uid="{E822D16F-F600-49D1-8DC6-6549D2FDE4E7}"/>
    <cellStyle name="Normal 8 2 3 5 2 3" xfId="12056" xr:uid="{4C0945D8-1A9D-49AA-B920-8284F8CF1182}"/>
    <cellStyle name="Normal 8 2 3 5 2 4" xfId="16267" xr:uid="{90E998DB-2F86-43BC-9F6D-34A55A3DEFC0}"/>
    <cellStyle name="Normal 8 2 3 5 3" xfId="5679" xr:uid="{00000000-0005-0000-0000-0000D71C0000}"/>
    <cellStyle name="Normal 8 2 3 5 3 2" xfId="18340" xr:uid="{E2092CD3-7E77-4ABA-BF13-7A9E793B6511}"/>
    <cellStyle name="Normal 8 2 3 5 4" xfId="9911" xr:uid="{F667AF84-2402-4331-939C-87559451BDE8}"/>
    <cellStyle name="Normal 8 2 3 5 5" xfId="14122" xr:uid="{F89EF0BB-A6B8-4A62-BAE6-64AB39960C41}"/>
    <cellStyle name="Normal 8 2 3 6" xfId="1785" xr:uid="{00000000-0005-0000-0000-0000D81C0000}"/>
    <cellStyle name="Normal 8 2 3 6 2" xfId="4015" xr:uid="{00000000-0005-0000-0000-0000D91C0000}"/>
    <cellStyle name="Normal 8 2 3 6 2 2" xfId="8237" xr:uid="{00000000-0005-0000-0000-0000DA1C0000}"/>
    <cellStyle name="Normal 8 2 3 6 2 2 2" xfId="20898" xr:uid="{7FCDCABA-4FAD-4C7D-9701-93BF2D845B25}"/>
    <cellStyle name="Normal 8 2 3 6 2 3" xfId="12469" xr:uid="{E5968279-0054-4824-8EAF-12771414A3CB}"/>
    <cellStyle name="Normal 8 2 3 6 2 4" xfId="16680" xr:uid="{9A5D4FD6-61C8-4BC9-A980-760CEF449680}"/>
    <cellStyle name="Normal 8 2 3 6 3" xfId="6092" xr:uid="{00000000-0005-0000-0000-0000DB1C0000}"/>
    <cellStyle name="Normal 8 2 3 6 3 2" xfId="18753" xr:uid="{9258A730-F8B1-43E8-9BA1-15800B2A7A90}"/>
    <cellStyle name="Normal 8 2 3 6 4" xfId="10324" xr:uid="{76ED9876-A17B-49B6-805B-F4C978CF55B4}"/>
    <cellStyle name="Normal 8 2 3 6 5" xfId="14535" xr:uid="{40831419-0566-423F-A69C-1F8E5197E202}"/>
    <cellStyle name="Normal 8 2 3 7" xfId="2199" xr:uid="{00000000-0005-0000-0000-0000DC1C0000}"/>
    <cellStyle name="Normal 8 2 3 7 2" xfId="4428" xr:uid="{00000000-0005-0000-0000-0000DD1C0000}"/>
    <cellStyle name="Normal 8 2 3 7 2 2" xfId="8650" xr:uid="{00000000-0005-0000-0000-0000DE1C0000}"/>
    <cellStyle name="Normal 8 2 3 7 2 2 2" xfId="21311" xr:uid="{67D109C2-CA96-4ADE-8546-F6F7CEE2CE84}"/>
    <cellStyle name="Normal 8 2 3 7 2 3" xfId="12882" xr:uid="{BFCCD7E9-19C6-477B-AF35-170FBF6B65E7}"/>
    <cellStyle name="Normal 8 2 3 7 2 4" xfId="17093" xr:uid="{DAC30D48-E4EB-4D5F-8BEE-D34F185C1D24}"/>
    <cellStyle name="Normal 8 2 3 7 3" xfId="6505" xr:uid="{00000000-0005-0000-0000-0000DF1C0000}"/>
    <cellStyle name="Normal 8 2 3 7 3 2" xfId="19166" xr:uid="{2E1DF70D-53B3-42BE-ABC1-B5E3D156DA02}"/>
    <cellStyle name="Normal 8 2 3 7 4" xfId="10737" xr:uid="{87F1B060-E991-4B10-B9D8-25125330DD2D}"/>
    <cellStyle name="Normal 8 2 3 7 5" xfId="14948" xr:uid="{3C035481-7B4D-4834-9843-D3C4A68EFD09}"/>
    <cellStyle name="Normal 8 2 3 8" xfId="2635" xr:uid="{00000000-0005-0000-0000-0000E01C0000}"/>
    <cellStyle name="Normal 8 2 3 8 2" xfId="6918" xr:uid="{00000000-0005-0000-0000-0000E11C0000}"/>
    <cellStyle name="Normal 8 2 3 8 2 2" xfId="19579" xr:uid="{D8231CDF-2B35-4823-BFB7-78B0834B713A}"/>
    <cellStyle name="Normal 8 2 3 8 3" xfId="11150" xr:uid="{FCD06F82-E7AE-4DDE-A51F-82B9651270CB}"/>
    <cellStyle name="Normal 8 2 3 8 4" xfId="15361" xr:uid="{76B315F2-1E50-424A-842B-435D2AC962EE}"/>
    <cellStyle name="Normal 8 2 3 9" xfId="4853" xr:uid="{00000000-0005-0000-0000-0000E21C0000}"/>
    <cellStyle name="Normal 8 2 3 9 2" xfId="17514" xr:uid="{2F58EEB1-4881-4387-951D-3588DEB26EA5}"/>
    <cellStyle name="Normal 8 2 4" xfId="492" xr:uid="{00000000-0005-0000-0000-0000E31C0000}"/>
    <cellStyle name="Normal 8 2 4 10" xfId="13300" xr:uid="{3DFC506A-A55A-46E2-B464-C7E84646165B}"/>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20077" xr:uid="{82572177-023C-4C99-8BF9-84D4FD493CA8}"/>
    <cellStyle name="Normal 8 2 4 2 2 2 3" xfId="11648" xr:uid="{5BDEB4E5-4A58-4CF7-8012-65067D69619F}"/>
    <cellStyle name="Normal 8 2 4 2 2 2 4" xfId="15859" xr:uid="{E1E737E1-14FD-4908-B3F7-4DEC8EBB90AF}"/>
    <cellStyle name="Normal 8 2 4 2 2 3" xfId="5271" xr:uid="{00000000-0005-0000-0000-0000E81C0000}"/>
    <cellStyle name="Normal 8 2 4 2 2 3 2" xfId="17932" xr:uid="{FF211699-2DC5-4A44-B00A-21AB6EA99503}"/>
    <cellStyle name="Normal 8 2 4 2 2 4" xfId="9503" xr:uid="{4F612B1E-AD51-4720-8578-8AB6B852DF37}"/>
    <cellStyle name="Normal 8 2 4 2 2 5" xfId="13714" xr:uid="{25316757-DA91-4851-8411-739F540D26E7}"/>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20490" xr:uid="{53A56587-2872-40DD-AA5F-E2DCA98C1824}"/>
    <cellStyle name="Normal 8 2 4 2 3 2 3" xfId="12061" xr:uid="{309F803A-31BA-4621-8979-071023D4CEBB}"/>
    <cellStyle name="Normal 8 2 4 2 3 2 4" xfId="16272" xr:uid="{3A79A09C-F4F9-4E68-B1F9-BF58AE2A88B0}"/>
    <cellStyle name="Normal 8 2 4 2 3 3" xfId="5684" xr:uid="{00000000-0005-0000-0000-0000EC1C0000}"/>
    <cellStyle name="Normal 8 2 4 2 3 3 2" xfId="18345" xr:uid="{E5FEF0B0-2D1C-41E4-A88B-CC1DB3B4CB81}"/>
    <cellStyle name="Normal 8 2 4 2 3 4" xfId="9916" xr:uid="{CD7C8938-4C7B-4D50-90CE-3D5D86F18515}"/>
    <cellStyle name="Normal 8 2 4 2 3 5" xfId="14127" xr:uid="{9E30B29D-8098-4EAE-96AF-82C0D5238F00}"/>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20903" xr:uid="{8A8EA357-24EB-48C9-AAB6-51B953FA9453}"/>
    <cellStyle name="Normal 8 2 4 2 4 2 3" xfId="12474" xr:uid="{7752F6E6-24B3-41E3-BD39-A2E08C9B949A}"/>
    <cellStyle name="Normal 8 2 4 2 4 2 4" xfId="16685" xr:uid="{04ABF963-9B0C-46CF-94C8-1C880C545C73}"/>
    <cellStyle name="Normal 8 2 4 2 4 3" xfId="6097" xr:uid="{00000000-0005-0000-0000-0000F01C0000}"/>
    <cellStyle name="Normal 8 2 4 2 4 3 2" xfId="18758" xr:uid="{3553226D-E41C-4A8B-825B-DE0F65049F46}"/>
    <cellStyle name="Normal 8 2 4 2 4 4" xfId="10329" xr:uid="{A70D6399-DA9B-4F9D-A67B-A7A11C3B42D1}"/>
    <cellStyle name="Normal 8 2 4 2 4 5" xfId="14540" xr:uid="{028928A4-D31B-4352-8479-B159EF93F8B1}"/>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21316" xr:uid="{F11A4003-2AF2-44F6-99C3-2E88266BC60B}"/>
    <cellStyle name="Normal 8 2 4 2 5 2 3" xfId="12887" xr:uid="{462A01E2-EB78-438D-B73C-34D37452C3E8}"/>
    <cellStyle name="Normal 8 2 4 2 5 2 4" xfId="17098" xr:uid="{D8FB8155-8ADD-47C2-AADE-A722391211A0}"/>
    <cellStyle name="Normal 8 2 4 2 5 3" xfId="6510" xr:uid="{00000000-0005-0000-0000-0000F41C0000}"/>
    <cellStyle name="Normal 8 2 4 2 5 3 2" xfId="19171" xr:uid="{3DB6E83B-45B5-49DB-9F3C-AC759BF9C79F}"/>
    <cellStyle name="Normal 8 2 4 2 5 4" xfId="10742" xr:uid="{D238AB57-3975-4D94-91BD-D5D3D53CEA4B}"/>
    <cellStyle name="Normal 8 2 4 2 5 5" xfId="14953" xr:uid="{192E2A64-975D-45EA-B688-0C32E0786016}"/>
    <cellStyle name="Normal 8 2 4 2 6" xfId="2640" xr:uid="{00000000-0005-0000-0000-0000F51C0000}"/>
    <cellStyle name="Normal 8 2 4 2 6 2" xfId="6923" xr:uid="{00000000-0005-0000-0000-0000F61C0000}"/>
    <cellStyle name="Normal 8 2 4 2 6 2 2" xfId="19584" xr:uid="{1F70788D-F810-432E-852F-1B5CF51F304D}"/>
    <cellStyle name="Normal 8 2 4 2 6 3" xfId="11155" xr:uid="{A5635064-BC65-4776-AD83-BDCDF87B1399}"/>
    <cellStyle name="Normal 8 2 4 2 6 4" xfId="15366" xr:uid="{C7A320AE-8FEE-483D-87BE-A545B8C1373B}"/>
    <cellStyle name="Normal 8 2 4 2 7" xfId="4858" xr:uid="{00000000-0005-0000-0000-0000F71C0000}"/>
    <cellStyle name="Normal 8 2 4 2 7 2" xfId="17519" xr:uid="{4EA95A1A-18C4-4FC1-A6AF-3007C80F1CE5}"/>
    <cellStyle name="Normal 8 2 4 2 8" xfId="9090" xr:uid="{3ACAD10F-A33E-40FF-A435-D9DAA3F3F9A4}"/>
    <cellStyle name="Normal 8 2 4 2 9" xfId="13301" xr:uid="{6F52AC84-CE2C-43FB-9B1A-6BD6FC01F844}"/>
    <cellStyle name="Normal 8 2 4 3" xfId="959" xr:uid="{00000000-0005-0000-0000-0000F81C0000}"/>
    <cellStyle name="Normal 8 2 4 3 2" xfId="3193" xr:uid="{00000000-0005-0000-0000-0000F91C0000}"/>
    <cellStyle name="Normal 8 2 4 3 2 2" xfId="7415" xr:uid="{00000000-0005-0000-0000-0000FA1C0000}"/>
    <cellStyle name="Normal 8 2 4 3 2 2 2" xfId="20076" xr:uid="{F1F366B1-EFE6-4F9B-BDD9-FE497A26E90E}"/>
    <cellStyle name="Normal 8 2 4 3 2 3" xfId="11647" xr:uid="{9449BB83-D86C-4381-A965-D54823238C1C}"/>
    <cellStyle name="Normal 8 2 4 3 2 4" xfId="15858" xr:uid="{666C293A-E3D5-4B34-9E4D-DCC5BF8EBD04}"/>
    <cellStyle name="Normal 8 2 4 3 3" xfId="5270" xr:uid="{00000000-0005-0000-0000-0000FB1C0000}"/>
    <cellStyle name="Normal 8 2 4 3 3 2" xfId="17931" xr:uid="{8F8078F6-323B-46A9-85B9-D1618253CC59}"/>
    <cellStyle name="Normal 8 2 4 3 4" xfId="9502" xr:uid="{86A39741-E352-412E-AE23-250CCD564363}"/>
    <cellStyle name="Normal 8 2 4 3 5" xfId="13713" xr:uid="{16B89204-39FD-4AA2-913B-2C56F68D0F98}"/>
    <cellStyle name="Normal 8 2 4 4" xfId="1376" xr:uid="{00000000-0005-0000-0000-0000FC1C0000}"/>
    <cellStyle name="Normal 8 2 4 4 2" xfId="3606" xr:uid="{00000000-0005-0000-0000-0000FD1C0000}"/>
    <cellStyle name="Normal 8 2 4 4 2 2" xfId="7828" xr:uid="{00000000-0005-0000-0000-0000FE1C0000}"/>
    <cellStyle name="Normal 8 2 4 4 2 2 2" xfId="20489" xr:uid="{7F7E8832-8192-417C-BF72-E3048EF2D838}"/>
    <cellStyle name="Normal 8 2 4 4 2 3" xfId="12060" xr:uid="{BD8ABADE-9EE9-472D-BA72-729703A29768}"/>
    <cellStyle name="Normal 8 2 4 4 2 4" xfId="16271" xr:uid="{3E07CA4B-BA13-4C97-BB5B-B41695CA1988}"/>
    <cellStyle name="Normal 8 2 4 4 3" xfId="5683" xr:uid="{00000000-0005-0000-0000-0000FF1C0000}"/>
    <cellStyle name="Normal 8 2 4 4 3 2" xfId="18344" xr:uid="{BA1B6054-AD8E-43B5-84CD-8B6F045253C5}"/>
    <cellStyle name="Normal 8 2 4 4 4" xfId="9915" xr:uid="{60D97F2E-01A1-45CA-89F9-4EB312DC5E63}"/>
    <cellStyle name="Normal 8 2 4 4 5" xfId="14126" xr:uid="{ABACD477-E112-44B0-9470-D86E8B065E06}"/>
    <cellStyle name="Normal 8 2 4 5" xfId="1789" xr:uid="{00000000-0005-0000-0000-0000001D0000}"/>
    <cellStyle name="Normal 8 2 4 5 2" xfId="4019" xr:uid="{00000000-0005-0000-0000-0000011D0000}"/>
    <cellStyle name="Normal 8 2 4 5 2 2" xfId="8241" xr:uid="{00000000-0005-0000-0000-0000021D0000}"/>
    <cellStyle name="Normal 8 2 4 5 2 2 2" xfId="20902" xr:uid="{746007F1-052C-426C-9E90-4C89A9891CA9}"/>
    <cellStyle name="Normal 8 2 4 5 2 3" xfId="12473" xr:uid="{3FC84B06-E67D-4F5F-A3BB-96D4C75CB1CF}"/>
    <cellStyle name="Normal 8 2 4 5 2 4" xfId="16684" xr:uid="{032B4585-1133-4973-AB47-C62B561C6CEE}"/>
    <cellStyle name="Normal 8 2 4 5 3" xfId="6096" xr:uid="{00000000-0005-0000-0000-0000031D0000}"/>
    <cellStyle name="Normal 8 2 4 5 3 2" xfId="18757" xr:uid="{51645F03-927C-4D76-B071-5989FF3D4B93}"/>
    <cellStyle name="Normal 8 2 4 5 4" xfId="10328" xr:uid="{F19E61FF-0458-4803-AEB4-9A74FFC2FF09}"/>
    <cellStyle name="Normal 8 2 4 5 5" xfId="14539" xr:uid="{FDCF4CE3-10FE-414E-9FCB-BAF4CA3DF139}"/>
    <cellStyle name="Normal 8 2 4 6" xfId="2203" xr:uid="{00000000-0005-0000-0000-0000041D0000}"/>
    <cellStyle name="Normal 8 2 4 6 2" xfId="4432" xr:uid="{00000000-0005-0000-0000-0000051D0000}"/>
    <cellStyle name="Normal 8 2 4 6 2 2" xfId="8654" xr:uid="{00000000-0005-0000-0000-0000061D0000}"/>
    <cellStyle name="Normal 8 2 4 6 2 2 2" xfId="21315" xr:uid="{D4E3E1B2-138D-4A8B-B995-3401A4CFC010}"/>
    <cellStyle name="Normal 8 2 4 6 2 3" xfId="12886" xr:uid="{1100E642-8B01-4F2E-BDC8-257E7EADECBB}"/>
    <cellStyle name="Normal 8 2 4 6 2 4" xfId="17097" xr:uid="{9553761A-244B-4ED4-8E00-6CE663E20858}"/>
    <cellStyle name="Normal 8 2 4 6 3" xfId="6509" xr:uid="{00000000-0005-0000-0000-0000071D0000}"/>
    <cellStyle name="Normal 8 2 4 6 3 2" xfId="19170" xr:uid="{DB02739B-5753-4216-8970-F9F392BF8EAA}"/>
    <cellStyle name="Normal 8 2 4 6 4" xfId="10741" xr:uid="{9ECA415C-552E-4FF6-A8BA-E91924B4AB72}"/>
    <cellStyle name="Normal 8 2 4 6 5" xfId="14952" xr:uid="{6CAE1382-0962-415C-AB1F-770719A312E9}"/>
    <cellStyle name="Normal 8 2 4 7" xfId="2639" xr:uid="{00000000-0005-0000-0000-0000081D0000}"/>
    <cellStyle name="Normal 8 2 4 7 2" xfId="6922" xr:uid="{00000000-0005-0000-0000-0000091D0000}"/>
    <cellStyle name="Normal 8 2 4 7 2 2" xfId="19583" xr:uid="{B3E684B3-A266-4825-9A73-2669CA12712D}"/>
    <cellStyle name="Normal 8 2 4 7 3" xfId="11154" xr:uid="{12F90C5F-2802-45EC-B770-605074EA2839}"/>
    <cellStyle name="Normal 8 2 4 7 4" xfId="15365" xr:uid="{68E06710-68B2-4851-AFDE-C0EC1DA4827C}"/>
    <cellStyle name="Normal 8 2 4 8" xfId="4857" xr:uid="{00000000-0005-0000-0000-00000A1D0000}"/>
    <cellStyle name="Normal 8 2 4 8 2" xfId="17518" xr:uid="{9DF27832-56CD-4C77-BB92-66EBB43064EC}"/>
    <cellStyle name="Normal 8 2 4 9" xfId="9089" xr:uid="{4E968AB4-16DF-4257-B8D5-0909BE3CFD74}"/>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20078" xr:uid="{F199131D-C4D0-40E2-90C3-24E7B6F2BF23}"/>
    <cellStyle name="Normal 8 2 5 2 2 3" xfId="11649" xr:uid="{0D5E8BF1-227D-4FA8-85FB-9CB356932721}"/>
    <cellStyle name="Normal 8 2 5 2 2 4" xfId="15860" xr:uid="{AB1D342E-E5F9-4FD9-B8F9-7B9810E62EB2}"/>
    <cellStyle name="Normal 8 2 5 2 3" xfId="5272" xr:uid="{00000000-0005-0000-0000-00000F1D0000}"/>
    <cellStyle name="Normal 8 2 5 2 3 2" xfId="17933" xr:uid="{AD795807-F215-4F83-ADF6-D2CEB61728C5}"/>
    <cellStyle name="Normal 8 2 5 2 4" xfId="9504" xr:uid="{EAF5C4D6-E07B-41B1-9936-6BEB69525E75}"/>
    <cellStyle name="Normal 8 2 5 2 5" xfId="13715" xr:uid="{C1E54A88-9747-4D86-B797-6090FCFFA8C9}"/>
    <cellStyle name="Normal 8 2 5 3" xfId="1378" xr:uid="{00000000-0005-0000-0000-0000101D0000}"/>
    <cellStyle name="Normal 8 2 5 3 2" xfId="3608" xr:uid="{00000000-0005-0000-0000-0000111D0000}"/>
    <cellStyle name="Normal 8 2 5 3 2 2" xfId="7830" xr:uid="{00000000-0005-0000-0000-0000121D0000}"/>
    <cellStyle name="Normal 8 2 5 3 2 2 2" xfId="20491" xr:uid="{4F025475-39BC-4D40-96D7-4DAB14ED37DB}"/>
    <cellStyle name="Normal 8 2 5 3 2 3" xfId="12062" xr:uid="{4FCBDEF7-4162-451C-BB34-141FCBCAACF5}"/>
    <cellStyle name="Normal 8 2 5 3 2 4" xfId="16273" xr:uid="{84DE411B-564D-4DA6-9820-84289E438B23}"/>
    <cellStyle name="Normal 8 2 5 3 3" xfId="5685" xr:uid="{00000000-0005-0000-0000-0000131D0000}"/>
    <cellStyle name="Normal 8 2 5 3 3 2" xfId="18346" xr:uid="{A1DC500C-3D22-4D74-808F-0CAA9AF23F80}"/>
    <cellStyle name="Normal 8 2 5 3 4" xfId="9917" xr:uid="{16F6A105-C1AA-40A6-852B-53E2E5AC5540}"/>
    <cellStyle name="Normal 8 2 5 3 5" xfId="14128" xr:uid="{B99D1997-7A20-4396-8949-38AD17DB884A}"/>
    <cellStyle name="Normal 8 2 5 4" xfId="1791" xr:uid="{00000000-0005-0000-0000-0000141D0000}"/>
    <cellStyle name="Normal 8 2 5 4 2" xfId="4021" xr:uid="{00000000-0005-0000-0000-0000151D0000}"/>
    <cellStyle name="Normal 8 2 5 4 2 2" xfId="8243" xr:uid="{00000000-0005-0000-0000-0000161D0000}"/>
    <cellStyle name="Normal 8 2 5 4 2 2 2" xfId="20904" xr:uid="{9746AADC-12E5-4757-9EFA-A06812AFB002}"/>
    <cellStyle name="Normal 8 2 5 4 2 3" xfId="12475" xr:uid="{86640372-3656-4D44-9324-987E4CAF5B4A}"/>
    <cellStyle name="Normal 8 2 5 4 2 4" xfId="16686" xr:uid="{0B23CD2D-21D7-4AF1-A6B8-3CEAF8BC5E7F}"/>
    <cellStyle name="Normal 8 2 5 4 3" xfId="6098" xr:uid="{00000000-0005-0000-0000-0000171D0000}"/>
    <cellStyle name="Normal 8 2 5 4 3 2" xfId="18759" xr:uid="{C5A32E92-12D4-4BC1-B0EF-A4AFCA18EEAF}"/>
    <cellStyle name="Normal 8 2 5 4 4" xfId="10330" xr:uid="{8D4069E7-3681-4133-BF41-C2A209D8D697}"/>
    <cellStyle name="Normal 8 2 5 4 5" xfId="14541" xr:uid="{91D4E7E1-77DA-41A6-8DFB-0272749E83C7}"/>
    <cellStyle name="Normal 8 2 5 5" xfId="2205" xr:uid="{00000000-0005-0000-0000-0000181D0000}"/>
    <cellStyle name="Normal 8 2 5 5 2" xfId="4434" xr:uid="{00000000-0005-0000-0000-0000191D0000}"/>
    <cellStyle name="Normal 8 2 5 5 2 2" xfId="8656" xr:uid="{00000000-0005-0000-0000-00001A1D0000}"/>
    <cellStyle name="Normal 8 2 5 5 2 2 2" xfId="21317" xr:uid="{E4763624-C09A-4D04-94F3-1DD7D83C8E58}"/>
    <cellStyle name="Normal 8 2 5 5 2 3" xfId="12888" xr:uid="{BE6117DA-1BFD-4856-A049-DDACC2B2780D}"/>
    <cellStyle name="Normal 8 2 5 5 2 4" xfId="17099" xr:uid="{07F5D6D2-5F31-485E-AD09-16C65FB686C2}"/>
    <cellStyle name="Normal 8 2 5 5 3" xfId="6511" xr:uid="{00000000-0005-0000-0000-00001B1D0000}"/>
    <cellStyle name="Normal 8 2 5 5 3 2" xfId="19172" xr:uid="{8DB5280E-314F-41E3-9764-1F06B1CAE9AA}"/>
    <cellStyle name="Normal 8 2 5 5 4" xfId="10743" xr:uid="{D484C09B-3476-4455-838C-AA4B91D6563E}"/>
    <cellStyle name="Normal 8 2 5 5 5" xfId="14954" xr:uid="{C5597EF9-C5EE-4D8D-9086-F04CDED4D6C0}"/>
    <cellStyle name="Normal 8 2 5 6" xfId="2641" xr:uid="{00000000-0005-0000-0000-00001C1D0000}"/>
    <cellStyle name="Normal 8 2 5 6 2" xfId="6924" xr:uid="{00000000-0005-0000-0000-00001D1D0000}"/>
    <cellStyle name="Normal 8 2 5 6 2 2" xfId="19585" xr:uid="{5D34BC53-DD8F-4F85-88C0-3759ECD1321D}"/>
    <cellStyle name="Normal 8 2 5 6 3" xfId="11156" xr:uid="{446B4CE4-7DB6-495A-B7EF-D5050989BA97}"/>
    <cellStyle name="Normal 8 2 5 6 4" xfId="15367" xr:uid="{7D5ADE9B-4B70-4E24-A45C-574DCD408438}"/>
    <cellStyle name="Normal 8 2 5 7" xfId="4859" xr:uid="{00000000-0005-0000-0000-00001E1D0000}"/>
    <cellStyle name="Normal 8 2 5 7 2" xfId="17520" xr:uid="{DB595483-DE58-4381-AAD6-91D64D0C9160}"/>
    <cellStyle name="Normal 8 2 5 8" xfId="9091" xr:uid="{45B69DBD-6EA1-40C7-BBAF-0379EB19DFA5}"/>
    <cellStyle name="Normal 8 2 5 9" xfId="13302" xr:uid="{FC029AFE-4500-4242-8814-9508928CCA1C}"/>
    <cellStyle name="Normal 8 2 6" xfId="946" xr:uid="{00000000-0005-0000-0000-00001F1D0000}"/>
    <cellStyle name="Normal 8 2 6 2" xfId="3180" xr:uid="{00000000-0005-0000-0000-0000201D0000}"/>
    <cellStyle name="Normal 8 2 6 2 2" xfId="7402" xr:uid="{00000000-0005-0000-0000-0000211D0000}"/>
    <cellStyle name="Normal 8 2 6 2 2 2" xfId="20063" xr:uid="{5D5E38D1-0E45-49C0-AE2C-5F5B1BCF9821}"/>
    <cellStyle name="Normal 8 2 6 2 3" xfId="11634" xr:uid="{64D3DB4F-BEE1-4A92-AC5D-6DA250E24932}"/>
    <cellStyle name="Normal 8 2 6 2 4" xfId="15845" xr:uid="{669F6533-98CC-4FC9-B5CD-50E3366A7138}"/>
    <cellStyle name="Normal 8 2 6 3" xfId="5257" xr:uid="{00000000-0005-0000-0000-0000221D0000}"/>
    <cellStyle name="Normal 8 2 6 3 2" xfId="17918" xr:uid="{39838A2F-C1C9-42CA-AA92-5A32919202A3}"/>
    <cellStyle name="Normal 8 2 6 4" xfId="9489" xr:uid="{BBC7F4E0-AB57-466C-BA3E-3E3A7E4CE32E}"/>
    <cellStyle name="Normal 8 2 6 5" xfId="13700" xr:uid="{F7C8971D-75DA-470C-B40C-2CD7F2B59AA7}"/>
    <cellStyle name="Normal 8 2 7" xfId="1363" xr:uid="{00000000-0005-0000-0000-0000231D0000}"/>
    <cellStyle name="Normal 8 2 7 2" xfId="3593" xr:uid="{00000000-0005-0000-0000-0000241D0000}"/>
    <cellStyle name="Normal 8 2 7 2 2" xfId="7815" xr:uid="{00000000-0005-0000-0000-0000251D0000}"/>
    <cellStyle name="Normal 8 2 7 2 2 2" xfId="20476" xr:uid="{C64319C2-37AB-4135-A361-5C717C83BAD5}"/>
    <cellStyle name="Normal 8 2 7 2 3" xfId="12047" xr:uid="{D1B96AF7-43E1-4D7B-A503-44940AA14007}"/>
    <cellStyle name="Normal 8 2 7 2 4" xfId="16258" xr:uid="{66F28493-C236-48BC-BA9B-9571F9097271}"/>
    <cellStyle name="Normal 8 2 7 3" xfId="5670" xr:uid="{00000000-0005-0000-0000-0000261D0000}"/>
    <cellStyle name="Normal 8 2 7 3 2" xfId="18331" xr:uid="{6EBFCC84-8995-4AB8-8B15-2F3BDBC6AA13}"/>
    <cellStyle name="Normal 8 2 7 4" xfId="9902" xr:uid="{9E6D358D-2790-469B-832C-932D9A4A5DE7}"/>
    <cellStyle name="Normal 8 2 7 5" xfId="14113" xr:uid="{3C86C5E2-378E-4908-8AED-D3386ADD896A}"/>
    <cellStyle name="Normal 8 2 8" xfId="1776" xr:uid="{00000000-0005-0000-0000-0000271D0000}"/>
    <cellStyle name="Normal 8 2 8 2" xfId="4006" xr:uid="{00000000-0005-0000-0000-0000281D0000}"/>
    <cellStyle name="Normal 8 2 8 2 2" xfId="8228" xr:uid="{00000000-0005-0000-0000-0000291D0000}"/>
    <cellStyle name="Normal 8 2 8 2 2 2" xfId="20889" xr:uid="{82ECF507-B61C-4655-BD83-DA9B309D3DE9}"/>
    <cellStyle name="Normal 8 2 8 2 3" xfId="12460" xr:uid="{3A6CEEF6-AD5F-4C84-AE41-242FDD0795CC}"/>
    <cellStyle name="Normal 8 2 8 2 4" xfId="16671" xr:uid="{87EF98AA-2231-4D6C-B8A0-8E29406C329B}"/>
    <cellStyle name="Normal 8 2 8 3" xfId="6083" xr:uid="{00000000-0005-0000-0000-00002A1D0000}"/>
    <cellStyle name="Normal 8 2 8 3 2" xfId="18744" xr:uid="{276E4AB2-B56A-4657-8327-60D4494DC4D1}"/>
    <cellStyle name="Normal 8 2 8 4" xfId="10315" xr:uid="{0DB11EE3-1313-4673-9C77-60FE460ADC67}"/>
    <cellStyle name="Normal 8 2 8 5" xfId="14526" xr:uid="{A8EF7954-8823-49AB-8B34-0CBEDBCD93B7}"/>
    <cellStyle name="Normal 8 2 9" xfId="2190" xr:uid="{00000000-0005-0000-0000-00002B1D0000}"/>
    <cellStyle name="Normal 8 2 9 2" xfId="4419" xr:uid="{00000000-0005-0000-0000-00002C1D0000}"/>
    <cellStyle name="Normal 8 2 9 2 2" xfId="8641" xr:uid="{00000000-0005-0000-0000-00002D1D0000}"/>
    <cellStyle name="Normal 8 2 9 2 2 2" xfId="21302" xr:uid="{32E1534B-181D-4CF4-940C-C3756A370F8B}"/>
    <cellStyle name="Normal 8 2 9 2 3" xfId="12873" xr:uid="{525D70F8-4A62-412D-ADA1-E70296401F2A}"/>
    <cellStyle name="Normal 8 2 9 2 4" xfId="17084" xr:uid="{33B59782-82EC-4F6F-9151-0E9ABCD432A4}"/>
    <cellStyle name="Normal 8 2 9 3" xfId="6496" xr:uid="{00000000-0005-0000-0000-00002E1D0000}"/>
    <cellStyle name="Normal 8 2 9 3 2" xfId="19157" xr:uid="{C088AE39-3738-412D-AA0E-3119297261F1}"/>
    <cellStyle name="Normal 8 2 9 4" xfId="10728" xr:uid="{FBFF8BDC-AD8E-4A24-B917-473BF9353E41}"/>
    <cellStyle name="Normal 8 2 9 5" xfId="14939" xr:uid="{3B698F3F-BE61-4C60-A7D3-8F18081CDC76}"/>
    <cellStyle name="Normal 8 3" xfId="495" xr:uid="{00000000-0005-0000-0000-00002F1D0000}"/>
    <cellStyle name="Normal 8 3 10" xfId="4860" xr:uid="{00000000-0005-0000-0000-0000301D0000}"/>
    <cellStyle name="Normal 8 3 10 2" xfId="17521" xr:uid="{59381A69-C02C-4B80-93F6-275F06E28FD3}"/>
    <cellStyle name="Normal 8 3 11" xfId="9092" xr:uid="{CA89D3B4-A734-4857-8739-721CAAB692DB}"/>
    <cellStyle name="Normal 8 3 12" xfId="13303" xr:uid="{E937CE15-04D4-4A3F-8C20-425BAFDC0925}"/>
    <cellStyle name="Normal 8 3 2" xfId="496" xr:uid="{00000000-0005-0000-0000-0000311D0000}"/>
    <cellStyle name="Normal 8 3 2 10" xfId="9093" xr:uid="{0F1AAF28-4BCD-4B4D-8E06-2962CB9842C6}"/>
    <cellStyle name="Normal 8 3 2 11" xfId="13304" xr:uid="{C546125F-47DF-4491-AB57-A61E9B183913}"/>
    <cellStyle name="Normal 8 3 2 2" xfId="497" xr:uid="{00000000-0005-0000-0000-0000321D0000}"/>
    <cellStyle name="Normal 8 3 2 2 10" xfId="13305" xr:uid="{0F8484E4-DA0C-40E7-9C76-E4281E9E59CB}"/>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20082" xr:uid="{AD45058B-F0FC-447D-8BD2-0353FBBB5A59}"/>
    <cellStyle name="Normal 8 3 2 2 2 2 2 3" xfId="11653" xr:uid="{8380B618-D38A-47AF-A33D-CD0EA151796D}"/>
    <cellStyle name="Normal 8 3 2 2 2 2 2 4" xfId="15864" xr:uid="{86ECD31D-BCC0-4618-BB91-969ECC309A9F}"/>
    <cellStyle name="Normal 8 3 2 2 2 2 3" xfId="5276" xr:uid="{00000000-0005-0000-0000-0000371D0000}"/>
    <cellStyle name="Normal 8 3 2 2 2 2 3 2" xfId="17937" xr:uid="{7DAE3AA7-2353-48AF-A39B-AA702C1DD789}"/>
    <cellStyle name="Normal 8 3 2 2 2 2 4" xfId="9508" xr:uid="{0F9FAE24-6AD2-4A9C-BA02-73A474952844}"/>
    <cellStyle name="Normal 8 3 2 2 2 2 5" xfId="13719" xr:uid="{EDEC13B3-8852-4965-87CA-F8B22C9F2DD1}"/>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20495" xr:uid="{9A4DC203-BEF9-42E2-9902-1E8B0C865099}"/>
    <cellStyle name="Normal 8 3 2 2 2 3 2 3" xfId="12066" xr:uid="{3D5A6FEB-8503-4254-9778-4E9A0214EF4D}"/>
    <cellStyle name="Normal 8 3 2 2 2 3 2 4" xfId="16277" xr:uid="{012D40C1-624B-448C-8691-A54BC39B3DD4}"/>
    <cellStyle name="Normal 8 3 2 2 2 3 3" xfId="5689" xr:uid="{00000000-0005-0000-0000-00003B1D0000}"/>
    <cellStyle name="Normal 8 3 2 2 2 3 3 2" xfId="18350" xr:uid="{1222F4C9-58A7-4C9E-B06B-26FBA05B7E60}"/>
    <cellStyle name="Normal 8 3 2 2 2 3 4" xfId="9921" xr:uid="{A9558387-7F06-4E53-A650-63077607ED0F}"/>
    <cellStyle name="Normal 8 3 2 2 2 3 5" xfId="14132" xr:uid="{6752B00D-8099-4E1F-815F-546F49B329E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20908" xr:uid="{E63CC24F-0D47-4DA1-A147-AE38FC089FAF}"/>
    <cellStyle name="Normal 8 3 2 2 2 4 2 3" xfId="12479" xr:uid="{0E761A2F-5701-40D4-B089-2009644054D7}"/>
    <cellStyle name="Normal 8 3 2 2 2 4 2 4" xfId="16690" xr:uid="{60676162-9182-4D30-B3BE-A2FD093AC098}"/>
    <cellStyle name="Normal 8 3 2 2 2 4 3" xfId="6102" xr:uid="{00000000-0005-0000-0000-00003F1D0000}"/>
    <cellStyle name="Normal 8 3 2 2 2 4 3 2" xfId="18763" xr:uid="{AF939AF6-2F8D-44CE-B94D-78B8F1F361C4}"/>
    <cellStyle name="Normal 8 3 2 2 2 4 4" xfId="10334" xr:uid="{3BF151AF-3645-419F-9AB3-45E4F96E8CC5}"/>
    <cellStyle name="Normal 8 3 2 2 2 4 5" xfId="14545" xr:uid="{716F419C-465B-4D41-B8A9-0D717AF09C99}"/>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21321" xr:uid="{7DEBA16E-B44A-4364-B51D-B8A3F0D16A1D}"/>
    <cellStyle name="Normal 8 3 2 2 2 5 2 3" xfId="12892" xr:uid="{508245AB-974F-4A0F-A6B1-3EEAE4E67BDA}"/>
    <cellStyle name="Normal 8 3 2 2 2 5 2 4" xfId="17103" xr:uid="{24CD5771-C4FC-4514-ADEB-84991F62B3F0}"/>
    <cellStyle name="Normal 8 3 2 2 2 5 3" xfId="6515" xr:uid="{00000000-0005-0000-0000-0000431D0000}"/>
    <cellStyle name="Normal 8 3 2 2 2 5 3 2" xfId="19176" xr:uid="{08145EC8-C8C1-4BDE-9F6F-9F020F939C60}"/>
    <cellStyle name="Normal 8 3 2 2 2 5 4" xfId="10747" xr:uid="{DDB8DAC8-EE13-4B6F-9CFE-F00A11E2A68C}"/>
    <cellStyle name="Normal 8 3 2 2 2 5 5" xfId="14958" xr:uid="{6686043F-97D6-42DB-BBCD-C43A8F104006}"/>
    <cellStyle name="Normal 8 3 2 2 2 6" xfId="2645" xr:uid="{00000000-0005-0000-0000-0000441D0000}"/>
    <cellStyle name="Normal 8 3 2 2 2 6 2" xfId="6928" xr:uid="{00000000-0005-0000-0000-0000451D0000}"/>
    <cellStyle name="Normal 8 3 2 2 2 6 2 2" xfId="19589" xr:uid="{C0FB93F7-305A-4ADC-B0B4-E845E21CED2D}"/>
    <cellStyle name="Normal 8 3 2 2 2 6 3" xfId="11160" xr:uid="{3CA12065-AB9E-4E86-AD9C-97E3FC50E75A}"/>
    <cellStyle name="Normal 8 3 2 2 2 6 4" xfId="15371" xr:uid="{71D8D913-58BA-4657-A2A2-4221A3427B10}"/>
    <cellStyle name="Normal 8 3 2 2 2 7" xfId="4863" xr:uid="{00000000-0005-0000-0000-0000461D0000}"/>
    <cellStyle name="Normal 8 3 2 2 2 7 2" xfId="17524" xr:uid="{A155866F-447A-48B7-93CE-F6A060F96AC7}"/>
    <cellStyle name="Normal 8 3 2 2 2 8" xfId="9095" xr:uid="{EDBEA159-6C89-4CCF-8933-1460ED9A5F84}"/>
    <cellStyle name="Normal 8 3 2 2 2 9" xfId="13306" xr:uid="{B9E20DFE-FE64-4AAE-82A0-29CDDF696A61}"/>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20081" xr:uid="{D965BE94-1A2C-438C-BA97-A8F27BC58C14}"/>
    <cellStyle name="Normal 8 3 2 2 3 2 3" xfId="11652" xr:uid="{31191496-4BD0-4B98-9987-36EC883E3668}"/>
    <cellStyle name="Normal 8 3 2 2 3 2 4" xfId="15863" xr:uid="{711BC38D-6395-4BE9-947F-D26F5292B8D9}"/>
    <cellStyle name="Normal 8 3 2 2 3 3" xfId="5275" xr:uid="{00000000-0005-0000-0000-00004A1D0000}"/>
    <cellStyle name="Normal 8 3 2 2 3 3 2" xfId="17936" xr:uid="{46F49C23-820A-48C2-82D8-65F11FED80DE}"/>
    <cellStyle name="Normal 8 3 2 2 3 4" xfId="9507" xr:uid="{9ECE6813-DDBC-4BB4-A5CD-DC8161CEBD0D}"/>
    <cellStyle name="Normal 8 3 2 2 3 5" xfId="13718" xr:uid="{27ADC351-7B1D-45D4-8C33-C1BD55650C1D}"/>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20494" xr:uid="{F88E885F-5992-46A0-A4F4-5B91CC875E85}"/>
    <cellStyle name="Normal 8 3 2 2 4 2 3" xfId="12065" xr:uid="{8DE86109-265D-4E0B-BBB5-5570877F97A5}"/>
    <cellStyle name="Normal 8 3 2 2 4 2 4" xfId="16276" xr:uid="{64605B0F-8AEC-4E50-BB38-10B31AA938DF}"/>
    <cellStyle name="Normal 8 3 2 2 4 3" xfId="5688" xr:uid="{00000000-0005-0000-0000-00004E1D0000}"/>
    <cellStyle name="Normal 8 3 2 2 4 3 2" xfId="18349" xr:uid="{9D78A448-1A02-425A-898A-10633618E8CB}"/>
    <cellStyle name="Normal 8 3 2 2 4 4" xfId="9920" xr:uid="{B2021587-7329-47C4-8F80-47FCBFAFBF6E}"/>
    <cellStyle name="Normal 8 3 2 2 4 5" xfId="14131" xr:uid="{973B5A34-ED79-4787-AEFA-CD380A962CE4}"/>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20907" xr:uid="{7432C62A-2E0C-4F3F-810D-3F7FB45606F9}"/>
    <cellStyle name="Normal 8 3 2 2 5 2 3" xfId="12478" xr:uid="{F39D84AA-B810-4D71-BD5B-051F786E405A}"/>
    <cellStyle name="Normal 8 3 2 2 5 2 4" xfId="16689" xr:uid="{02D49C4A-5FB1-4CB2-B51D-6C5CF5FCDA07}"/>
    <cellStyle name="Normal 8 3 2 2 5 3" xfId="6101" xr:uid="{00000000-0005-0000-0000-0000521D0000}"/>
    <cellStyle name="Normal 8 3 2 2 5 3 2" xfId="18762" xr:uid="{673AFFE3-A867-49FA-8C29-C94D4C860006}"/>
    <cellStyle name="Normal 8 3 2 2 5 4" xfId="10333" xr:uid="{590A6242-E4C8-40FB-B3B9-676274D37D49}"/>
    <cellStyle name="Normal 8 3 2 2 5 5" xfId="14544" xr:uid="{F7AA430C-BDC4-41A4-B487-B8FA5D29E10A}"/>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21320" xr:uid="{04DD90F1-8001-4320-9A28-BB174AF7EA4B}"/>
    <cellStyle name="Normal 8 3 2 2 6 2 3" xfId="12891" xr:uid="{2200A51C-4073-405B-BC93-192F49BEE2D3}"/>
    <cellStyle name="Normal 8 3 2 2 6 2 4" xfId="17102" xr:uid="{6686D78F-B34F-4D57-A949-305097A88BBD}"/>
    <cellStyle name="Normal 8 3 2 2 6 3" xfId="6514" xr:uid="{00000000-0005-0000-0000-0000561D0000}"/>
    <cellStyle name="Normal 8 3 2 2 6 3 2" xfId="19175" xr:uid="{1C9A043E-AF10-4DB3-BB67-01DDD608E158}"/>
    <cellStyle name="Normal 8 3 2 2 6 4" xfId="10746" xr:uid="{4B6AE8AA-71E8-4AA8-BF12-EC32089CDAA1}"/>
    <cellStyle name="Normal 8 3 2 2 6 5" xfId="14957" xr:uid="{F54004B7-2DF0-4D7A-9D19-7E09F9693D62}"/>
    <cellStyle name="Normal 8 3 2 2 7" xfId="2644" xr:uid="{00000000-0005-0000-0000-0000571D0000}"/>
    <cellStyle name="Normal 8 3 2 2 7 2" xfId="6927" xr:uid="{00000000-0005-0000-0000-0000581D0000}"/>
    <cellStyle name="Normal 8 3 2 2 7 2 2" xfId="19588" xr:uid="{3AD60C7D-13AC-434F-AB59-AC3F33CB903F}"/>
    <cellStyle name="Normal 8 3 2 2 7 3" xfId="11159" xr:uid="{94E0DBA7-2A20-4C7D-8342-FCA3AEDCEE96}"/>
    <cellStyle name="Normal 8 3 2 2 7 4" xfId="15370" xr:uid="{1E778AA3-633B-42CB-ABC8-152167673D13}"/>
    <cellStyle name="Normal 8 3 2 2 8" xfId="4862" xr:uid="{00000000-0005-0000-0000-0000591D0000}"/>
    <cellStyle name="Normal 8 3 2 2 8 2" xfId="17523" xr:uid="{E925C1BB-ECD7-4ACF-A691-376A3DA41245}"/>
    <cellStyle name="Normal 8 3 2 2 9" xfId="9094" xr:uid="{1F441101-C534-4450-A52A-5E4DC801AAF8}"/>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20083" xr:uid="{EF3371A9-03D8-4BE7-A9D3-72B8F5D7E6DE}"/>
    <cellStyle name="Normal 8 3 2 3 2 2 3" xfId="11654" xr:uid="{C7FFBB35-0130-4F7E-8123-899CAFB4E887}"/>
    <cellStyle name="Normal 8 3 2 3 2 2 4" xfId="15865" xr:uid="{EC2F1BA6-2161-4A30-9667-3412D7C46E6E}"/>
    <cellStyle name="Normal 8 3 2 3 2 3" xfId="5277" xr:uid="{00000000-0005-0000-0000-00005E1D0000}"/>
    <cellStyle name="Normal 8 3 2 3 2 3 2" xfId="17938" xr:uid="{D51A54DD-7C32-418E-A2A3-A7910CFAB821}"/>
    <cellStyle name="Normal 8 3 2 3 2 4" xfId="9509" xr:uid="{8B458597-41A3-48A9-87AB-C4BBF23E5F8F}"/>
    <cellStyle name="Normal 8 3 2 3 2 5" xfId="13720" xr:uid="{59CC133A-08D0-483E-9A60-2344F25D0EED}"/>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20496" xr:uid="{B91B0B10-3B17-4CCB-B7B0-2F4E2D8BA59C}"/>
    <cellStyle name="Normal 8 3 2 3 3 2 3" xfId="12067" xr:uid="{E2C422E0-5433-4314-A941-EF98267ABF6D}"/>
    <cellStyle name="Normal 8 3 2 3 3 2 4" xfId="16278" xr:uid="{75C8E83A-B7CC-4ABA-90E4-A1CCCDFE5B77}"/>
    <cellStyle name="Normal 8 3 2 3 3 3" xfId="5690" xr:uid="{00000000-0005-0000-0000-0000621D0000}"/>
    <cellStyle name="Normal 8 3 2 3 3 3 2" xfId="18351" xr:uid="{C077CB53-19EA-40F2-8B31-A72F188D7218}"/>
    <cellStyle name="Normal 8 3 2 3 3 4" xfId="9922" xr:uid="{55A32E6B-4385-4E45-A4B7-84139ED48054}"/>
    <cellStyle name="Normal 8 3 2 3 3 5" xfId="14133" xr:uid="{199A5444-CF73-4F2F-8A05-C396FC8FAB60}"/>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20909" xr:uid="{EB3F40C0-0BE6-4EDB-92A5-9DC364BDB8CF}"/>
    <cellStyle name="Normal 8 3 2 3 4 2 3" xfId="12480" xr:uid="{B3C56690-DD14-472E-A74B-A650512EE7A4}"/>
    <cellStyle name="Normal 8 3 2 3 4 2 4" xfId="16691" xr:uid="{C9D95555-43FC-4DBC-9F75-A1160E02DE8E}"/>
    <cellStyle name="Normal 8 3 2 3 4 3" xfId="6103" xr:uid="{00000000-0005-0000-0000-0000661D0000}"/>
    <cellStyle name="Normal 8 3 2 3 4 3 2" xfId="18764" xr:uid="{5EC15680-C987-4BA7-9CD3-CE743B59603F}"/>
    <cellStyle name="Normal 8 3 2 3 4 4" xfId="10335" xr:uid="{B20210B1-D830-466B-9716-317C4C1D9048}"/>
    <cellStyle name="Normal 8 3 2 3 4 5" xfId="14546" xr:uid="{9EB6F82C-C862-416F-903C-B3FE5B6594E3}"/>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21322" xr:uid="{29D695B7-57C0-4976-915E-2B4F21D8677A}"/>
    <cellStyle name="Normal 8 3 2 3 5 2 3" xfId="12893" xr:uid="{18FDC339-453D-4E7F-9DED-EFD69EB39A4F}"/>
    <cellStyle name="Normal 8 3 2 3 5 2 4" xfId="17104" xr:uid="{0F6A20A1-78DC-43F3-83B5-EEE3F8EC1E09}"/>
    <cellStyle name="Normal 8 3 2 3 5 3" xfId="6516" xr:uid="{00000000-0005-0000-0000-00006A1D0000}"/>
    <cellStyle name="Normal 8 3 2 3 5 3 2" xfId="19177" xr:uid="{35D1115C-B719-401D-829F-9568BE077615}"/>
    <cellStyle name="Normal 8 3 2 3 5 4" xfId="10748" xr:uid="{C24B7C09-D92B-480E-B097-D4DDF9E72756}"/>
    <cellStyle name="Normal 8 3 2 3 5 5" xfId="14959" xr:uid="{626838D7-F55C-4E42-952A-DA52DB226284}"/>
    <cellStyle name="Normal 8 3 2 3 6" xfId="2646" xr:uid="{00000000-0005-0000-0000-00006B1D0000}"/>
    <cellStyle name="Normal 8 3 2 3 6 2" xfId="6929" xr:uid="{00000000-0005-0000-0000-00006C1D0000}"/>
    <cellStyle name="Normal 8 3 2 3 6 2 2" xfId="19590" xr:uid="{09A20DF7-681B-49F8-AF91-F3E9FAC4DA64}"/>
    <cellStyle name="Normal 8 3 2 3 6 3" xfId="11161" xr:uid="{3FCC65C1-6948-4A70-8E8E-BB88C1276D78}"/>
    <cellStyle name="Normal 8 3 2 3 6 4" xfId="15372" xr:uid="{11BB3535-C0CD-47F4-BE34-48BFA0C790E7}"/>
    <cellStyle name="Normal 8 3 2 3 7" xfId="4864" xr:uid="{00000000-0005-0000-0000-00006D1D0000}"/>
    <cellStyle name="Normal 8 3 2 3 7 2" xfId="17525" xr:uid="{A1296ED2-389E-48D7-9EBC-4CFD07711118}"/>
    <cellStyle name="Normal 8 3 2 3 8" xfId="9096" xr:uid="{44B3933A-AAAB-45B6-A91A-B620A5D8EA89}"/>
    <cellStyle name="Normal 8 3 2 3 9" xfId="13307" xr:uid="{4F1F609A-C11B-4462-BB43-492C45ECB40F}"/>
    <cellStyle name="Normal 8 3 2 4" xfId="963" xr:uid="{00000000-0005-0000-0000-00006E1D0000}"/>
    <cellStyle name="Normal 8 3 2 4 2" xfId="3197" xr:uid="{00000000-0005-0000-0000-00006F1D0000}"/>
    <cellStyle name="Normal 8 3 2 4 2 2" xfId="7419" xr:uid="{00000000-0005-0000-0000-0000701D0000}"/>
    <cellStyle name="Normal 8 3 2 4 2 2 2" xfId="20080" xr:uid="{7C1E155D-BA2A-4785-89E6-F758F91A7ECE}"/>
    <cellStyle name="Normal 8 3 2 4 2 3" xfId="11651" xr:uid="{49080493-D288-41A9-A8FF-DA99F108EB6D}"/>
    <cellStyle name="Normal 8 3 2 4 2 4" xfId="15862" xr:uid="{17F29DA1-EED2-43FB-9A17-CD609872C6A7}"/>
    <cellStyle name="Normal 8 3 2 4 3" xfId="5274" xr:uid="{00000000-0005-0000-0000-0000711D0000}"/>
    <cellStyle name="Normal 8 3 2 4 3 2" xfId="17935" xr:uid="{92B4680F-2528-453E-A7AF-F435216CFEAD}"/>
    <cellStyle name="Normal 8 3 2 4 4" xfId="9506" xr:uid="{1C435F88-ABF2-414A-AD81-49377A487C90}"/>
    <cellStyle name="Normal 8 3 2 4 5" xfId="13717" xr:uid="{F7082775-FA0F-49E9-B93A-E309E6A5ADE0}"/>
    <cellStyle name="Normal 8 3 2 5" xfId="1380" xr:uid="{00000000-0005-0000-0000-0000721D0000}"/>
    <cellStyle name="Normal 8 3 2 5 2" xfId="3610" xr:uid="{00000000-0005-0000-0000-0000731D0000}"/>
    <cellStyle name="Normal 8 3 2 5 2 2" xfId="7832" xr:uid="{00000000-0005-0000-0000-0000741D0000}"/>
    <cellStyle name="Normal 8 3 2 5 2 2 2" xfId="20493" xr:uid="{9D028614-F232-48AE-B259-1B7A4CDD6C6E}"/>
    <cellStyle name="Normal 8 3 2 5 2 3" xfId="12064" xr:uid="{423C81DB-A926-4AFA-9F64-4759A41301DB}"/>
    <cellStyle name="Normal 8 3 2 5 2 4" xfId="16275" xr:uid="{8A207E32-11FA-4074-8E3B-7834FECAB8BF}"/>
    <cellStyle name="Normal 8 3 2 5 3" xfId="5687" xr:uid="{00000000-0005-0000-0000-0000751D0000}"/>
    <cellStyle name="Normal 8 3 2 5 3 2" xfId="18348" xr:uid="{C04383D4-BCF9-414D-AA68-FA0B34E223CA}"/>
    <cellStyle name="Normal 8 3 2 5 4" xfId="9919" xr:uid="{31384FFD-7866-4267-ABA1-EE6E7D692031}"/>
    <cellStyle name="Normal 8 3 2 5 5" xfId="14130" xr:uid="{6BF5593F-39DF-4E7A-B9B3-A687C653F64B}"/>
    <cellStyle name="Normal 8 3 2 6" xfId="1793" xr:uid="{00000000-0005-0000-0000-0000761D0000}"/>
    <cellStyle name="Normal 8 3 2 6 2" xfId="4023" xr:uid="{00000000-0005-0000-0000-0000771D0000}"/>
    <cellStyle name="Normal 8 3 2 6 2 2" xfId="8245" xr:uid="{00000000-0005-0000-0000-0000781D0000}"/>
    <cellStyle name="Normal 8 3 2 6 2 2 2" xfId="20906" xr:uid="{36D504F5-9DFD-4F30-B4B5-C8C348B31F9F}"/>
    <cellStyle name="Normal 8 3 2 6 2 3" xfId="12477" xr:uid="{38A31C0E-3BA3-4810-9EF4-329809BAAC9A}"/>
    <cellStyle name="Normal 8 3 2 6 2 4" xfId="16688" xr:uid="{BCDA46C8-D822-491A-AD5E-29F1797653CB}"/>
    <cellStyle name="Normal 8 3 2 6 3" xfId="6100" xr:uid="{00000000-0005-0000-0000-0000791D0000}"/>
    <cellStyle name="Normal 8 3 2 6 3 2" xfId="18761" xr:uid="{D12FDCEE-3E7D-403C-B5D3-0EDC40257890}"/>
    <cellStyle name="Normal 8 3 2 6 4" xfId="10332" xr:uid="{338944C1-4CF8-4A68-9552-CF9AFF3E2A09}"/>
    <cellStyle name="Normal 8 3 2 6 5" xfId="14543" xr:uid="{A22A4A53-FBB0-4CD0-ACA3-2D3D7DA4FBBA}"/>
    <cellStyle name="Normal 8 3 2 7" xfId="2207" xr:uid="{00000000-0005-0000-0000-00007A1D0000}"/>
    <cellStyle name="Normal 8 3 2 7 2" xfId="4436" xr:uid="{00000000-0005-0000-0000-00007B1D0000}"/>
    <cellStyle name="Normal 8 3 2 7 2 2" xfId="8658" xr:uid="{00000000-0005-0000-0000-00007C1D0000}"/>
    <cellStyle name="Normal 8 3 2 7 2 2 2" xfId="21319" xr:uid="{49F68F1D-679F-4234-8B8E-89D7D32EB3F6}"/>
    <cellStyle name="Normal 8 3 2 7 2 3" xfId="12890" xr:uid="{25BDEF7A-E63D-4AED-95D0-E789B19EC9DB}"/>
    <cellStyle name="Normal 8 3 2 7 2 4" xfId="17101" xr:uid="{0CB43CF5-F67D-4ACF-97D0-BA14399033A8}"/>
    <cellStyle name="Normal 8 3 2 7 3" xfId="6513" xr:uid="{00000000-0005-0000-0000-00007D1D0000}"/>
    <cellStyle name="Normal 8 3 2 7 3 2" xfId="19174" xr:uid="{CCB53A8B-7F69-4F5D-8E49-37E83747EC1B}"/>
    <cellStyle name="Normal 8 3 2 7 4" xfId="10745" xr:uid="{4938C9BD-DA0F-4C01-85EB-574E85444A7C}"/>
    <cellStyle name="Normal 8 3 2 7 5" xfId="14956" xr:uid="{81B2C60F-5E29-4242-928D-1158A9691242}"/>
    <cellStyle name="Normal 8 3 2 8" xfId="2643" xr:uid="{00000000-0005-0000-0000-00007E1D0000}"/>
    <cellStyle name="Normal 8 3 2 8 2" xfId="6926" xr:uid="{00000000-0005-0000-0000-00007F1D0000}"/>
    <cellStyle name="Normal 8 3 2 8 2 2" xfId="19587" xr:uid="{9E938456-E74B-4E26-986F-BB145C6C05DF}"/>
    <cellStyle name="Normal 8 3 2 8 3" xfId="11158" xr:uid="{1368808C-EC04-45AD-BEA4-2F7CF3EBD17E}"/>
    <cellStyle name="Normal 8 3 2 8 4" xfId="15369" xr:uid="{D005AFEE-5316-4E67-B665-B9DAA17A1389}"/>
    <cellStyle name="Normal 8 3 2 9" xfId="4861" xr:uid="{00000000-0005-0000-0000-0000801D0000}"/>
    <cellStyle name="Normal 8 3 2 9 2" xfId="17522" xr:uid="{D4FB9AFA-E89F-4EF6-9110-149CC1BB0F2D}"/>
    <cellStyle name="Normal 8 3 3" xfId="500" xr:uid="{00000000-0005-0000-0000-0000811D0000}"/>
    <cellStyle name="Normal 8 3 3 10" xfId="13308" xr:uid="{40C8327A-2D02-4A91-A5D2-4997DE384E24}"/>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20085" xr:uid="{B80E278C-7BCA-4BEA-8D6D-FFBE01AD4B60}"/>
    <cellStyle name="Normal 8 3 3 2 2 2 3" xfId="11656" xr:uid="{E435E467-B7A5-48B3-95F7-077893B6F184}"/>
    <cellStyle name="Normal 8 3 3 2 2 2 4" xfId="15867" xr:uid="{64147BD6-9540-43A0-A26F-A363D9E154AE}"/>
    <cellStyle name="Normal 8 3 3 2 2 3" xfId="5279" xr:uid="{00000000-0005-0000-0000-0000861D0000}"/>
    <cellStyle name="Normal 8 3 3 2 2 3 2" xfId="17940" xr:uid="{3ADCEACB-7B99-48F0-B769-E793C58A7C13}"/>
    <cellStyle name="Normal 8 3 3 2 2 4" xfId="9511" xr:uid="{10A41F71-3B34-4231-872F-20F8F0FD80A8}"/>
    <cellStyle name="Normal 8 3 3 2 2 5" xfId="13722" xr:uid="{8556BF28-929F-4E8E-AB53-FC101A05590E}"/>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20498" xr:uid="{43E67889-FD05-4E1C-A2EB-7479EA2205A5}"/>
    <cellStyle name="Normal 8 3 3 2 3 2 3" xfId="12069" xr:uid="{E437F78C-6A96-4DC4-9C5E-023C1D99F140}"/>
    <cellStyle name="Normal 8 3 3 2 3 2 4" xfId="16280" xr:uid="{838BD731-1DFD-4AB2-94FD-EEF5BC000E94}"/>
    <cellStyle name="Normal 8 3 3 2 3 3" xfId="5692" xr:uid="{00000000-0005-0000-0000-00008A1D0000}"/>
    <cellStyle name="Normal 8 3 3 2 3 3 2" xfId="18353" xr:uid="{3B19DA08-FD33-4A57-B8C8-46D7CD945511}"/>
    <cellStyle name="Normal 8 3 3 2 3 4" xfId="9924" xr:uid="{D04E73D1-E38A-4D73-BE5F-3C99AB12E97A}"/>
    <cellStyle name="Normal 8 3 3 2 3 5" xfId="14135" xr:uid="{769416C8-B754-436A-BAF3-435680E41877}"/>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20911" xr:uid="{88A8D3B1-6845-4028-A59C-F13A0C742188}"/>
    <cellStyle name="Normal 8 3 3 2 4 2 3" xfId="12482" xr:uid="{E66D5407-F355-4FCE-9569-9DCC904F0A32}"/>
    <cellStyle name="Normal 8 3 3 2 4 2 4" xfId="16693" xr:uid="{593F4E50-7450-4E99-94D4-1834D37E98A0}"/>
    <cellStyle name="Normal 8 3 3 2 4 3" xfId="6105" xr:uid="{00000000-0005-0000-0000-00008E1D0000}"/>
    <cellStyle name="Normal 8 3 3 2 4 3 2" xfId="18766" xr:uid="{55AE3D40-6497-4FB5-8377-FBCB7E689F60}"/>
    <cellStyle name="Normal 8 3 3 2 4 4" xfId="10337" xr:uid="{C95A85BA-6F92-436E-B03E-41C3CB7D4F36}"/>
    <cellStyle name="Normal 8 3 3 2 4 5" xfId="14548" xr:uid="{544ECF3B-CBD8-4FE2-8C2C-1DF86E339F91}"/>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21324" xr:uid="{2BAD95D9-A598-4D01-8815-7B0DF853F41B}"/>
    <cellStyle name="Normal 8 3 3 2 5 2 3" xfId="12895" xr:uid="{84BE0C68-6105-45F9-96C4-642177DED209}"/>
    <cellStyle name="Normal 8 3 3 2 5 2 4" xfId="17106" xr:uid="{BB12B72F-B734-4D82-90EA-9A9F3AE64E46}"/>
    <cellStyle name="Normal 8 3 3 2 5 3" xfId="6518" xr:uid="{00000000-0005-0000-0000-0000921D0000}"/>
    <cellStyle name="Normal 8 3 3 2 5 3 2" xfId="19179" xr:uid="{5C00AA82-12D8-499F-B0D7-565397D74281}"/>
    <cellStyle name="Normal 8 3 3 2 5 4" xfId="10750" xr:uid="{66D79D38-6497-4D40-B56F-18FBD42BEFDC}"/>
    <cellStyle name="Normal 8 3 3 2 5 5" xfId="14961" xr:uid="{127B108F-65FA-41EB-BF22-30E869BB2CE5}"/>
    <cellStyle name="Normal 8 3 3 2 6" xfId="2648" xr:uid="{00000000-0005-0000-0000-0000931D0000}"/>
    <cellStyle name="Normal 8 3 3 2 6 2" xfId="6931" xr:uid="{00000000-0005-0000-0000-0000941D0000}"/>
    <cellStyle name="Normal 8 3 3 2 6 2 2" xfId="19592" xr:uid="{B0572C17-EA22-408B-BE6C-FE4A9FA39243}"/>
    <cellStyle name="Normal 8 3 3 2 6 3" xfId="11163" xr:uid="{AB042006-8DC1-43FA-9C15-9574E1C72029}"/>
    <cellStyle name="Normal 8 3 3 2 6 4" xfId="15374" xr:uid="{610B1849-91E5-470B-B44C-9325253667AF}"/>
    <cellStyle name="Normal 8 3 3 2 7" xfId="4866" xr:uid="{00000000-0005-0000-0000-0000951D0000}"/>
    <cellStyle name="Normal 8 3 3 2 7 2" xfId="17527" xr:uid="{935815AC-CB02-4687-BAD3-A6E4139EBF7B}"/>
    <cellStyle name="Normal 8 3 3 2 8" xfId="9098" xr:uid="{44E99C3F-4E36-4B06-BBE2-D60C40B7E9DE}"/>
    <cellStyle name="Normal 8 3 3 2 9" xfId="13309" xr:uid="{D65A588B-3DBE-479A-9993-09AEC9DF0974}"/>
    <cellStyle name="Normal 8 3 3 3" xfId="967" xr:uid="{00000000-0005-0000-0000-0000961D0000}"/>
    <cellStyle name="Normal 8 3 3 3 2" xfId="3201" xr:uid="{00000000-0005-0000-0000-0000971D0000}"/>
    <cellStyle name="Normal 8 3 3 3 2 2" xfId="7423" xr:uid="{00000000-0005-0000-0000-0000981D0000}"/>
    <cellStyle name="Normal 8 3 3 3 2 2 2" xfId="20084" xr:uid="{AAE8DEE6-CA92-4B07-8EBD-F179ACEE8D38}"/>
    <cellStyle name="Normal 8 3 3 3 2 3" xfId="11655" xr:uid="{BB87DCB1-358F-44A5-B557-98D7ED7DEDB8}"/>
    <cellStyle name="Normal 8 3 3 3 2 4" xfId="15866" xr:uid="{57591703-BE40-41CF-B977-2B60D3925187}"/>
    <cellStyle name="Normal 8 3 3 3 3" xfId="5278" xr:uid="{00000000-0005-0000-0000-0000991D0000}"/>
    <cellStyle name="Normal 8 3 3 3 3 2" xfId="17939" xr:uid="{3310239B-DA29-4120-98F7-26C2CCC129CD}"/>
    <cellStyle name="Normal 8 3 3 3 4" xfId="9510" xr:uid="{489571A7-39A9-4DFB-BEBF-953ECB994E10}"/>
    <cellStyle name="Normal 8 3 3 3 5" xfId="13721" xr:uid="{7278DED4-0FB7-4931-AB01-A43FEBC3B847}"/>
    <cellStyle name="Normal 8 3 3 4" xfId="1384" xr:uid="{00000000-0005-0000-0000-00009A1D0000}"/>
    <cellStyle name="Normal 8 3 3 4 2" xfId="3614" xr:uid="{00000000-0005-0000-0000-00009B1D0000}"/>
    <cellStyle name="Normal 8 3 3 4 2 2" xfId="7836" xr:uid="{00000000-0005-0000-0000-00009C1D0000}"/>
    <cellStyle name="Normal 8 3 3 4 2 2 2" xfId="20497" xr:uid="{61D29135-0EF8-42F5-87F1-DA323ED067D1}"/>
    <cellStyle name="Normal 8 3 3 4 2 3" xfId="12068" xr:uid="{15DD0E21-27C4-46F9-A1D2-6D80983D41E8}"/>
    <cellStyle name="Normal 8 3 3 4 2 4" xfId="16279" xr:uid="{02C0030B-B0C2-46F2-A1E7-BCEBF96AA725}"/>
    <cellStyle name="Normal 8 3 3 4 3" xfId="5691" xr:uid="{00000000-0005-0000-0000-00009D1D0000}"/>
    <cellStyle name="Normal 8 3 3 4 3 2" xfId="18352" xr:uid="{6A3B83A6-880C-459B-BAA2-4DEA6E1D6905}"/>
    <cellStyle name="Normal 8 3 3 4 4" xfId="9923" xr:uid="{523A59F9-550C-4054-85E2-7C66FED640AD}"/>
    <cellStyle name="Normal 8 3 3 4 5" xfId="14134" xr:uid="{C952F7B5-2A49-457B-8272-F1F976D10C48}"/>
    <cellStyle name="Normal 8 3 3 5" xfId="1797" xr:uid="{00000000-0005-0000-0000-00009E1D0000}"/>
    <cellStyle name="Normal 8 3 3 5 2" xfId="4027" xr:uid="{00000000-0005-0000-0000-00009F1D0000}"/>
    <cellStyle name="Normal 8 3 3 5 2 2" xfId="8249" xr:uid="{00000000-0005-0000-0000-0000A01D0000}"/>
    <cellStyle name="Normal 8 3 3 5 2 2 2" xfId="20910" xr:uid="{8279C516-157B-41C3-838F-1A137914594C}"/>
    <cellStyle name="Normal 8 3 3 5 2 3" xfId="12481" xr:uid="{D392D8D8-DCB0-49F6-944E-CEE89124C1E0}"/>
    <cellStyle name="Normal 8 3 3 5 2 4" xfId="16692" xr:uid="{721E7CBC-C23D-4DEA-A683-A6D031B1BFC1}"/>
    <cellStyle name="Normal 8 3 3 5 3" xfId="6104" xr:uid="{00000000-0005-0000-0000-0000A11D0000}"/>
    <cellStyle name="Normal 8 3 3 5 3 2" xfId="18765" xr:uid="{F1157076-5BF4-4421-81BA-A749BA46D546}"/>
    <cellStyle name="Normal 8 3 3 5 4" xfId="10336" xr:uid="{E506397A-68EC-41BD-B9DC-22705D9488C5}"/>
    <cellStyle name="Normal 8 3 3 5 5" xfId="14547" xr:uid="{2EFF0EF4-3B18-474D-B230-C73A281A8948}"/>
    <cellStyle name="Normal 8 3 3 6" xfId="2211" xr:uid="{00000000-0005-0000-0000-0000A21D0000}"/>
    <cellStyle name="Normal 8 3 3 6 2" xfId="4440" xr:uid="{00000000-0005-0000-0000-0000A31D0000}"/>
    <cellStyle name="Normal 8 3 3 6 2 2" xfId="8662" xr:uid="{00000000-0005-0000-0000-0000A41D0000}"/>
    <cellStyle name="Normal 8 3 3 6 2 2 2" xfId="21323" xr:uid="{D8F16269-79F3-40A0-9715-F90747749168}"/>
    <cellStyle name="Normal 8 3 3 6 2 3" xfId="12894" xr:uid="{65EF1713-CA56-464E-8EDF-C52C99AB70D3}"/>
    <cellStyle name="Normal 8 3 3 6 2 4" xfId="17105" xr:uid="{67774691-CF1F-42D2-AADC-4F58CE74FCC9}"/>
    <cellStyle name="Normal 8 3 3 6 3" xfId="6517" xr:uid="{00000000-0005-0000-0000-0000A51D0000}"/>
    <cellStyle name="Normal 8 3 3 6 3 2" xfId="19178" xr:uid="{6069256E-7BBF-4ED4-9E54-5B94143B4875}"/>
    <cellStyle name="Normal 8 3 3 6 4" xfId="10749" xr:uid="{AB63663E-28DC-4BC6-9CBD-937E9A49EDEF}"/>
    <cellStyle name="Normal 8 3 3 6 5" xfId="14960" xr:uid="{8EA673CA-814C-4746-AF68-192D086DF2CC}"/>
    <cellStyle name="Normal 8 3 3 7" xfId="2647" xr:uid="{00000000-0005-0000-0000-0000A61D0000}"/>
    <cellStyle name="Normal 8 3 3 7 2" xfId="6930" xr:uid="{00000000-0005-0000-0000-0000A71D0000}"/>
    <cellStyle name="Normal 8 3 3 7 2 2" xfId="19591" xr:uid="{07098303-88BB-4F7C-AD5E-3B6D17507447}"/>
    <cellStyle name="Normal 8 3 3 7 3" xfId="11162" xr:uid="{4CF9012F-2924-49ED-BDB2-907DB8F8906A}"/>
    <cellStyle name="Normal 8 3 3 7 4" xfId="15373" xr:uid="{5A189332-7A5D-4B68-B9A0-77B7625B72DD}"/>
    <cellStyle name="Normal 8 3 3 8" xfId="4865" xr:uid="{00000000-0005-0000-0000-0000A81D0000}"/>
    <cellStyle name="Normal 8 3 3 8 2" xfId="17526" xr:uid="{29F53EF8-9D13-46C8-AB6A-76F233B46517}"/>
    <cellStyle name="Normal 8 3 3 9" xfId="9097" xr:uid="{01AA5AD4-A935-4683-91BB-F6CE19C66F68}"/>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20086" xr:uid="{7CD00CA7-49A2-4280-A515-3EB467807CBE}"/>
    <cellStyle name="Normal 8 3 4 2 2 3" xfId="11657" xr:uid="{E4862713-F0F0-4863-AB42-5D55731471CB}"/>
    <cellStyle name="Normal 8 3 4 2 2 4" xfId="15868" xr:uid="{4E73397F-CC70-4B5C-AD3C-4B3167F4AE47}"/>
    <cellStyle name="Normal 8 3 4 2 3" xfId="5280" xr:uid="{00000000-0005-0000-0000-0000AD1D0000}"/>
    <cellStyle name="Normal 8 3 4 2 3 2" xfId="17941" xr:uid="{C3C67FCD-5314-427A-B356-E9E791778390}"/>
    <cellStyle name="Normal 8 3 4 2 4" xfId="9512" xr:uid="{B0A2BB01-6E07-41B2-923E-CFA1D64C6DEA}"/>
    <cellStyle name="Normal 8 3 4 2 5" xfId="13723" xr:uid="{391AEE61-5387-4BB1-A095-47D95C897224}"/>
    <cellStyle name="Normal 8 3 4 3" xfId="1386" xr:uid="{00000000-0005-0000-0000-0000AE1D0000}"/>
    <cellStyle name="Normal 8 3 4 3 2" xfId="3616" xr:uid="{00000000-0005-0000-0000-0000AF1D0000}"/>
    <cellStyle name="Normal 8 3 4 3 2 2" xfId="7838" xr:uid="{00000000-0005-0000-0000-0000B01D0000}"/>
    <cellStyle name="Normal 8 3 4 3 2 2 2" xfId="20499" xr:uid="{A823DFBD-3369-40B6-89ED-C5338B6B3513}"/>
    <cellStyle name="Normal 8 3 4 3 2 3" xfId="12070" xr:uid="{57A7D376-2311-448F-97A3-CF5E78017D5F}"/>
    <cellStyle name="Normal 8 3 4 3 2 4" xfId="16281" xr:uid="{F6C324ED-14DC-46D9-89AB-3A0B2211C9EF}"/>
    <cellStyle name="Normal 8 3 4 3 3" xfId="5693" xr:uid="{00000000-0005-0000-0000-0000B11D0000}"/>
    <cellStyle name="Normal 8 3 4 3 3 2" xfId="18354" xr:uid="{91893A6A-CC39-456E-AE8D-3CE1AADF1683}"/>
    <cellStyle name="Normal 8 3 4 3 4" xfId="9925" xr:uid="{B304B72C-E4A0-473B-897B-22E4B6615001}"/>
    <cellStyle name="Normal 8 3 4 3 5" xfId="14136" xr:uid="{4A581D74-AFB0-4EA5-A50E-1DB0D4A17BD5}"/>
    <cellStyle name="Normal 8 3 4 4" xfId="1799" xr:uid="{00000000-0005-0000-0000-0000B21D0000}"/>
    <cellStyle name="Normal 8 3 4 4 2" xfId="4029" xr:uid="{00000000-0005-0000-0000-0000B31D0000}"/>
    <cellStyle name="Normal 8 3 4 4 2 2" xfId="8251" xr:uid="{00000000-0005-0000-0000-0000B41D0000}"/>
    <cellStyle name="Normal 8 3 4 4 2 2 2" xfId="20912" xr:uid="{EDBC6810-0AE8-439A-A51C-7F0A35F3C76D}"/>
    <cellStyle name="Normal 8 3 4 4 2 3" xfId="12483" xr:uid="{B51700BB-12EF-46C5-ACE0-5C92637E7702}"/>
    <cellStyle name="Normal 8 3 4 4 2 4" xfId="16694" xr:uid="{16FCF1F4-3352-4909-8A74-74C60785C54A}"/>
    <cellStyle name="Normal 8 3 4 4 3" xfId="6106" xr:uid="{00000000-0005-0000-0000-0000B51D0000}"/>
    <cellStyle name="Normal 8 3 4 4 3 2" xfId="18767" xr:uid="{9A667B4B-9959-4205-ACB8-0122B1945480}"/>
    <cellStyle name="Normal 8 3 4 4 4" xfId="10338" xr:uid="{7163565D-E834-4561-8777-356171F00AAB}"/>
    <cellStyle name="Normal 8 3 4 4 5" xfId="14549" xr:uid="{A70724CE-F41D-4966-B1EE-F83699C487E6}"/>
    <cellStyle name="Normal 8 3 4 5" xfId="2213" xr:uid="{00000000-0005-0000-0000-0000B61D0000}"/>
    <cellStyle name="Normal 8 3 4 5 2" xfId="4442" xr:uid="{00000000-0005-0000-0000-0000B71D0000}"/>
    <cellStyle name="Normal 8 3 4 5 2 2" xfId="8664" xr:uid="{00000000-0005-0000-0000-0000B81D0000}"/>
    <cellStyle name="Normal 8 3 4 5 2 2 2" xfId="21325" xr:uid="{1636B124-F1D4-46B9-B515-213DC201ECB0}"/>
    <cellStyle name="Normal 8 3 4 5 2 3" xfId="12896" xr:uid="{37CDDA8B-3BE5-4B84-B55E-CAF9D2DBF0E7}"/>
    <cellStyle name="Normal 8 3 4 5 2 4" xfId="17107" xr:uid="{FD180BFA-EE4F-4F9C-9F7A-B260E6C7853B}"/>
    <cellStyle name="Normal 8 3 4 5 3" xfId="6519" xr:uid="{00000000-0005-0000-0000-0000B91D0000}"/>
    <cellStyle name="Normal 8 3 4 5 3 2" xfId="19180" xr:uid="{D90F6837-9C30-43C0-B575-465208C069F3}"/>
    <cellStyle name="Normal 8 3 4 5 4" xfId="10751" xr:uid="{A1A7C8B5-90A8-4F83-833A-1D57575FC40E}"/>
    <cellStyle name="Normal 8 3 4 5 5" xfId="14962" xr:uid="{34F1D94D-6777-4963-B69D-E2D4E3C9203A}"/>
    <cellStyle name="Normal 8 3 4 6" xfId="2649" xr:uid="{00000000-0005-0000-0000-0000BA1D0000}"/>
    <cellStyle name="Normal 8 3 4 6 2" xfId="6932" xr:uid="{00000000-0005-0000-0000-0000BB1D0000}"/>
    <cellStyle name="Normal 8 3 4 6 2 2" xfId="19593" xr:uid="{745D4F0F-19AE-4A5C-B9DD-3E0FE6A15FAF}"/>
    <cellStyle name="Normal 8 3 4 6 3" xfId="11164" xr:uid="{75F83A30-94CD-407D-AF4A-789BD0FA948F}"/>
    <cellStyle name="Normal 8 3 4 6 4" xfId="15375" xr:uid="{97DEC3F0-A277-4FD4-BB3C-1DD1A3CB8544}"/>
    <cellStyle name="Normal 8 3 4 7" xfId="4867" xr:uid="{00000000-0005-0000-0000-0000BC1D0000}"/>
    <cellStyle name="Normal 8 3 4 7 2" xfId="17528" xr:uid="{A8F862B3-A650-4AF8-B011-B2F7E9FD87E7}"/>
    <cellStyle name="Normal 8 3 4 8" xfId="9099" xr:uid="{DDAD1751-7F7A-4ECA-8F28-DD5C11FCCA27}"/>
    <cellStyle name="Normal 8 3 4 9" xfId="13310" xr:uid="{799863DD-861F-43FD-9DB1-7CAD40139830}"/>
    <cellStyle name="Normal 8 3 5" xfId="962" xr:uid="{00000000-0005-0000-0000-0000BD1D0000}"/>
    <cellStyle name="Normal 8 3 5 2" xfId="3196" xr:uid="{00000000-0005-0000-0000-0000BE1D0000}"/>
    <cellStyle name="Normal 8 3 5 2 2" xfId="7418" xr:uid="{00000000-0005-0000-0000-0000BF1D0000}"/>
    <cellStyle name="Normal 8 3 5 2 2 2" xfId="20079" xr:uid="{395BE975-FBBC-4302-8976-20DAD4622B55}"/>
    <cellStyle name="Normal 8 3 5 2 3" xfId="11650" xr:uid="{BC0BD6A4-5123-4AB7-9F28-26BB1AFD161D}"/>
    <cellStyle name="Normal 8 3 5 2 4" xfId="15861" xr:uid="{C561CB01-9FD9-494B-B8DB-3417A6AB4819}"/>
    <cellStyle name="Normal 8 3 5 3" xfId="5273" xr:uid="{00000000-0005-0000-0000-0000C01D0000}"/>
    <cellStyle name="Normal 8 3 5 3 2" xfId="17934" xr:uid="{F52FCCD9-874A-40D0-ADDA-79AFE025D198}"/>
    <cellStyle name="Normal 8 3 5 4" xfId="9505" xr:uid="{CA5F9CEE-6DC4-49B8-916F-1F0AD3AA1E01}"/>
    <cellStyle name="Normal 8 3 5 5" xfId="13716" xr:uid="{7468AA28-ADB2-4983-93BB-A2A282978D68}"/>
    <cellStyle name="Normal 8 3 6" xfId="1379" xr:uid="{00000000-0005-0000-0000-0000C11D0000}"/>
    <cellStyle name="Normal 8 3 6 2" xfId="3609" xr:uid="{00000000-0005-0000-0000-0000C21D0000}"/>
    <cellStyle name="Normal 8 3 6 2 2" xfId="7831" xr:uid="{00000000-0005-0000-0000-0000C31D0000}"/>
    <cellStyle name="Normal 8 3 6 2 2 2" xfId="20492" xr:uid="{35E0039F-F2F5-4A28-A41C-9D819468B5D1}"/>
    <cellStyle name="Normal 8 3 6 2 3" xfId="12063" xr:uid="{1BF7643E-0C80-47B2-882E-A345DCF14454}"/>
    <cellStyle name="Normal 8 3 6 2 4" xfId="16274" xr:uid="{251366B8-415A-472E-8EEE-C57D1AA548A5}"/>
    <cellStyle name="Normal 8 3 6 3" xfId="5686" xr:uid="{00000000-0005-0000-0000-0000C41D0000}"/>
    <cellStyle name="Normal 8 3 6 3 2" xfId="18347" xr:uid="{ECAD489E-4EEF-4AAC-9CB9-CF1099E36A3F}"/>
    <cellStyle name="Normal 8 3 6 4" xfId="9918" xr:uid="{FA615BDF-9705-4212-9196-909CAE82A1DF}"/>
    <cellStyle name="Normal 8 3 6 5" xfId="14129" xr:uid="{1DFFD0D5-4B9B-47F8-B6B3-89CC9F54B30A}"/>
    <cellStyle name="Normal 8 3 7" xfId="1792" xr:uid="{00000000-0005-0000-0000-0000C51D0000}"/>
    <cellStyle name="Normal 8 3 7 2" xfId="4022" xr:uid="{00000000-0005-0000-0000-0000C61D0000}"/>
    <cellStyle name="Normal 8 3 7 2 2" xfId="8244" xr:uid="{00000000-0005-0000-0000-0000C71D0000}"/>
    <cellStyle name="Normal 8 3 7 2 2 2" xfId="20905" xr:uid="{83E07526-FCA0-4371-9290-FF4BAE7F1BC7}"/>
    <cellStyle name="Normal 8 3 7 2 3" xfId="12476" xr:uid="{FF765C8D-EB59-40B6-9CDC-4B9F5733309D}"/>
    <cellStyle name="Normal 8 3 7 2 4" xfId="16687" xr:uid="{C556571F-56B0-4E9D-A737-92A92252EE9A}"/>
    <cellStyle name="Normal 8 3 7 3" xfId="6099" xr:uid="{00000000-0005-0000-0000-0000C81D0000}"/>
    <cellStyle name="Normal 8 3 7 3 2" xfId="18760" xr:uid="{B12E38A6-618E-4EF8-A3E4-57B841E4E7BC}"/>
    <cellStyle name="Normal 8 3 7 4" xfId="10331" xr:uid="{A34B8B68-772D-4F8B-BD89-37386F11A21E}"/>
    <cellStyle name="Normal 8 3 7 5" xfId="14542" xr:uid="{AA7C4CD1-F5FC-45CF-92B9-1BC0B2ED7A8F}"/>
    <cellStyle name="Normal 8 3 8" xfId="2206" xr:uid="{00000000-0005-0000-0000-0000C91D0000}"/>
    <cellStyle name="Normal 8 3 8 2" xfId="4435" xr:uid="{00000000-0005-0000-0000-0000CA1D0000}"/>
    <cellStyle name="Normal 8 3 8 2 2" xfId="8657" xr:uid="{00000000-0005-0000-0000-0000CB1D0000}"/>
    <cellStyle name="Normal 8 3 8 2 2 2" xfId="21318" xr:uid="{29BD8585-84F2-49FF-9906-E5168A6FCE98}"/>
    <cellStyle name="Normal 8 3 8 2 3" xfId="12889" xr:uid="{AE71D0CC-F66C-4093-89CC-291A0A209D69}"/>
    <cellStyle name="Normal 8 3 8 2 4" xfId="17100" xr:uid="{4AAC68F1-E3C3-4D04-AEC7-B7C9A187AA09}"/>
    <cellStyle name="Normal 8 3 8 3" xfId="6512" xr:uid="{00000000-0005-0000-0000-0000CC1D0000}"/>
    <cellStyle name="Normal 8 3 8 3 2" xfId="19173" xr:uid="{885678D1-E59A-4A70-810A-4E54A6FDDEC5}"/>
    <cellStyle name="Normal 8 3 8 4" xfId="10744" xr:uid="{6F5B06F9-0CAB-4920-A7C2-F95714FD88C3}"/>
    <cellStyle name="Normal 8 3 8 5" xfId="14955" xr:uid="{2C36A090-620D-4802-BBDB-0D46139D76A0}"/>
    <cellStyle name="Normal 8 3 9" xfId="2642" xr:uid="{00000000-0005-0000-0000-0000CD1D0000}"/>
    <cellStyle name="Normal 8 3 9 2" xfId="6925" xr:uid="{00000000-0005-0000-0000-0000CE1D0000}"/>
    <cellStyle name="Normal 8 3 9 2 2" xfId="19586" xr:uid="{EBB6DFF1-B375-45C4-822B-5745408E50AC}"/>
    <cellStyle name="Normal 8 3 9 3" xfId="11157" xr:uid="{2A5679D5-0D2A-4E5E-8171-AF7110B1EF69}"/>
    <cellStyle name="Normal 8 3 9 4" xfId="15368" xr:uid="{03FD7F10-E42B-4DDB-ABDF-100D095368E4}"/>
    <cellStyle name="Normal 8 4" xfId="503" xr:uid="{00000000-0005-0000-0000-0000CF1D0000}"/>
    <cellStyle name="Normal 8 4 10" xfId="9100" xr:uid="{937F443A-2967-408E-A5EE-7087489F86F8}"/>
    <cellStyle name="Normal 8 4 11" xfId="13311" xr:uid="{0247F007-AC82-4399-AB31-4AE34917B1BE}"/>
    <cellStyle name="Normal 8 4 2" xfId="504" xr:uid="{00000000-0005-0000-0000-0000D01D0000}"/>
    <cellStyle name="Normal 8 4 2 10" xfId="13312" xr:uid="{7F483293-07E4-4567-A781-4071BAEF9A91}"/>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20089" xr:uid="{2F01CEE6-5A32-4DE8-AC9C-F2623692EE93}"/>
    <cellStyle name="Normal 8 4 2 2 2 2 3" xfId="11660" xr:uid="{D47D6079-E016-4F7B-BCF6-9C4F677635CC}"/>
    <cellStyle name="Normal 8 4 2 2 2 2 4" xfId="15871" xr:uid="{E9FD449A-DE0E-410D-8D30-5745439EDEB6}"/>
    <cellStyle name="Normal 8 4 2 2 2 3" xfId="5283" xr:uid="{00000000-0005-0000-0000-0000D51D0000}"/>
    <cellStyle name="Normal 8 4 2 2 2 3 2" xfId="17944" xr:uid="{BAE6F9A3-11A3-40D4-A4F1-BEAF9B962C68}"/>
    <cellStyle name="Normal 8 4 2 2 2 4" xfId="9515" xr:uid="{2DDC9258-4670-44B6-B0C2-FA28C62AE417}"/>
    <cellStyle name="Normal 8 4 2 2 2 5" xfId="13726" xr:uid="{55639499-2379-43E7-90C0-54BD5D165B9B}"/>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20502" xr:uid="{A8037B87-D39A-40EC-A820-A865FF440F93}"/>
    <cellStyle name="Normal 8 4 2 2 3 2 3" xfId="12073" xr:uid="{7F540490-8C4C-4999-9986-913FD5E31C35}"/>
    <cellStyle name="Normal 8 4 2 2 3 2 4" xfId="16284" xr:uid="{16961E2C-AE4C-4E7F-8379-56E5317BB7BB}"/>
    <cellStyle name="Normal 8 4 2 2 3 3" xfId="5696" xr:uid="{00000000-0005-0000-0000-0000D91D0000}"/>
    <cellStyle name="Normal 8 4 2 2 3 3 2" xfId="18357" xr:uid="{7FA5DAE9-E61E-4C73-ACF6-075FA6621B1D}"/>
    <cellStyle name="Normal 8 4 2 2 3 4" xfId="9928" xr:uid="{7FF3BE1A-A41B-482B-9627-CDDA2B4D5394}"/>
    <cellStyle name="Normal 8 4 2 2 3 5" xfId="14139" xr:uid="{ED55EBE1-0326-47BF-9672-2D6775D069C3}"/>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20915" xr:uid="{80E365CD-1B0C-4CE4-8429-F2FCD4685428}"/>
    <cellStyle name="Normal 8 4 2 2 4 2 3" xfId="12486" xr:uid="{AA994FBE-95BD-4218-AC7C-F9ABB34213D0}"/>
    <cellStyle name="Normal 8 4 2 2 4 2 4" xfId="16697" xr:uid="{AB9A8784-36F1-47BB-9EDF-363D609CC148}"/>
    <cellStyle name="Normal 8 4 2 2 4 3" xfId="6109" xr:uid="{00000000-0005-0000-0000-0000DD1D0000}"/>
    <cellStyle name="Normal 8 4 2 2 4 3 2" xfId="18770" xr:uid="{9D4BA4F9-1A05-4ACB-9F57-169F7091CFF5}"/>
    <cellStyle name="Normal 8 4 2 2 4 4" xfId="10341" xr:uid="{6AC834FE-FE20-4C22-BE49-2771D50372E1}"/>
    <cellStyle name="Normal 8 4 2 2 4 5" xfId="14552" xr:uid="{282F70BE-44F8-4AC2-9FB2-4C7DCB6A8CDC}"/>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21328" xr:uid="{36C53F92-7ABA-499E-904C-1E4429FB37F1}"/>
    <cellStyle name="Normal 8 4 2 2 5 2 3" xfId="12899" xr:uid="{84F77D99-6E4B-4680-9302-A0552C8BDB60}"/>
    <cellStyle name="Normal 8 4 2 2 5 2 4" xfId="17110" xr:uid="{BEA4BA72-DC48-4840-96CD-79CF8E4ED7B6}"/>
    <cellStyle name="Normal 8 4 2 2 5 3" xfId="6522" xr:uid="{00000000-0005-0000-0000-0000E11D0000}"/>
    <cellStyle name="Normal 8 4 2 2 5 3 2" xfId="19183" xr:uid="{B0781846-259F-47A9-800D-F8D0912B0403}"/>
    <cellStyle name="Normal 8 4 2 2 5 4" xfId="10754" xr:uid="{9D253BF8-BF02-430D-B404-C79EB69409F2}"/>
    <cellStyle name="Normal 8 4 2 2 5 5" xfId="14965" xr:uid="{46BAE13B-7B2B-4CB2-BAC1-3ABAC2830486}"/>
    <cellStyle name="Normal 8 4 2 2 6" xfId="2652" xr:uid="{00000000-0005-0000-0000-0000E21D0000}"/>
    <cellStyle name="Normal 8 4 2 2 6 2" xfId="6935" xr:uid="{00000000-0005-0000-0000-0000E31D0000}"/>
    <cellStyle name="Normal 8 4 2 2 6 2 2" xfId="19596" xr:uid="{CAC64AA7-F805-449C-85D2-EBFC5F20F8FF}"/>
    <cellStyle name="Normal 8 4 2 2 6 3" xfId="11167" xr:uid="{1D3AE764-0B03-4FDA-97B6-BF3849B2171C}"/>
    <cellStyle name="Normal 8 4 2 2 6 4" xfId="15378" xr:uid="{49B43AA8-11EC-4325-98AD-7565A7390618}"/>
    <cellStyle name="Normal 8 4 2 2 7" xfId="4870" xr:uid="{00000000-0005-0000-0000-0000E41D0000}"/>
    <cellStyle name="Normal 8 4 2 2 7 2" xfId="17531" xr:uid="{11EEF4A6-359B-4D30-B3E7-03A1F46F5C81}"/>
    <cellStyle name="Normal 8 4 2 2 8" xfId="9102" xr:uid="{6357A676-8C79-4FD6-BA7A-F52D01E62537}"/>
    <cellStyle name="Normal 8 4 2 2 9" xfId="13313" xr:uid="{C73DDD43-1E16-4716-9488-A77763CF31AC}"/>
    <cellStyle name="Normal 8 4 2 3" xfId="971" xr:uid="{00000000-0005-0000-0000-0000E51D0000}"/>
    <cellStyle name="Normal 8 4 2 3 2" xfId="3205" xr:uid="{00000000-0005-0000-0000-0000E61D0000}"/>
    <cellStyle name="Normal 8 4 2 3 2 2" xfId="7427" xr:uid="{00000000-0005-0000-0000-0000E71D0000}"/>
    <cellStyle name="Normal 8 4 2 3 2 2 2" xfId="20088" xr:uid="{0209A24D-E619-48B0-8483-CD8B25DFF02F}"/>
    <cellStyle name="Normal 8 4 2 3 2 3" xfId="11659" xr:uid="{AEC12595-3A5A-436D-8351-7C9B4404CDA5}"/>
    <cellStyle name="Normal 8 4 2 3 2 4" xfId="15870" xr:uid="{352D18EA-F382-477F-BA73-8B9C99969F5F}"/>
    <cellStyle name="Normal 8 4 2 3 3" xfId="5282" xr:uid="{00000000-0005-0000-0000-0000E81D0000}"/>
    <cellStyle name="Normal 8 4 2 3 3 2" xfId="17943" xr:uid="{7EC1CEBB-E5DF-4161-B511-047F12A662C8}"/>
    <cellStyle name="Normal 8 4 2 3 4" xfId="9514" xr:uid="{FB131AF4-5415-449B-AA31-E465F469C31B}"/>
    <cellStyle name="Normal 8 4 2 3 5" xfId="13725" xr:uid="{44EA5818-4679-4794-8188-5817AE4295D4}"/>
    <cellStyle name="Normal 8 4 2 4" xfId="1388" xr:uid="{00000000-0005-0000-0000-0000E91D0000}"/>
    <cellStyle name="Normal 8 4 2 4 2" xfId="3618" xr:uid="{00000000-0005-0000-0000-0000EA1D0000}"/>
    <cellStyle name="Normal 8 4 2 4 2 2" xfId="7840" xr:uid="{00000000-0005-0000-0000-0000EB1D0000}"/>
    <cellStyle name="Normal 8 4 2 4 2 2 2" xfId="20501" xr:uid="{8F2C8DC4-E97E-48F5-90F3-7890F4C64065}"/>
    <cellStyle name="Normal 8 4 2 4 2 3" xfId="12072" xr:uid="{8CDB9324-4E63-499A-8961-C0C5761F08D5}"/>
    <cellStyle name="Normal 8 4 2 4 2 4" xfId="16283" xr:uid="{68761661-A33C-4E2D-95B2-2E6915C182A4}"/>
    <cellStyle name="Normal 8 4 2 4 3" xfId="5695" xr:uid="{00000000-0005-0000-0000-0000EC1D0000}"/>
    <cellStyle name="Normal 8 4 2 4 3 2" xfId="18356" xr:uid="{7D6D3904-4CAD-4317-ABE8-9E4FEFB5C290}"/>
    <cellStyle name="Normal 8 4 2 4 4" xfId="9927" xr:uid="{F36999A6-6358-46BA-91A3-462B940FE5EF}"/>
    <cellStyle name="Normal 8 4 2 4 5" xfId="14138" xr:uid="{CEFCE82C-AAEC-4166-82D2-163D546D4229}"/>
    <cellStyle name="Normal 8 4 2 5" xfId="1801" xr:uid="{00000000-0005-0000-0000-0000ED1D0000}"/>
    <cellStyle name="Normal 8 4 2 5 2" xfId="4031" xr:uid="{00000000-0005-0000-0000-0000EE1D0000}"/>
    <cellStyle name="Normal 8 4 2 5 2 2" xfId="8253" xr:uid="{00000000-0005-0000-0000-0000EF1D0000}"/>
    <cellStyle name="Normal 8 4 2 5 2 2 2" xfId="20914" xr:uid="{B40A3245-4810-4C34-9D62-7D0C229BB371}"/>
    <cellStyle name="Normal 8 4 2 5 2 3" xfId="12485" xr:uid="{BC1D9E6D-C025-422F-8AD8-EE6EE1676414}"/>
    <cellStyle name="Normal 8 4 2 5 2 4" xfId="16696" xr:uid="{138BF6A0-ECF5-4E66-A809-7E302B00FAA7}"/>
    <cellStyle name="Normal 8 4 2 5 3" xfId="6108" xr:uid="{00000000-0005-0000-0000-0000F01D0000}"/>
    <cellStyle name="Normal 8 4 2 5 3 2" xfId="18769" xr:uid="{57C92618-6558-47DF-A482-00FD5AAC21BD}"/>
    <cellStyle name="Normal 8 4 2 5 4" xfId="10340" xr:uid="{36B7037F-D178-4098-B71E-DA1ADCC3A5F5}"/>
    <cellStyle name="Normal 8 4 2 5 5" xfId="14551" xr:uid="{79C59593-D06D-47B1-A6C9-35A026719AA9}"/>
    <cellStyle name="Normal 8 4 2 6" xfId="2215" xr:uid="{00000000-0005-0000-0000-0000F11D0000}"/>
    <cellStyle name="Normal 8 4 2 6 2" xfId="4444" xr:uid="{00000000-0005-0000-0000-0000F21D0000}"/>
    <cellStyle name="Normal 8 4 2 6 2 2" xfId="8666" xr:uid="{00000000-0005-0000-0000-0000F31D0000}"/>
    <cellStyle name="Normal 8 4 2 6 2 2 2" xfId="21327" xr:uid="{78F6761A-2C6A-4797-95FC-07CC1E997E7B}"/>
    <cellStyle name="Normal 8 4 2 6 2 3" xfId="12898" xr:uid="{1B605649-A3AD-430B-ADAA-993AB6C7D929}"/>
    <cellStyle name="Normal 8 4 2 6 2 4" xfId="17109" xr:uid="{C2769270-30D7-45FA-8D0A-B1CB6641B796}"/>
    <cellStyle name="Normal 8 4 2 6 3" xfId="6521" xr:uid="{00000000-0005-0000-0000-0000F41D0000}"/>
    <cellStyle name="Normal 8 4 2 6 3 2" xfId="19182" xr:uid="{15252DB6-DA44-44A1-AAA7-D144A7FD0B6C}"/>
    <cellStyle name="Normal 8 4 2 6 4" xfId="10753" xr:uid="{F883AE80-8A8C-4612-8DC5-43A9038B93E6}"/>
    <cellStyle name="Normal 8 4 2 6 5" xfId="14964" xr:uid="{C88E5902-3053-47ED-92A2-188E21823AA9}"/>
    <cellStyle name="Normal 8 4 2 7" xfId="2651" xr:uid="{00000000-0005-0000-0000-0000F51D0000}"/>
    <cellStyle name="Normal 8 4 2 7 2" xfId="6934" xr:uid="{00000000-0005-0000-0000-0000F61D0000}"/>
    <cellStyle name="Normal 8 4 2 7 2 2" xfId="19595" xr:uid="{DFC43C68-10D2-4F0E-BFE8-D3DDCE57F877}"/>
    <cellStyle name="Normal 8 4 2 7 3" xfId="11166" xr:uid="{880505D6-6194-46F9-849B-A4FF724E4C10}"/>
    <cellStyle name="Normal 8 4 2 7 4" xfId="15377" xr:uid="{23A9840A-CEF9-4C06-B911-ADE7B7A500B1}"/>
    <cellStyle name="Normal 8 4 2 8" xfId="4869" xr:uid="{00000000-0005-0000-0000-0000F71D0000}"/>
    <cellStyle name="Normal 8 4 2 8 2" xfId="17530" xr:uid="{2CE17CD7-CF8E-41E8-932D-AC4316ACA40E}"/>
    <cellStyle name="Normal 8 4 2 9" xfId="9101" xr:uid="{470B2E62-DB86-41AD-9612-FD777C064F67}"/>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20090" xr:uid="{E93AEFD2-461F-4EA1-B38F-348438647713}"/>
    <cellStyle name="Normal 8 4 3 2 2 3" xfId="11661" xr:uid="{EBD0F3A1-EA6A-421E-B2A2-C23BC500A964}"/>
    <cellStyle name="Normal 8 4 3 2 2 4" xfId="15872" xr:uid="{5082E0E1-25F0-4790-8B99-A56DC9715E6C}"/>
    <cellStyle name="Normal 8 4 3 2 3" xfId="5284" xr:uid="{00000000-0005-0000-0000-0000FC1D0000}"/>
    <cellStyle name="Normal 8 4 3 2 3 2" xfId="17945" xr:uid="{CF0504F9-7946-4E69-ADDE-6416F096C3BE}"/>
    <cellStyle name="Normal 8 4 3 2 4" xfId="9516" xr:uid="{D8E8B093-367D-43C4-ACCE-362D4C07B20E}"/>
    <cellStyle name="Normal 8 4 3 2 5" xfId="13727" xr:uid="{8522D9B2-92C0-431E-8545-831641A42620}"/>
    <cellStyle name="Normal 8 4 3 3" xfId="1390" xr:uid="{00000000-0005-0000-0000-0000FD1D0000}"/>
    <cellStyle name="Normal 8 4 3 3 2" xfId="3620" xr:uid="{00000000-0005-0000-0000-0000FE1D0000}"/>
    <cellStyle name="Normal 8 4 3 3 2 2" xfId="7842" xr:uid="{00000000-0005-0000-0000-0000FF1D0000}"/>
    <cellStyle name="Normal 8 4 3 3 2 2 2" xfId="20503" xr:uid="{A135E628-F57F-49D5-AC5D-B9F686A476DC}"/>
    <cellStyle name="Normal 8 4 3 3 2 3" xfId="12074" xr:uid="{88245EA4-7950-4BCC-A02F-FEBBB82C330F}"/>
    <cellStyle name="Normal 8 4 3 3 2 4" xfId="16285" xr:uid="{BB6623E5-9172-460B-85BD-47B2303A867E}"/>
    <cellStyle name="Normal 8 4 3 3 3" xfId="5697" xr:uid="{00000000-0005-0000-0000-0000001E0000}"/>
    <cellStyle name="Normal 8 4 3 3 3 2" xfId="18358" xr:uid="{A89F7FDF-E595-4D96-B75F-9F5092BB6B93}"/>
    <cellStyle name="Normal 8 4 3 3 4" xfId="9929" xr:uid="{49AFC9AD-4291-47E0-8912-CEE4F5165275}"/>
    <cellStyle name="Normal 8 4 3 3 5" xfId="14140" xr:uid="{25E31E3F-9F19-423F-A8B4-BF6D593E0EBD}"/>
    <cellStyle name="Normal 8 4 3 4" xfId="1803" xr:uid="{00000000-0005-0000-0000-0000011E0000}"/>
    <cellStyle name="Normal 8 4 3 4 2" xfId="4033" xr:uid="{00000000-0005-0000-0000-0000021E0000}"/>
    <cellStyle name="Normal 8 4 3 4 2 2" xfId="8255" xr:uid="{00000000-0005-0000-0000-0000031E0000}"/>
    <cellStyle name="Normal 8 4 3 4 2 2 2" xfId="20916" xr:uid="{5899B739-30C2-4B17-8736-78A13D2F4869}"/>
    <cellStyle name="Normal 8 4 3 4 2 3" xfId="12487" xr:uid="{D1428038-773F-4CEE-BBBF-9DE9EC8FBFDF}"/>
    <cellStyle name="Normal 8 4 3 4 2 4" xfId="16698" xr:uid="{F200B637-6D7C-4350-8181-E22397500AD4}"/>
    <cellStyle name="Normal 8 4 3 4 3" xfId="6110" xr:uid="{00000000-0005-0000-0000-0000041E0000}"/>
    <cellStyle name="Normal 8 4 3 4 3 2" xfId="18771" xr:uid="{3DA4361A-1CC1-44FD-B1BA-1984AE27C63E}"/>
    <cellStyle name="Normal 8 4 3 4 4" xfId="10342" xr:uid="{D47B9F93-E16A-4439-8EC0-0C29494D5F4C}"/>
    <cellStyle name="Normal 8 4 3 4 5" xfId="14553" xr:uid="{DC53F913-A608-4F9A-ABC9-F0C28CD41A25}"/>
    <cellStyle name="Normal 8 4 3 5" xfId="2217" xr:uid="{00000000-0005-0000-0000-0000051E0000}"/>
    <cellStyle name="Normal 8 4 3 5 2" xfId="4446" xr:uid="{00000000-0005-0000-0000-0000061E0000}"/>
    <cellStyle name="Normal 8 4 3 5 2 2" xfId="8668" xr:uid="{00000000-0005-0000-0000-0000071E0000}"/>
    <cellStyle name="Normal 8 4 3 5 2 2 2" xfId="21329" xr:uid="{24F5D5B9-AC4A-4C34-84CA-61FD503A9DE4}"/>
    <cellStyle name="Normal 8 4 3 5 2 3" xfId="12900" xr:uid="{AED14FB2-3A9A-4BE3-AB55-6FCB94667EB9}"/>
    <cellStyle name="Normal 8 4 3 5 2 4" xfId="17111" xr:uid="{6AD4B4CB-83B8-484E-BF17-BFBECA33AE6D}"/>
    <cellStyle name="Normal 8 4 3 5 3" xfId="6523" xr:uid="{00000000-0005-0000-0000-0000081E0000}"/>
    <cellStyle name="Normal 8 4 3 5 3 2" xfId="19184" xr:uid="{2928ECF3-8E51-4A0C-99AF-749F9AB4EDD8}"/>
    <cellStyle name="Normal 8 4 3 5 4" xfId="10755" xr:uid="{AA128E07-C139-461E-AFBB-6E6F91BB3855}"/>
    <cellStyle name="Normal 8 4 3 5 5" xfId="14966" xr:uid="{7B9CAB52-5DCA-497F-9C97-ADF4DE257A0F}"/>
    <cellStyle name="Normal 8 4 3 6" xfId="2653" xr:uid="{00000000-0005-0000-0000-0000091E0000}"/>
    <cellStyle name="Normal 8 4 3 6 2" xfId="6936" xr:uid="{00000000-0005-0000-0000-00000A1E0000}"/>
    <cellStyle name="Normal 8 4 3 6 2 2" xfId="19597" xr:uid="{C3D94B05-1AC0-404A-BA38-8E2DBE67FF39}"/>
    <cellStyle name="Normal 8 4 3 6 3" xfId="11168" xr:uid="{6EC60411-B5E1-4162-AA20-448CCDCB5CE9}"/>
    <cellStyle name="Normal 8 4 3 6 4" xfId="15379" xr:uid="{C52485B8-9FC7-4AFE-AB3B-1A1D134E027A}"/>
    <cellStyle name="Normal 8 4 3 7" xfId="4871" xr:uid="{00000000-0005-0000-0000-00000B1E0000}"/>
    <cellStyle name="Normal 8 4 3 7 2" xfId="17532" xr:uid="{88373531-4A7A-4678-A00A-FF5D1FE7879F}"/>
    <cellStyle name="Normal 8 4 3 8" xfId="9103" xr:uid="{7E7C93AF-ED30-47AE-A799-098B469206E1}"/>
    <cellStyle name="Normal 8 4 3 9" xfId="13314" xr:uid="{86F051A5-A998-4FB9-8B00-E55A341D2BE9}"/>
    <cellStyle name="Normal 8 4 4" xfId="970" xr:uid="{00000000-0005-0000-0000-00000C1E0000}"/>
    <cellStyle name="Normal 8 4 4 2" xfId="3204" xr:uid="{00000000-0005-0000-0000-00000D1E0000}"/>
    <cellStyle name="Normal 8 4 4 2 2" xfId="7426" xr:uid="{00000000-0005-0000-0000-00000E1E0000}"/>
    <cellStyle name="Normal 8 4 4 2 2 2" xfId="20087" xr:uid="{05021648-2523-4FEC-97EA-0213CD9F0BDE}"/>
    <cellStyle name="Normal 8 4 4 2 3" xfId="11658" xr:uid="{8C61AC47-63AB-4181-A6DE-93FD87FBC514}"/>
    <cellStyle name="Normal 8 4 4 2 4" xfId="15869" xr:uid="{16C9E357-309C-405B-B28D-02144FBC2BAF}"/>
    <cellStyle name="Normal 8 4 4 3" xfId="5281" xr:uid="{00000000-0005-0000-0000-00000F1E0000}"/>
    <cellStyle name="Normal 8 4 4 3 2" xfId="17942" xr:uid="{625F863E-D765-4535-9FCB-E492D73552E3}"/>
    <cellStyle name="Normal 8 4 4 4" xfId="9513" xr:uid="{108B048B-D73F-419B-9A0A-2BDE65DDEFB1}"/>
    <cellStyle name="Normal 8 4 4 5" xfId="13724" xr:uid="{DF9D73BD-7DCD-478C-AFAB-CE2123CA4725}"/>
    <cellStyle name="Normal 8 4 5" xfId="1387" xr:uid="{00000000-0005-0000-0000-0000101E0000}"/>
    <cellStyle name="Normal 8 4 5 2" xfId="3617" xr:uid="{00000000-0005-0000-0000-0000111E0000}"/>
    <cellStyle name="Normal 8 4 5 2 2" xfId="7839" xr:uid="{00000000-0005-0000-0000-0000121E0000}"/>
    <cellStyle name="Normal 8 4 5 2 2 2" xfId="20500" xr:uid="{957C1B7E-0685-43BF-986C-12506B8DB55E}"/>
    <cellStyle name="Normal 8 4 5 2 3" xfId="12071" xr:uid="{8FE94E79-116E-45AE-AD35-486DA45FC175}"/>
    <cellStyle name="Normal 8 4 5 2 4" xfId="16282" xr:uid="{D451C0B3-975A-46A7-A202-1D0C3CD8EED0}"/>
    <cellStyle name="Normal 8 4 5 3" xfId="5694" xr:uid="{00000000-0005-0000-0000-0000131E0000}"/>
    <cellStyle name="Normal 8 4 5 3 2" xfId="18355" xr:uid="{0C55D646-FD38-4729-B5FF-2832AF421BC2}"/>
    <cellStyle name="Normal 8 4 5 4" xfId="9926" xr:uid="{F00B0C79-7C61-4152-B5FD-683008FA6C2B}"/>
    <cellStyle name="Normal 8 4 5 5" xfId="14137" xr:uid="{D1FE3F08-9405-49B7-9AD0-511E947D83FF}"/>
    <cellStyle name="Normal 8 4 6" xfId="1800" xr:uid="{00000000-0005-0000-0000-0000141E0000}"/>
    <cellStyle name="Normal 8 4 6 2" xfId="4030" xr:uid="{00000000-0005-0000-0000-0000151E0000}"/>
    <cellStyle name="Normal 8 4 6 2 2" xfId="8252" xr:uid="{00000000-0005-0000-0000-0000161E0000}"/>
    <cellStyle name="Normal 8 4 6 2 2 2" xfId="20913" xr:uid="{CE44677E-A46A-4A05-941D-765123E4527A}"/>
    <cellStyle name="Normal 8 4 6 2 3" xfId="12484" xr:uid="{C3266404-36EA-4468-BDDB-759CFD6B69B6}"/>
    <cellStyle name="Normal 8 4 6 2 4" xfId="16695" xr:uid="{7E70799B-8119-48D6-A3AD-8412143D42C3}"/>
    <cellStyle name="Normal 8 4 6 3" xfId="6107" xr:uid="{00000000-0005-0000-0000-0000171E0000}"/>
    <cellStyle name="Normal 8 4 6 3 2" xfId="18768" xr:uid="{89DFE162-9C9A-4FB0-9096-6553E80514EE}"/>
    <cellStyle name="Normal 8 4 6 4" xfId="10339" xr:uid="{5C6AB9D6-C1AA-48E2-924D-2ED600B936BA}"/>
    <cellStyle name="Normal 8 4 6 5" xfId="14550" xr:uid="{5FB250CF-8C28-4085-988B-9044B7409011}"/>
    <cellStyle name="Normal 8 4 7" xfId="2214" xr:uid="{00000000-0005-0000-0000-0000181E0000}"/>
    <cellStyle name="Normal 8 4 7 2" xfId="4443" xr:uid="{00000000-0005-0000-0000-0000191E0000}"/>
    <cellStyle name="Normal 8 4 7 2 2" xfId="8665" xr:uid="{00000000-0005-0000-0000-00001A1E0000}"/>
    <cellStyle name="Normal 8 4 7 2 2 2" xfId="21326" xr:uid="{073EC1F0-B670-454B-8688-61754E383D78}"/>
    <cellStyle name="Normal 8 4 7 2 3" xfId="12897" xr:uid="{8E7D5B8D-E740-4545-9284-C7F88923AF7E}"/>
    <cellStyle name="Normal 8 4 7 2 4" xfId="17108" xr:uid="{8991D5AE-4BEB-4D27-88AC-C4ADCA5D2D5F}"/>
    <cellStyle name="Normal 8 4 7 3" xfId="6520" xr:uid="{00000000-0005-0000-0000-00001B1E0000}"/>
    <cellStyle name="Normal 8 4 7 3 2" xfId="19181" xr:uid="{F084524D-0FFB-4035-A8A8-B08B7BD04829}"/>
    <cellStyle name="Normal 8 4 7 4" xfId="10752" xr:uid="{C5957160-5A37-41B9-889B-67EA8E0D3469}"/>
    <cellStyle name="Normal 8 4 7 5" xfId="14963" xr:uid="{0D7FC746-4971-4BDB-A02F-93F565A6781C}"/>
    <cellStyle name="Normal 8 4 8" xfId="2650" xr:uid="{00000000-0005-0000-0000-00001C1E0000}"/>
    <cellStyle name="Normal 8 4 8 2" xfId="6933" xr:uid="{00000000-0005-0000-0000-00001D1E0000}"/>
    <cellStyle name="Normal 8 4 8 2 2" xfId="19594" xr:uid="{7872B528-FFB2-40D0-9C2B-BF8CE7440318}"/>
    <cellStyle name="Normal 8 4 8 3" xfId="11165" xr:uid="{E46F2832-A59A-490E-AEEE-5EA06790B47D}"/>
    <cellStyle name="Normal 8 4 8 4" xfId="15376" xr:uid="{1DA339B5-BD0A-4770-B17C-4590E76356E9}"/>
    <cellStyle name="Normal 8 4 9" xfId="4868" xr:uid="{00000000-0005-0000-0000-00001E1E0000}"/>
    <cellStyle name="Normal 8 4 9 2" xfId="17529" xr:uid="{C74B6306-0085-4B3B-88B1-51872FE9054A}"/>
    <cellStyle name="Normal 8 5" xfId="507" xr:uid="{00000000-0005-0000-0000-00001F1E0000}"/>
    <cellStyle name="Normal 8 5 10" xfId="13315" xr:uid="{C8911972-80FB-409C-A21A-049A30E273D4}"/>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20092" xr:uid="{5EF6FCF8-B505-41B7-8174-EC34C6081AA7}"/>
    <cellStyle name="Normal 8 5 2 2 2 3" xfId="11663" xr:uid="{27B1EACE-A74F-4377-A0D8-82FB677E643B}"/>
    <cellStyle name="Normal 8 5 2 2 2 4" xfId="15874" xr:uid="{958DF0E7-5A83-40B5-BE57-B09134889D40}"/>
    <cellStyle name="Normal 8 5 2 2 3" xfId="5286" xr:uid="{00000000-0005-0000-0000-0000241E0000}"/>
    <cellStyle name="Normal 8 5 2 2 3 2" xfId="17947" xr:uid="{30EC39E9-ABFC-4346-8174-A943FF7DF4C9}"/>
    <cellStyle name="Normal 8 5 2 2 4" xfId="9518" xr:uid="{10A9F0AF-EB3B-4EDE-A8FA-50B9504793D8}"/>
    <cellStyle name="Normal 8 5 2 2 5" xfId="13729" xr:uid="{E0FB77BD-82C7-4348-9C35-E1CAB54EE2C4}"/>
    <cellStyle name="Normal 8 5 2 3" xfId="1392" xr:uid="{00000000-0005-0000-0000-0000251E0000}"/>
    <cellStyle name="Normal 8 5 2 3 2" xfId="3622" xr:uid="{00000000-0005-0000-0000-0000261E0000}"/>
    <cellStyle name="Normal 8 5 2 3 2 2" xfId="7844" xr:uid="{00000000-0005-0000-0000-0000271E0000}"/>
    <cellStyle name="Normal 8 5 2 3 2 2 2" xfId="20505" xr:uid="{457CEEF3-4142-44C3-B568-2C394BB76A23}"/>
    <cellStyle name="Normal 8 5 2 3 2 3" xfId="12076" xr:uid="{6BC2132E-CFB6-47E0-8A53-197AD4D00200}"/>
    <cellStyle name="Normal 8 5 2 3 2 4" xfId="16287" xr:uid="{2FA75BE1-5F3A-4782-A8C1-297F65EC00F7}"/>
    <cellStyle name="Normal 8 5 2 3 3" xfId="5699" xr:uid="{00000000-0005-0000-0000-0000281E0000}"/>
    <cellStyle name="Normal 8 5 2 3 3 2" xfId="18360" xr:uid="{DD7E7B0A-318D-4780-9AAF-E04F3C763C17}"/>
    <cellStyle name="Normal 8 5 2 3 4" xfId="9931" xr:uid="{39FCA190-E32E-4CE0-91FE-95D998142F6A}"/>
    <cellStyle name="Normal 8 5 2 3 5" xfId="14142" xr:uid="{63476576-53BB-4E6F-91F7-F9A3FEAD8CC3}"/>
    <cellStyle name="Normal 8 5 2 4" xfId="1805" xr:uid="{00000000-0005-0000-0000-0000291E0000}"/>
    <cellStyle name="Normal 8 5 2 4 2" xfId="4035" xr:uid="{00000000-0005-0000-0000-00002A1E0000}"/>
    <cellStyle name="Normal 8 5 2 4 2 2" xfId="8257" xr:uid="{00000000-0005-0000-0000-00002B1E0000}"/>
    <cellStyle name="Normal 8 5 2 4 2 2 2" xfId="20918" xr:uid="{4445EB94-AA85-4F28-880C-462787C38634}"/>
    <cellStyle name="Normal 8 5 2 4 2 3" xfId="12489" xr:uid="{4E5C922E-ADF1-4C21-9E55-8549DB249CC0}"/>
    <cellStyle name="Normal 8 5 2 4 2 4" xfId="16700" xr:uid="{B04BA663-D10F-49EC-A805-CBDBE485950A}"/>
    <cellStyle name="Normal 8 5 2 4 3" xfId="6112" xr:uid="{00000000-0005-0000-0000-00002C1E0000}"/>
    <cellStyle name="Normal 8 5 2 4 3 2" xfId="18773" xr:uid="{BD1DCEB5-0490-45D2-A2E2-AFAD8867A73A}"/>
    <cellStyle name="Normal 8 5 2 4 4" xfId="10344" xr:uid="{0DF6CFA1-2CB2-4291-9C4E-F2B7CCA1EA46}"/>
    <cellStyle name="Normal 8 5 2 4 5" xfId="14555" xr:uid="{D636113B-3AE7-423E-B3B4-96D22C470500}"/>
    <cellStyle name="Normal 8 5 2 5" xfId="2219" xr:uid="{00000000-0005-0000-0000-00002D1E0000}"/>
    <cellStyle name="Normal 8 5 2 5 2" xfId="4448" xr:uid="{00000000-0005-0000-0000-00002E1E0000}"/>
    <cellStyle name="Normal 8 5 2 5 2 2" xfId="8670" xr:uid="{00000000-0005-0000-0000-00002F1E0000}"/>
    <cellStyle name="Normal 8 5 2 5 2 2 2" xfId="21331" xr:uid="{FCD1A91E-7B38-4FF9-84F6-BF47B6193C5C}"/>
    <cellStyle name="Normal 8 5 2 5 2 3" xfId="12902" xr:uid="{9BC9EC0F-9A4C-4453-A551-62345A72C3AC}"/>
    <cellStyle name="Normal 8 5 2 5 2 4" xfId="17113" xr:uid="{5B751906-2671-4D6A-98F0-E0FCDE216D24}"/>
    <cellStyle name="Normal 8 5 2 5 3" xfId="6525" xr:uid="{00000000-0005-0000-0000-0000301E0000}"/>
    <cellStyle name="Normal 8 5 2 5 3 2" xfId="19186" xr:uid="{5B834AE9-4BD6-48EE-86B3-A975E9A87FF9}"/>
    <cellStyle name="Normal 8 5 2 5 4" xfId="10757" xr:uid="{416AA5FF-D8F9-4664-95E9-3B838CB11158}"/>
    <cellStyle name="Normal 8 5 2 5 5" xfId="14968" xr:uid="{87373F6D-1865-41C9-AED5-5FE32CD7BE55}"/>
    <cellStyle name="Normal 8 5 2 6" xfId="2655" xr:uid="{00000000-0005-0000-0000-0000311E0000}"/>
    <cellStyle name="Normal 8 5 2 6 2" xfId="6938" xr:uid="{00000000-0005-0000-0000-0000321E0000}"/>
    <cellStyle name="Normal 8 5 2 6 2 2" xfId="19599" xr:uid="{513A5A7B-655A-42AC-BF08-E887E0157A44}"/>
    <cellStyle name="Normal 8 5 2 6 3" xfId="11170" xr:uid="{EE7410C0-E184-4B43-B198-051380CF8710}"/>
    <cellStyle name="Normal 8 5 2 6 4" xfId="15381" xr:uid="{7068C906-572C-4559-9D46-0DB05D272A11}"/>
    <cellStyle name="Normal 8 5 2 7" xfId="4873" xr:uid="{00000000-0005-0000-0000-0000331E0000}"/>
    <cellStyle name="Normal 8 5 2 7 2" xfId="17534" xr:uid="{36BB66E4-D5D9-44C3-9ED9-16A815DCEAFB}"/>
    <cellStyle name="Normal 8 5 2 8" xfId="9105" xr:uid="{34CB0BFC-F4F8-4239-BB12-5D65BCC80691}"/>
    <cellStyle name="Normal 8 5 2 9" xfId="13316" xr:uid="{BA5BE65D-7A60-4472-B30D-C183E3D50FD1}"/>
    <cellStyle name="Normal 8 5 3" xfId="974" xr:uid="{00000000-0005-0000-0000-0000341E0000}"/>
    <cellStyle name="Normal 8 5 3 2" xfId="3208" xr:uid="{00000000-0005-0000-0000-0000351E0000}"/>
    <cellStyle name="Normal 8 5 3 2 2" xfId="7430" xr:uid="{00000000-0005-0000-0000-0000361E0000}"/>
    <cellStyle name="Normal 8 5 3 2 2 2" xfId="20091" xr:uid="{D2E149E5-BC38-4F1F-A24E-B1BC8BC40F12}"/>
    <cellStyle name="Normal 8 5 3 2 3" xfId="11662" xr:uid="{B6213A4A-F75D-47E2-9727-83E2D9614973}"/>
    <cellStyle name="Normal 8 5 3 2 4" xfId="15873" xr:uid="{E9E42828-AD43-4A26-A56A-7174D34D7A5A}"/>
    <cellStyle name="Normal 8 5 3 3" xfId="5285" xr:uid="{00000000-0005-0000-0000-0000371E0000}"/>
    <cellStyle name="Normal 8 5 3 3 2" xfId="17946" xr:uid="{3D9BBDBB-A5D2-4CA2-8C84-3FB7E6BE67E1}"/>
    <cellStyle name="Normal 8 5 3 4" xfId="9517" xr:uid="{CBA477A8-8069-4490-9FA1-27807840BB89}"/>
    <cellStyle name="Normal 8 5 3 5" xfId="13728" xr:uid="{25751F68-F89D-4321-86E8-95D77DFBBB23}"/>
    <cellStyle name="Normal 8 5 4" xfId="1391" xr:uid="{00000000-0005-0000-0000-0000381E0000}"/>
    <cellStyle name="Normal 8 5 4 2" xfId="3621" xr:uid="{00000000-0005-0000-0000-0000391E0000}"/>
    <cellStyle name="Normal 8 5 4 2 2" xfId="7843" xr:uid="{00000000-0005-0000-0000-00003A1E0000}"/>
    <cellStyle name="Normal 8 5 4 2 2 2" xfId="20504" xr:uid="{9F212A3A-7A4D-4683-B17D-2F429C6B7E24}"/>
    <cellStyle name="Normal 8 5 4 2 3" xfId="12075" xr:uid="{E1724927-9B3A-48EE-9888-889920FDA77F}"/>
    <cellStyle name="Normal 8 5 4 2 4" xfId="16286" xr:uid="{3F181CD2-BB9E-4F22-B7D1-F74B2796C3D2}"/>
    <cellStyle name="Normal 8 5 4 3" xfId="5698" xr:uid="{00000000-0005-0000-0000-00003B1E0000}"/>
    <cellStyle name="Normal 8 5 4 3 2" xfId="18359" xr:uid="{C685AAC6-6920-47CC-AA29-F46964A6353A}"/>
    <cellStyle name="Normal 8 5 4 4" xfId="9930" xr:uid="{95F16885-1A17-4C02-93E7-1669B6E17BA0}"/>
    <cellStyle name="Normal 8 5 4 5" xfId="14141" xr:uid="{20D7E7AF-FE20-4305-B502-ED807F875417}"/>
    <cellStyle name="Normal 8 5 5" xfId="1804" xr:uid="{00000000-0005-0000-0000-00003C1E0000}"/>
    <cellStyle name="Normal 8 5 5 2" xfId="4034" xr:uid="{00000000-0005-0000-0000-00003D1E0000}"/>
    <cellStyle name="Normal 8 5 5 2 2" xfId="8256" xr:uid="{00000000-0005-0000-0000-00003E1E0000}"/>
    <cellStyle name="Normal 8 5 5 2 2 2" xfId="20917" xr:uid="{83184015-83D4-474C-BB15-2B82356715D0}"/>
    <cellStyle name="Normal 8 5 5 2 3" xfId="12488" xr:uid="{00ED714C-A433-4E70-976F-C4BF41457210}"/>
    <cellStyle name="Normal 8 5 5 2 4" xfId="16699" xr:uid="{3731849D-93C6-4750-AF78-1C409C08CBAD}"/>
    <cellStyle name="Normal 8 5 5 3" xfId="6111" xr:uid="{00000000-0005-0000-0000-00003F1E0000}"/>
    <cellStyle name="Normal 8 5 5 3 2" xfId="18772" xr:uid="{EBCB96A8-1A5C-4086-87BB-3EC0C185E72A}"/>
    <cellStyle name="Normal 8 5 5 4" xfId="10343" xr:uid="{18C5CE3C-E6C9-4CDB-8DF9-2757B03DB396}"/>
    <cellStyle name="Normal 8 5 5 5" xfId="14554" xr:uid="{D0BC8870-1607-4FFE-9F5F-77F856608377}"/>
    <cellStyle name="Normal 8 5 6" xfId="2218" xr:uid="{00000000-0005-0000-0000-0000401E0000}"/>
    <cellStyle name="Normal 8 5 6 2" xfId="4447" xr:uid="{00000000-0005-0000-0000-0000411E0000}"/>
    <cellStyle name="Normal 8 5 6 2 2" xfId="8669" xr:uid="{00000000-0005-0000-0000-0000421E0000}"/>
    <cellStyle name="Normal 8 5 6 2 2 2" xfId="21330" xr:uid="{71424D78-2DFC-42F1-8A42-5697529305EA}"/>
    <cellStyle name="Normal 8 5 6 2 3" xfId="12901" xr:uid="{800D4BCB-94A6-4D1C-A459-D7E38E39A015}"/>
    <cellStyle name="Normal 8 5 6 2 4" xfId="17112" xr:uid="{EEB7CD37-ECA9-4079-9943-C815ED439F1C}"/>
    <cellStyle name="Normal 8 5 6 3" xfId="6524" xr:uid="{00000000-0005-0000-0000-0000431E0000}"/>
    <cellStyle name="Normal 8 5 6 3 2" xfId="19185" xr:uid="{F0FD7F4D-AEA0-4BBD-9778-C81CADBDD924}"/>
    <cellStyle name="Normal 8 5 6 4" xfId="10756" xr:uid="{6D96BF86-0735-4AA7-AA21-D369CC6D9F20}"/>
    <cellStyle name="Normal 8 5 6 5" xfId="14967" xr:uid="{1EA26E2E-813C-4463-A01B-33014F3242DE}"/>
    <cellStyle name="Normal 8 5 7" xfId="2654" xr:uid="{00000000-0005-0000-0000-0000441E0000}"/>
    <cellStyle name="Normal 8 5 7 2" xfId="6937" xr:uid="{00000000-0005-0000-0000-0000451E0000}"/>
    <cellStyle name="Normal 8 5 7 2 2" xfId="19598" xr:uid="{0D0DD30D-D0A1-4E48-BF99-D33FCB366D62}"/>
    <cellStyle name="Normal 8 5 7 3" xfId="11169" xr:uid="{0496398A-D900-4143-8AFB-B3AF8979464D}"/>
    <cellStyle name="Normal 8 5 7 4" xfId="15380" xr:uid="{73859252-A61E-4493-A6C9-717DF78036C8}"/>
    <cellStyle name="Normal 8 5 8" xfId="4872" xr:uid="{00000000-0005-0000-0000-0000461E0000}"/>
    <cellStyle name="Normal 8 5 8 2" xfId="17533" xr:uid="{A1B9107A-1C4F-42DF-AB71-252589F0A0AC}"/>
    <cellStyle name="Normal 8 5 9" xfId="9104" xr:uid="{9123E36E-B47A-4485-BD8F-1FFE57A1BD1F}"/>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20093" xr:uid="{A9F06BF2-8ACE-4F95-AF6C-C60252EDB1B7}"/>
    <cellStyle name="Normal 8 6 2 2 3" xfId="11664" xr:uid="{DEE91ADB-479F-4E75-BD4D-A6C6D0EC005E}"/>
    <cellStyle name="Normal 8 6 2 2 4" xfId="15875" xr:uid="{F89409C8-8BFE-4A49-B2C0-8167E826BEAB}"/>
    <cellStyle name="Normal 8 6 2 3" xfId="5287" xr:uid="{00000000-0005-0000-0000-00004B1E0000}"/>
    <cellStyle name="Normal 8 6 2 3 2" xfId="17948" xr:uid="{AF8CABA3-9D69-447F-8E83-41689A0B595A}"/>
    <cellStyle name="Normal 8 6 2 4" xfId="9519" xr:uid="{981670B2-189F-4FC3-AE45-B0BD47494545}"/>
    <cellStyle name="Normal 8 6 2 5" xfId="13730" xr:uid="{69122428-AE75-4D62-AFF7-7ACC442824DC}"/>
    <cellStyle name="Normal 8 6 3" xfId="1393" xr:uid="{00000000-0005-0000-0000-00004C1E0000}"/>
    <cellStyle name="Normal 8 6 3 2" xfId="3623" xr:uid="{00000000-0005-0000-0000-00004D1E0000}"/>
    <cellStyle name="Normal 8 6 3 2 2" xfId="7845" xr:uid="{00000000-0005-0000-0000-00004E1E0000}"/>
    <cellStyle name="Normal 8 6 3 2 2 2" xfId="20506" xr:uid="{9B0DAFAB-F384-412A-BBB5-108BE2D1E1C8}"/>
    <cellStyle name="Normal 8 6 3 2 3" xfId="12077" xr:uid="{635AA103-8C66-4650-B0A8-D9E1715D3640}"/>
    <cellStyle name="Normal 8 6 3 2 4" xfId="16288" xr:uid="{BF9D8897-7491-4FA8-8F15-25581A2D2367}"/>
    <cellStyle name="Normal 8 6 3 3" xfId="5700" xr:uid="{00000000-0005-0000-0000-00004F1E0000}"/>
    <cellStyle name="Normal 8 6 3 3 2" xfId="18361" xr:uid="{196A4C4A-1CCE-486D-8516-D86F5AA34AEB}"/>
    <cellStyle name="Normal 8 6 3 4" xfId="9932" xr:uid="{9E43BD66-79E1-41FD-BFA7-EBD7E6C9D89D}"/>
    <cellStyle name="Normal 8 6 3 5" xfId="14143" xr:uid="{0541A778-0209-44DC-9AB7-BBDCA7D97183}"/>
    <cellStyle name="Normal 8 6 4" xfId="1806" xr:uid="{00000000-0005-0000-0000-0000501E0000}"/>
    <cellStyle name="Normal 8 6 4 2" xfId="4036" xr:uid="{00000000-0005-0000-0000-0000511E0000}"/>
    <cellStyle name="Normal 8 6 4 2 2" xfId="8258" xr:uid="{00000000-0005-0000-0000-0000521E0000}"/>
    <cellStyle name="Normal 8 6 4 2 2 2" xfId="20919" xr:uid="{9756B9C0-5209-46B1-BC33-4477A4556AB5}"/>
    <cellStyle name="Normal 8 6 4 2 3" xfId="12490" xr:uid="{81F3BC57-E674-4D64-9BE9-6D98D8EFC115}"/>
    <cellStyle name="Normal 8 6 4 2 4" xfId="16701" xr:uid="{9BF3EFAE-BDCF-4102-855E-AC6A482026DA}"/>
    <cellStyle name="Normal 8 6 4 3" xfId="6113" xr:uid="{00000000-0005-0000-0000-0000531E0000}"/>
    <cellStyle name="Normal 8 6 4 3 2" xfId="18774" xr:uid="{05394DD8-5C0C-4D03-B653-1FBB4648E025}"/>
    <cellStyle name="Normal 8 6 4 4" xfId="10345" xr:uid="{80A93A82-C073-49C4-8C26-545E25DB66AF}"/>
    <cellStyle name="Normal 8 6 4 5" xfId="14556" xr:uid="{238D9FA4-A635-471F-B959-B40EF60BEBF1}"/>
    <cellStyle name="Normal 8 6 5" xfId="2220" xr:uid="{00000000-0005-0000-0000-0000541E0000}"/>
    <cellStyle name="Normal 8 6 5 2" xfId="4449" xr:uid="{00000000-0005-0000-0000-0000551E0000}"/>
    <cellStyle name="Normal 8 6 5 2 2" xfId="8671" xr:uid="{00000000-0005-0000-0000-0000561E0000}"/>
    <cellStyle name="Normal 8 6 5 2 2 2" xfId="21332" xr:uid="{50D0C4EF-7DFF-4BA4-A499-7CF87B49B0CE}"/>
    <cellStyle name="Normal 8 6 5 2 3" xfId="12903" xr:uid="{8FAF7C8A-EC7D-4004-846A-2D4657A3C576}"/>
    <cellStyle name="Normal 8 6 5 2 4" xfId="17114" xr:uid="{6BB670E3-309B-4698-BB0B-9409482798C8}"/>
    <cellStyle name="Normal 8 6 5 3" xfId="6526" xr:uid="{00000000-0005-0000-0000-0000571E0000}"/>
    <cellStyle name="Normal 8 6 5 3 2" xfId="19187" xr:uid="{6C5F3DAC-6EB2-424B-81DD-F85FB810A984}"/>
    <cellStyle name="Normal 8 6 5 4" xfId="10758" xr:uid="{03661D61-91DB-4563-B0CA-AD68A8AF44F7}"/>
    <cellStyle name="Normal 8 6 5 5" xfId="14969" xr:uid="{D49F9777-BD5D-4631-9E52-4768EAE21D49}"/>
    <cellStyle name="Normal 8 6 6" xfId="2656" xr:uid="{00000000-0005-0000-0000-0000581E0000}"/>
    <cellStyle name="Normal 8 6 6 2" xfId="6939" xr:uid="{00000000-0005-0000-0000-0000591E0000}"/>
    <cellStyle name="Normal 8 6 6 2 2" xfId="19600" xr:uid="{3C57D475-949C-4F56-AE99-CF794068475B}"/>
    <cellStyle name="Normal 8 6 6 3" xfId="11171" xr:uid="{3D2594B3-B2CF-4E5F-9B7B-0FFB00A9E795}"/>
    <cellStyle name="Normal 8 6 6 4" xfId="15382" xr:uid="{47335A0A-B9C0-4242-A6AD-6F6CB865A53F}"/>
    <cellStyle name="Normal 8 6 7" xfId="4874" xr:uid="{00000000-0005-0000-0000-00005A1E0000}"/>
    <cellStyle name="Normal 8 6 7 2" xfId="17535" xr:uid="{B20101E5-B512-4C8C-AD7A-1F919A9D804D}"/>
    <cellStyle name="Normal 8 6 8" xfId="9106" xr:uid="{3E0FFCA0-F06C-4F7A-86F4-13F921AFCB7D}"/>
    <cellStyle name="Normal 8 6 9" xfId="13317" xr:uid="{58E4CE88-7BE7-407D-9CBA-B2C6BE8326DF}"/>
    <cellStyle name="Normal 8 7" xfId="945" xr:uid="{00000000-0005-0000-0000-00005B1E0000}"/>
    <cellStyle name="Normal 8 7 2" xfId="3179" xr:uid="{00000000-0005-0000-0000-00005C1E0000}"/>
    <cellStyle name="Normal 8 7 2 2" xfId="7401" xr:uid="{00000000-0005-0000-0000-00005D1E0000}"/>
    <cellStyle name="Normal 8 7 2 2 2" xfId="20062" xr:uid="{072A10D0-5DAF-41EA-8171-1331B9AD0B9D}"/>
    <cellStyle name="Normal 8 7 2 3" xfId="11633" xr:uid="{4AA63E81-48BB-4165-A24D-8944DF5E1CF9}"/>
    <cellStyle name="Normal 8 7 2 4" xfId="15844" xr:uid="{7C03282A-10A1-47EF-ADBF-89A01B5B8778}"/>
    <cellStyle name="Normal 8 7 3" xfId="5256" xr:uid="{00000000-0005-0000-0000-00005E1E0000}"/>
    <cellStyle name="Normal 8 7 3 2" xfId="17917" xr:uid="{9CCF50B4-22B3-46EE-AC42-6988EF572031}"/>
    <cellStyle name="Normal 8 7 4" xfId="9488" xr:uid="{88E55A35-3E2D-483E-B4E4-2ADD200CF0E2}"/>
    <cellStyle name="Normal 8 7 5" xfId="13699" xr:uid="{0EB88172-55F5-4BD5-92F9-986D6AE03ECB}"/>
    <cellStyle name="Normal 8 8" xfId="1362" xr:uid="{00000000-0005-0000-0000-00005F1E0000}"/>
    <cellStyle name="Normal 8 8 2" xfId="3592" xr:uid="{00000000-0005-0000-0000-0000601E0000}"/>
    <cellStyle name="Normal 8 8 2 2" xfId="7814" xr:uid="{00000000-0005-0000-0000-0000611E0000}"/>
    <cellStyle name="Normal 8 8 2 2 2" xfId="20475" xr:uid="{79921CF7-A9E8-4636-900B-646B53C02276}"/>
    <cellStyle name="Normal 8 8 2 3" xfId="12046" xr:uid="{B223EF4B-D4C0-48CD-8F0D-E36241A19AA7}"/>
    <cellStyle name="Normal 8 8 2 4" xfId="16257" xr:uid="{0C8229DD-099A-4637-9443-D671CB35283D}"/>
    <cellStyle name="Normal 8 8 3" xfId="5669" xr:uid="{00000000-0005-0000-0000-0000621E0000}"/>
    <cellStyle name="Normal 8 8 3 2" xfId="18330" xr:uid="{66720BA3-0085-4EA0-A076-94390B6D833D}"/>
    <cellStyle name="Normal 8 8 4" xfId="9901" xr:uid="{D56FD240-FAE7-4F62-A31C-2CDE49AAF1D3}"/>
    <cellStyle name="Normal 8 8 5" xfId="14112" xr:uid="{E5DC816E-3E03-4FE0-BF7B-04A72640095D}"/>
    <cellStyle name="Normal 8 9" xfId="1775" xr:uid="{00000000-0005-0000-0000-0000631E0000}"/>
    <cellStyle name="Normal 8 9 2" xfId="4005" xr:uid="{00000000-0005-0000-0000-0000641E0000}"/>
    <cellStyle name="Normal 8 9 2 2" xfId="8227" xr:uid="{00000000-0005-0000-0000-0000651E0000}"/>
    <cellStyle name="Normal 8 9 2 2 2" xfId="20888" xr:uid="{2BB8DC1D-E550-4516-B74F-2A394C00874C}"/>
    <cellStyle name="Normal 8 9 2 3" xfId="12459" xr:uid="{F1C2E2EB-D51E-4901-A814-7F0305E1E12F}"/>
    <cellStyle name="Normal 8 9 2 4" xfId="16670" xr:uid="{CEA55D67-C07C-485D-92DC-E62E78343191}"/>
    <cellStyle name="Normal 8 9 3" xfId="6082" xr:uid="{00000000-0005-0000-0000-0000661E0000}"/>
    <cellStyle name="Normal 8 9 3 2" xfId="18743" xr:uid="{173EF175-F9D7-4C40-A2BE-90EF4A6CBAFD}"/>
    <cellStyle name="Normal 8 9 4" xfId="10314" xr:uid="{E0D48529-F147-4D0E-AA59-0440684FACEB}"/>
    <cellStyle name="Normal 8 9 5" xfId="14525" xr:uid="{88EEDCB5-F1AF-4062-8A81-A133D0729967}"/>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9601" xr:uid="{086D630A-B71C-4EFE-86D0-BE4E44EF82F7}"/>
    <cellStyle name="Normal 9 2 10 3" xfId="11172" xr:uid="{650AAA29-AE67-4EAE-9D1F-7BCF4507BB30}"/>
    <cellStyle name="Normal 9 2 10 4" xfId="15383" xr:uid="{99A87B06-5601-45D6-9BAA-3C1A1BFF1C7D}"/>
    <cellStyle name="Normal 9 2 11" xfId="4875" xr:uid="{00000000-0005-0000-0000-00006B1E0000}"/>
    <cellStyle name="Normal 9 2 11 2" xfId="17536" xr:uid="{00AD4462-2B36-4879-9341-C37C11AC60D0}"/>
    <cellStyle name="Normal 9 2 12" xfId="9107" xr:uid="{F77174AC-F13A-49F0-A8AE-B5C2171F00CD}"/>
    <cellStyle name="Normal 9 2 13" xfId="13318" xr:uid="{B5870895-EBFB-457C-B3D8-7AB5DD43E83D}"/>
    <cellStyle name="Normal 9 2 2" xfId="512" xr:uid="{00000000-0005-0000-0000-00006C1E0000}"/>
    <cellStyle name="Normal 9 2 2 10" xfId="4876" xr:uid="{00000000-0005-0000-0000-00006D1E0000}"/>
    <cellStyle name="Normal 9 2 2 10 2" xfId="17537" xr:uid="{0A62D097-AC60-4B36-BD9B-63F78B5647C1}"/>
    <cellStyle name="Normal 9 2 2 11" xfId="9108" xr:uid="{08B8576D-0885-46D9-A6E0-90D4284782C3}"/>
    <cellStyle name="Normal 9 2 2 12" xfId="13319" xr:uid="{A1F6D9E3-F44A-4A41-901A-F0F192F98A9A}"/>
    <cellStyle name="Normal 9 2 2 2" xfId="513" xr:uid="{00000000-0005-0000-0000-00006E1E0000}"/>
    <cellStyle name="Normal 9 2 2 2 10" xfId="9109" xr:uid="{189BDE85-71CA-431B-BAD4-4573A719FC2D}"/>
    <cellStyle name="Normal 9 2 2 2 11" xfId="13320" xr:uid="{2279143E-857E-45DF-B504-72EBBA5C7455}"/>
    <cellStyle name="Normal 9 2 2 2 2" xfId="514" xr:uid="{00000000-0005-0000-0000-00006F1E0000}"/>
    <cellStyle name="Normal 9 2 2 2 2 10" xfId="13321" xr:uid="{079DFF06-A8D8-4615-B3DC-4A2FEFDDB37F}"/>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20098" xr:uid="{BB9B0A8E-23DB-412B-A0E9-315FB236DBF3}"/>
    <cellStyle name="Normal 9 2 2 2 2 2 2 2 3" xfId="11669" xr:uid="{B88205C0-6691-492F-A302-54AA7B127E65}"/>
    <cellStyle name="Normal 9 2 2 2 2 2 2 2 4" xfId="15880" xr:uid="{AE813422-B2CA-45EF-9498-94D447D48340}"/>
    <cellStyle name="Normal 9 2 2 2 2 2 2 3" xfId="5292" xr:uid="{00000000-0005-0000-0000-0000741E0000}"/>
    <cellStyle name="Normal 9 2 2 2 2 2 2 3 2" xfId="17953" xr:uid="{56C6AAC3-5772-441A-A8A2-62E9EA17D357}"/>
    <cellStyle name="Normal 9 2 2 2 2 2 2 4" xfId="9524" xr:uid="{AA355265-9CAA-400F-A7F5-A1FC8E1D59D9}"/>
    <cellStyle name="Normal 9 2 2 2 2 2 2 5" xfId="13735" xr:uid="{364550DF-E00F-442D-90FB-328525CF2B16}"/>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20511" xr:uid="{B94BE5ED-321F-4631-8B42-AAAAEDE794FF}"/>
    <cellStyle name="Normal 9 2 2 2 2 2 3 2 3" xfId="12082" xr:uid="{E4D0019A-E431-44C5-B533-5F50C2399C4A}"/>
    <cellStyle name="Normal 9 2 2 2 2 2 3 2 4" xfId="16293" xr:uid="{F084D8F7-EADE-4B65-BB0C-F9C0FDA250F7}"/>
    <cellStyle name="Normal 9 2 2 2 2 2 3 3" xfId="5705" xr:uid="{00000000-0005-0000-0000-0000781E0000}"/>
    <cellStyle name="Normal 9 2 2 2 2 2 3 3 2" xfId="18366" xr:uid="{065812B3-FB24-4F38-A992-2AD2285353C4}"/>
    <cellStyle name="Normal 9 2 2 2 2 2 3 4" xfId="9937" xr:uid="{49708672-4851-425B-B407-D241888F7823}"/>
    <cellStyle name="Normal 9 2 2 2 2 2 3 5" xfId="14148" xr:uid="{AB55AEAE-6FAB-44DA-B31A-A475B84E226E}"/>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20924" xr:uid="{2570C884-A29A-4415-98F1-0D84C419137B}"/>
    <cellStyle name="Normal 9 2 2 2 2 2 4 2 3" xfId="12495" xr:uid="{7845D353-0C0B-4299-A4A5-3E5B1525CFA8}"/>
    <cellStyle name="Normal 9 2 2 2 2 2 4 2 4" xfId="16706" xr:uid="{83EE5F26-37D9-4D9B-B831-9822B01E7A04}"/>
    <cellStyle name="Normal 9 2 2 2 2 2 4 3" xfId="6118" xr:uid="{00000000-0005-0000-0000-00007C1E0000}"/>
    <cellStyle name="Normal 9 2 2 2 2 2 4 3 2" xfId="18779" xr:uid="{B24C8CB7-DFA4-442A-B498-2EE264247DC5}"/>
    <cellStyle name="Normal 9 2 2 2 2 2 4 4" xfId="10350" xr:uid="{CA476EAA-0ACB-4016-8024-2E5B9BBBB8E9}"/>
    <cellStyle name="Normal 9 2 2 2 2 2 4 5" xfId="14561" xr:uid="{1156FE56-C182-4B60-A0B2-2A456F061C44}"/>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21337" xr:uid="{7F42E5AE-67EB-4BEC-8525-741AB10119D4}"/>
    <cellStyle name="Normal 9 2 2 2 2 2 5 2 3" xfId="12908" xr:uid="{7B04BD09-EB0B-4D90-BDFB-E46B472AF093}"/>
    <cellStyle name="Normal 9 2 2 2 2 2 5 2 4" xfId="17119" xr:uid="{2FA0D880-93FB-4A4D-97C4-223484967EE8}"/>
    <cellStyle name="Normal 9 2 2 2 2 2 5 3" xfId="6531" xr:uid="{00000000-0005-0000-0000-0000801E0000}"/>
    <cellStyle name="Normal 9 2 2 2 2 2 5 3 2" xfId="19192" xr:uid="{14FE672B-CBB7-440C-AB49-F51B410F4489}"/>
    <cellStyle name="Normal 9 2 2 2 2 2 5 4" xfId="10763" xr:uid="{C6F95FD0-C8CF-4C84-B2BF-85E890EE3800}"/>
    <cellStyle name="Normal 9 2 2 2 2 2 5 5" xfId="14974" xr:uid="{3691BD67-F6BF-4EE4-8558-8A2EFF729760}"/>
    <cellStyle name="Normal 9 2 2 2 2 2 6" xfId="2661" xr:uid="{00000000-0005-0000-0000-0000811E0000}"/>
    <cellStyle name="Normal 9 2 2 2 2 2 6 2" xfId="6944" xr:uid="{00000000-0005-0000-0000-0000821E0000}"/>
    <cellStyle name="Normal 9 2 2 2 2 2 6 2 2" xfId="19605" xr:uid="{DC722D29-67AA-43E3-9C05-C3F8EAF05A38}"/>
    <cellStyle name="Normal 9 2 2 2 2 2 6 3" xfId="11176" xr:uid="{2758469D-9BCA-4492-ACE5-B345E21F9B69}"/>
    <cellStyle name="Normal 9 2 2 2 2 2 6 4" xfId="15387" xr:uid="{EC525FDE-5B4A-464E-B987-4AF24A748237}"/>
    <cellStyle name="Normal 9 2 2 2 2 2 7" xfId="4879" xr:uid="{00000000-0005-0000-0000-0000831E0000}"/>
    <cellStyle name="Normal 9 2 2 2 2 2 7 2" xfId="17540" xr:uid="{09CD6F05-ACB6-4FB2-9559-48FFC295C0FE}"/>
    <cellStyle name="Normal 9 2 2 2 2 2 8" xfId="9111" xr:uid="{EAEE60B2-771E-4254-A0B6-F3AB60A22E74}"/>
    <cellStyle name="Normal 9 2 2 2 2 2 9" xfId="13322" xr:uid="{5579672B-AFAF-463D-BB02-4A5DBA4CDA81}"/>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20097" xr:uid="{A641DCC7-46D4-49C0-9D99-148AD8207CC6}"/>
    <cellStyle name="Normal 9 2 2 2 2 3 2 3" xfId="11668" xr:uid="{14CC3203-FC9A-4DE5-A5F4-A9238F61246F}"/>
    <cellStyle name="Normal 9 2 2 2 2 3 2 4" xfId="15879" xr:uid="{DD907DFE-9191-4DB5-BB41-F88F82EE4556}"/>
    <cellStyle name="Normal 9 2 2 2 2 3 3" xfId="5291" xr:uid="{00000000-0005-0000-0000-0000871E0000}"/>
    <cellStyle name="Normal 9 2 2 2 2 3 3 2" xfId="17952" xr:uid="{679D346C-89AD-40D1-B4DF-7E6DB04BF167}"/>
    <cellStyle name="Normal 9 2 2 2 2 3 4" xfId="9523" xr:uid="{A81B145D-72F8-4D8F-B1E0-D309DE35355C}"/>
    <cellStyle name="Normal 9 2 2 2 2 3 5" xfId="13734" xr:uid="{F90962B1-6263-4338-B9B9-33066DED8BEF}"/>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20510" xr:uid="{8F547019-A33E-4F20-BB91-2BCF0813BC0D}"/>
    <cellStyle name="Normal 9 2 2 2 2 4 2 3" xfId="12081" xr:uid="{617ECBF5-9EB6-473D-BF0D-D949C6C4293C}"/>
    <cellStyle name="Normal 9 2 2 2 2 4 2 4" xfId="16292" xr:uid="{28D4061B-D6A0-4727-AE4E-F6C59E07E948}"/>
    <cellStyle name="Normal 9 2 2 2 2 4 3" xfId="5704" xr:uid="{00000000-0005-0000-0000-00008B1E0000}"/>
    <cellStyle name="Normal 9 2 2 2 2 4 3 2" xfId="18365" xr:uid="{DFD56416-FA6D-434E-BDB1-F299BBB28CDF}"/>
    <cellStyle name="Normal 9 2 2 2 2 4 4" xfId="9936" xr:uid="{143A45D0-C39E-4C90-9FE0-3BF61F316D79}"/>
    <cellStyle name="Normal 9 2 2 2 2 4 5" xfId="14147" xr:uid="{5392B62E-C5FC-42BF-B4E4-7D02DF8B0D6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20923" xr:uid="{270AF47D-6279-43C9-8CF7-489B9734D26F}"/>
    <cellStyle name="Normal 9 2 2 2 2 5 2 3" xfId="12494" xr:uid="{E18E0AA9-440E-42F8-9326-E0E9D225785A}"/>
    <cellStyle name="Normal 9 2 2 2 2 5 2 4" xfId="16705" xr:uid="{36645165-74AC-43B4-86F7-9E1E4B91F323}"/>
    <cellStyle name="Normal 9 2 2 2 2 5 3" xfId="6117" xr:uid="{00000000-0005-0000-0000-00008F1E0000}"/>
    <cellStyle name="Normal 9 2 2 2 2 5 3 2" xfId="18778" xr:uid="{FD315619-E7F0-4D93-8EED-6962FE015AD0}"/>
    <cellStyle name="Normal 9 2 2 2 2 5 4" xfId="10349" xr:uid="{7A89E814-C04A-44A6-8BF9-4A7EEF7ED0EE}"/>
    <cellStyle name="Normal 9 2 2 2 2 5 5" xfId="14560" xr:uid="{316FB8F1-3B4C-462D-9421-52AD72020E3F}"/>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21336" xr:uid="{82596016-22D3-4A55-A5A0-01B87995F832}"/>
    <cellStyle name="Normal 9 2 2 2 2 6 2 3" xfId="12907" xr:uid="{B66DE219-602B-4931-900F-1585F3859088}"/>
    <cellStyle name="Normal 9 2 2 2 2 6 2 4" xfId="17118" xr:uid="{10409E67-63BB-4A9E-B01C-CE73FAE57AFA}"/>
    <cellStyle name="Normal 9 2 2 2 2 6 3" xfId="6530" xr:uid="{00000000-0005-0000-0000-0000931E0000}"/>
    <cellStyle name="Normal 9 2 2 2 2 6 3 2" xfId="19191" xr:uid="{E100E07E-2BD1-494E-B705-B2DF847196B3}"/>
    <cellStyle name="Normal 9 2 2 2 2 6 4" xfId="10762" xr:uid="{0C908746-7A4F-48A5-98BF-EB3EFDD1F48C}"/>
    <cellStyle name="Normal 9 2 2 2 2 6 5" xfId="14973" xr:uid="{AF9E2129-2C13-4DEF-81C0-F384E0602BF8}"/>
    <cellStyle name="Normal 9 2 2 2 2 7" xfId="2660" xr:uid="{00000000-0005-0000-0000-0000941E0000}"/>
    <cellStyle name="Normal 9 2 2 2 2 7 2" xfId="6943" xr:uid="{00000000-0005-0000-0000-0000951E0000}"/>
    <cellStyle name="Normal 9 2 2 2 2 7 2 2" xfId="19604" xr:uid="{28411191-FE98-4AA7-AC40-C1D6CD267CB5}"/>
    <cellStyle name="Normal 9 2 2 2 2 7 3" xfId="11175" xr:uid="{F152C2DE-8BD9-4440-AC28-95633B1F0E7E}"/>
    <cellStyle name="Normal 9 2 2 2 2 7 4" xfId="15386" xr:uid="{0114EFE0-F261-459B-883E-CAFD87E96AA0}"/>
    <cellStyle name="Normal 9 2 2 2 2 8" xfId="4878" xr:uid="{00000000-0005-0000-0000-0000961E0000}"/>
    <cellStyle name="Normal 9 2 2 2 2 8 2" xfId="17539" xr:uid="{EEBD7763-AC90-42BF-84ED-703EDB0338A6}"/>
    <cellStyle name="Normal 9 2 2 2 2 9" xfId="9110" xr:uid="{BECD2A97-316C-452E-AAE2-C4AD2A00C83B}"/>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20099" xr:uid="{2F2C7312-6846-415D-8138-AD29EC9718BA}"/>
    <cellStyle name="Normal 9 2 2 2 3 2 2 3" xfId="11670" xr:uid="{4F189CBB-DF6E-4E78-8CFB-1437A6129A5B}"/>
    <cellStyle name="Normal 9 2 2 2 3 2 2 4" xfId="15881" xr:uid="{56FD4BDA-F5A4-4DC7-BF39-F33CF0E9E9FB}"/>
    <cellStyle name="Normal 9 2 2 2 3 2 3" xfId="5293" xr:uid="{00000000-0005-0000-0000-00009B1E0000}"/>
    <cellStyle name="Normal 9 2 2 2 3 2 3 2" xfId="17954" xr:uid="{29B43602-7D66-4E69-B6AE-BC1B84E5A554}"/>
    <cellStyle name="Normal 9 2 2 2 3 2 4" xfId="9525" xr:uid="{5B806D8B-2B24-4268-9CD4-9EC8A288BF4B}"/>
    <cellStyle name="Normal 9 2 2 2 3 2 5" xfId="13736" xr:uid="{D34B6C46-7272-475A-B4C0-FC3DFDB8997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20512" xr:uid="{2C949D3E-493E-4F25-BC32-49139A1B4862}"/>
    <cellStyle name="Normal 9 2 2 2 3 3 2 3" xfId="12083" xr:uid="{0FA7AEC0-548D-4054-9F48-45F847E64863}"/>
    <cellStyle name="Normal 9 2 2 2 3 3 2 4" xfId="16294" xr:uid="{BF820462-1A10-456A-83D1-2F0E50D16418}"/>
    <cellStyle name="Normal 9 2 2 2 3 3 3" xfId="5706" xr:uid="{00000000-0005-0000-0000-00009F1E0000}"/>
    <cellStyle name="Normal 9 2 2 2 3 3 3 2" xfId="18367" xr:uid="{AEEA0FB4-F018-483B-BBD7-95BD3386E316}"/>
    <cellStyle name="Normal 9 2 2 2 3 3 4" xfId="9938" xr:uid="{40CF5DB7-67E5-4F1F-850E-4B6A720FA143}"/>
    <cellStyle name="Normal 9 2 2 2 3 3 5" xfId="14149" xr:uid="{3C4E538F-85EA-401F-B1F3-ADC8BD243DC4}"/>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20925" xr:uid="{07F42A9A-3EAB-4A51-A003-6522A10CAEA4}"/>
    <cellStyle name="Normal 9 2 2 2 3 4 2 3" xfId="12496" xr:uid="{DAC62920-783F-4B16-970F-1364B102EDC1}"/>
    <cellStyle name="Normal 9 2 2 2 3 4 2 4" xfId="16707" xr:uid="{241D3863-D8E6-4A59-B609-367AC2079FF2}"/>
    <cellStyle name="Normal 9 2 2 2 3 4 3" xfId="6119" xr:uid="{00000000-0005-0000-0000-0000A31E0000}"/>
    <cellStyle name="Normal 9 2 2 2 3 4 3 2" xfId="18780" xr:uid="{C930602F-0C71-4988-A8DE-54E1305C1BDE}"/>
    <cellStyle name="Normal 9 2 2 2 3 4 4" xfId="10351" xr:uid="{B9559A68-1305-494A-8BB3-1ABD986F3DCB}"/>
    <cellStyle name="Normal 9 2 2 2 3 4 5" xfId="14562" xr:uid="{7F7D9B0D-102B-4BC6-9DE8-EA1800325C78}"/>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21338" xr:uid="{32BF4097-A7B3-4C89-BDB0-B1BEC3F2C67C}"/>
    <cellStyle name="Normal 9 2 2 2 3 5 2 3" xfId="12909" xr:uid="{234858CB-1D74-4760-92FA-B487557D284D}"/>
    <cellStyle name="Normal 9 2 2 2 3 5 2 4" xfId="17120" xr:uid="{981C577A-B03D-4D6B-A476-6E0D03DEDE17}"/>
    <cellStyle name="Normal 9 2 2 2 3 5 3" xfId="6532" xr:uid="{00000000-0005-0000-0000-0000A71E0000}"/>
    <cellStyle name="Normal 9 2 2 2 3 5 3 2" xfId="19193" xr:uid="{3304F154-AA3F-4C17-9379-518F493C6D79}"/>
    <cellStyle name="Normal 9 2 2 2 3 5 4" xfId="10764" xr:uid="{576424F8-CD2C-4C9E-AA7B-DD92F17971BA}"/>
    <cellStyle name="Normal 9 2 2 2 3 5 5" xfId="14975" xr:uid="{62256E70-1D50-44C8-8660-04E8A38730D0}"/>
    <cellStyle name="Normal 9 2 2 2 3 6" xfId="2662" xr:uid="{00000000-0005-0000-0000-0000A81E0000}"/>
    <cellStyle name="Normal 9 2 2 2 3 6 2" xfId="6945" xr:uid="{00000000-0005-0000-0000-0000A91E0000}"/>
    <cellStyle name="Normal 9 2 2 2 3 6 2 2" xfId="19606" xr:uid="{3872BC60-676B-42F5-978E-B4626A9AACA6}"/>
    <cellStyle name="Normal 9 2 2 2 3 6 3" xfId="11177" xr:uid="{3EC9D34D-9284-4E55-B289-79720ED94A02}"/>
    <cellStyle name="Normal 9 2 2 2 3 6 4" xfId="15388" xr:uid="{FD0857A0-EE1F-4AC1-AF5D-DEEE05D4EE13}"/>
    <cellStyle name="Normal 9 2 2 2 3 7" xfId="4880" xr:uid="{00000000-0005-0000-0000-0000AA1E0000}"/>
    <cellStyle name="Normal 9 2 2 2 3 7 2" xfId="17541" xr:uid="{06B8CE02-8E49-4E70-A74F-BEE35B9ABE36}"/>
    <cellStyle name="Normal 9 2 2 2 3 8" xfId="9112" xr:uid="{83D28AF3-0FE0-462C-92F7-3EAFDB214912}"/>
    <cellStyle name="Normal 9 2 2 2 3 9" xfId="13323" xr:uid="{236BC791-C21B-42EC-8208-22F877D83488}"/>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20096" xr:uid="{38ADFFA8-D095-4892-A23D-A3969894DCEB}"/>
    <cellStyle name="Normal 9 2 2 2 4 2 3" xfId="11667" xr:uid="{68EAD2D9-EDD7-49FD-8AE0-B11CD83409C4}"/>
    <cellStyle name="Normal 9 2 2 2 4 2 4" xfId="15878" xr:uid="{BA9F3A62-BDE2-46CE-B12E-7BA3F9613B8B}"/>
    <cellStyle name="Normal 9 2 2 2 4 3" xfId="5290" xr:uid="{00000000-0005-0000-0000-0000AE1E0000}"/>
    <cellStyle name="Normal 9 2 2 2 4 3 2" xfId="17951" xr:uid="{9B0C4EF2-5DA2-43E9-B886-69FF092CFD62}"/>
    <cellStyle name="Normal 9 2 2 2 4 4" xfId="9522" xr:uid="{B1E9DA7F-D869-41DD-9B30-A39F69169580}"/>
    <cellStyle name="Normal 9 2 2 2 4 5" xfId="13733" xr:uid="{AEEEE97C-4453-4291-9B1A-AC1815051908}"/>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20509" xr:uid="{2A7790F9-441B-401E-A396-FDAA110E3605}"/>
    <cellStyle name="Normal 9 2 2 2 5 2 3" xfId="12080" xr:uid="{9B287707-857D-4BD7-8244-1A9A9A964562}"/>
    <cellStyle name="Normal 9 2 2 2 5 2 4" xfId="16291" xr:uid="{AD0E8E79-23C6-45BE-9FFC-66B7E46AD7E7}"/>
    <cellStyle name="Normal 9 2 2 2 5 3" xfId="5703" xr:uid="{00000000-0005-0000-0000-0000B21E0000}"/>
    <cellStyle name="Normal 9 2 2 2 5 3 2" xfId="18364" xr:uid="{F8B96D75-2B21-4992-8BE0-49115FC3EDC4}"/>
    <cellStyle name="Normal 9 2 2 2 5 4" xfId="9935" xr:uid="{645906A1-EA1E-4328-9DAB-EA6804C42AFD}"/>
    <cellStyle name="Normal 9 2 2 2 5 5" xfId="14146" xr:uid="{A08FC6F2-DD09-4FB6-84AC-83FBD9340EFF}"/>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20922" xr:uid="{0130F52C-66E2-448D-A657-70F6731430DA}"/>
    <cellStyle name="Normal 9 2 2 2 6 2 3" xfId="12493" xr:uid="{4BE40C46-BBB3-4933-95AA-0D640497E16C}"/>
    <cellStyle name="Normal 9 2 2 2 6 2 4" xfId="16704" xr:uid="{AB9EA2D9-2C33-4651-B3F1-32B0E901B363}"/>
    <cellStyle name="Normal 9 2 2 2 6 3" xfId="6116" xr:uid="{00000000-0005-0000-0000-0000B61E0000}"/>
    <cellStyle name="Normal 9 2 2 2 6 3 2" xfId="18777" xr:uid="{25502326-F1BE-4B65-BA8A-66B3C48EC9E5}"/>
    <cellStyle name="Normal 9 2 2 2 6 4" xfId="10348" xr:uid="{96398B32-9962-452E-9573-030E432A645E}"/>
    <cellStyle name="Normal 9 2 2 2 6 5" xfId="14559" xr:uid="{81F81341-6543-406C-A029-5CD66A19BEBD}"/>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21335" xr:uid="{48BCD350-72F2-4171-B1F0-FF9D25A94954}"/>
    <cellStyle name="Normal 9 2 2 2 7 2 3" xfId="12906" xr:uid="{EA185FCB-8AEC-41D7-99AF-6D286E913CC2}"/>
    <cellStyle name="Normal 9 2 2 2 7 2 4" xfId="17117" xr:uid="{714AE163-25B2-431E-B006-E0743A87A116}"/>
    <cellStyle name="Normal 9 2 2 2 7 3" xfId="6529" xr:uid="{00000000-0005-0000-0000-0000BA1E0000}"/>
    <cellStyle name="Normal 9 2 2 2 7 3 2" xfId="19190" xr:uid="{74ED2311-334C-4FD9-A411-C42AC1557FB5}"/>
    <cellStyle name="Normal 9 2 2 2 7 4" xfId="10761" xr:uid="{4551A20C-7143-4840-AAC5-261713A352C5}"/>
    <cellStyle name="Normal 9 2 2 2 7 5" xfId="14972" xr:uid="{C9944A89-83C2-496C-892D-A4C49E8696D5}"/>
    <cellStyle name="Normal 9 2 2 2 8" xfId="2659" xr:uid="{00000000-0005-0000-0000-0000BB1E0000}"/>
    <cellStyle name="Normal 9 2 2 2 8 2" xfId="6942" xr:uid="{00000000-0005-0000-0000-0000BC1E0000}"/>
    <cellStyle name="Normal 9 2 2 2 8 2 2" xfId="19603" xr:uid="{8D94712A-530C-41C0-A4A6-104C18326545}"/>
    <cellStyle name="Normal 9 2 2 2 8 3" xfId="11174" xr:uid="{A7E07189-EA18-4F9C-B609-47166C9B7F94}"/>
    <cellStyle name="Normal 9 2 2 2 8 4" xfId="15385" xr:uid="{A358F820-3E5D-439F-9136-31909533ADB9}"/>
    <cellStyle name="Normal 9 2 2 2 9" xfId="4877" xr:uid="{00000000-0005-0000-0000-0000BD1E0000}"/>
    <cellStyle name="Normal 9 2 2 2 9 2" xfId="17538" xr:uid="{79B43C9B-655F-40C7-904E-A9171697DCC9}"/>
    <cellStyle name="Normal 9 2 2 3" xfId="517" xr:uid="{00000000-0005-0000-0000-0000BE1E0000}"/>
    <cellStyle name="Normal 9 2 2 3 10" xfId="13324" xr:uid="{4B3F4A98-2B9A-49B1-AD8F-95495E0219C2}"/>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20101" xr:uid="{D07BEE6F-7A79-4454-B4C4-CFE12A4492BA}"/>
    <cellStyle name="Normal 9 2 2 3 2 2 2 3" xfId="11672" xr:uid="{88781A75-4BEE-40D6-8002-3E83EC88D5FC}"/>
    <cellStyle name="Normal 9 2 2 3 2 2 2 4" xfId="15883" xr:uid="{980738BB-BD14-4D03-8FE8-3FC724825897}"/>
    <cellStyle name="Normal 9 2 2 3 2 2 3" xfId="5295" xr:uid="{00000000-0005-0000-0000-0000C31E0000}"/>
    <cellStyle name="Normal 9 2 2 3 2 2 3 2" xfId="17956" xr:uid="{D4306592-5706-49F5-8B98-11D26E7FA20B}"/>
    <cellStyle name="Normal 9 2 2 3 2 2 4" xfId="9527" xr:uid="{1C2E39B2-CCE1-46C1-B756-2CEDA05E6D73}"/>
    <cellStyle name="Normal 9 2 2 3 2 2 5" xfId="13738" xr:uid="{BA0ECFA6-995A-4697-B894-B2E006C59DD9}"/>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20514" xr:uid="{E891EA6B-9B93-46E8-BEAE-E6FD53FDF493}"/>
    <cellStyle name="Normal 9 2 2 3 2 3 2 3" xfId="12085" xr:uid="{A05FCDAD-828A-45F8-98CE-1CF7F35E16A8}"/>
    <cellStyle name="Normal 9 2 2 3 2 3 2 4" xfId="16296" xr:uid="{AF08F4D9-BF5B-487D-8B3F-ADA8E61F3441}"/>
    <cellStyle name="Normal 9 2 2 3 2 3 3" xfId="5708" xr:uid="{00000000-0005-0000-0000-0000C71E0000}"/>
    <cellStyle name="Normal 9 2 2 3 2 3 3 2" xfId="18369" xr:uid="{48CF72BD-685F-49F8-8362-F02DCE04E7D1}"/>
    <cellStyle name="Normal 9 2 2 3 2 3 4" xfId="9940" xr:uid="{04F6F8B4-E486-4357-8F98-75FC13804EE5}"/>
    <cellStyle name="Normal 9 2 2 3 2 3 5" xfId="14151" xr:uid="{F6840351-322B-427B-B3BE-6BDBEC855B03}"/>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20927" xr:uid="{76E0CDFE-153B-47D6-9932-BDDE2A92BE3B}"/>
    <cellStyle name="Normal 9 2 2 3 2 4 2 3" xfId="12498" xr:uid="{FABC466F-4F4C-4548-839D-8FB3B7E8CD1F}"/>
    <cellStyle name="Normal 9 2 2 3 2 4 2 4" xfId="16709" xr:uid="{E0C546B3-774D-4D6D-8D54-C721C22F17BD}"/>
    <cellStyle name="Normal 9 2 2 3 2 4 3" xfId="6121" xr:uid="{00000000-0005-0000-0000-0000CB1E0000}"/>
    <cellStyle name="Normal 9 2 2 3 2 4 3 2" xfId="18782" xr:uid="{6F6CFBD0-43EA-4895-B649-DDE845C90C8D}"/>
    <cellStyle name="Normal 9 2 2 3 2 4 4" xfId="10353" xr:uid="{9750A104-5828-4E4F-B3F6-85B95B578589}"/>
    <cellStyle name="Normal 9 2 2 3 2 4 5" xfId="14564" xr:uid="{06622B29-ED21-4CE8-83A7-09CC3EDABD43}"/>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21340" xr:uid="{87092073-0FF4-4253-909F-ABD6AFE045ED}"/>
    <cellStyle name="Normal 9 2 2 3 2 5 2 3" xfId="12911" xr:uid="{C9123F69-BE04-4036-9E97-94E92C25399B}"/>
    <cellStyle name="Normal 9 2 2 3 2 5 2 4" xfId="17122" xr:uid="{E19C0807-1ACA-4983-A933-D5EC40904C32}"/>
    <cellStyle name="Normal 9 2 2 3 2 5 3" xfId="6534" xr:uid="{00000000-0005-0000-0000-0000CF1E0000}"/>
    <cellStyle name="Normal 9 2 2 3 2 5 3 2" xfId="19195" xr:uid="{498C9F15-B7EE-48A3-B64F-01E84CF92605}"/>
    <cellStyle name="Normal 9 2 2 3 2 5 4" xfId="10766" xr:uid="{F0BB2417-6723-4112-A3D7-902B06F73C69}"/>
    <cellStyle name="Normal 9 2 2 3 2 5 5" xfId="14977" xr:uid="{EE4031ED-3AA1-47EA-92F8-2296B4EB791A}"/>
    <cellStyle name="Normal 9 2 2 3 2 6" xfId="2664" xr:uid="{00000000-0005-0000-0000-0000D01E0000}"/>
    <cellStyle name="Normal 9 2 2 3 2 6 2" xfId="6947" xr:uid="{00000000-0005-0000-0000-0000D11E0000}"/>
    <cellStyle name="Normal 9 2 2 3 2 6 2 2" xfId="19608" xr:uid="{031746FA-A52E-46A0-9940-83CD50F04F4E}"/>
    <cellStyle name="Normal 9 2 2 3 2 6 3" xfId="11179" xr:uid="{AA9EBC77-F06F-4DCE-A123-24C0B4E53894}"/>
    <cellStyle name="Normal 9 2 2 3 2 6 4" xfId="15390" xr:uid="{E2559C5D-A27B-4679-8A08-E0D49EF51762}"/>
    <cellStyle name="Normal 9 2 2 3 2 7" xfId="4882" xr:uid="{00000000-0005-0000-0000-0000D21E0000}"/>
    <cellStyle name="Normal 9 2 2 3 2 7 2" xfId="17543" xr:uid="{B4E1D6E8-3685-4CEC-B0D8-62E070E1FF31}"/>
    <cellStyle name="Normal 9 2 2 3 2 8" xfId="9114" xr:uid="{10E506E0-80E4-4356-9017-6B02E437C0BF}"/>
    <cellStyle name="Normal 9 2 2 3 2 9" xfId="13325" xr:uid="{55E8871B-08AE-46D7-9630-C6D756EC26D1}"/>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20100" xr:uid="{EBB977BD-AC71-4C8E-8200-6AA99CC1A182}"/>
    <cellStyle name="Normal 9 2 2 3 3 2 3" xfId="11671" xr:uid="{E6BC74A5-FF1D-4CC2-A72D-4FCA8D1EF92E}"/>
    <cellStyle name="Normal 9 2 2 3 3 2 4" xfId="15882" xr:uid="{C242E743-B6AE-43BB-8E3B-F882F99ED49E}"/>
    <cellStyle name="Normal 9 2 2 3 3 3" xfId="5294" xr:uid="{00000000-0005-0000-0000-0000D61E0000}"/>
    <cellStyle name="Normal 9 2 2 3 3 3 2" xfId="17955" xr:uid="{CF9F3C7E-1936-46B0-89E4-1F19221F2E0E}"/>
    <cellStyle name="Normal 9 2 2 3 3 4" xfId="9526" xr:uid="{DFEF7464-9E61-468F-BC8B-87C2F5A89F36}"/>
    <cellStyle name="Normal 9 2 2 3 3 5" xfId="13737" xr:uid="{3CD4BDE2-FC87-46D7-B272-2D7D0CCDD065}"/>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20513" xr:uid="{46469E03-8A73-467F-8525-36D9C7647571}"/>
    <cellStyle name="Normal 9 2 2 3 4 2 3" xfId="12084" xr:uid="{BA7E0AB9-8351-4C67-9863-0CEF82B4EF74}"/>
    <cellStyle name="Normal 9 2 2 3 4 2 4" xfId="16295" xr:uid="{35F35697-0489-4CE3-96E6-9FB793A3C829}"/>
    <cellStyle name="Normal 9 2 2 3 4 3" xfId="5707" xr:uid="{00000000-0005-0000-0000-0000DA1E0000}"/>
    <cellStyle name="Normal 9 2 2 3 4 3 2" xfId="18368" xr:uid="{B132AC0E-D0EC-460F-B21C-34566680EC4D}"/>
    <cellStyle name="Normal 9 2 2 3 4 4" xfId="9939" xr:uid="{738D35D4-EAED-4A57-A73B-B88CB0DEDA16}"/>
    <cellStyle name="Normal 9 2 2 3 4 5" xfId="14150" xr:uid="{4035DA7A-0542-45DC-B8F1-D0EC3651D468}"/>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20926" xr:uid="{0C5248CA-8274-404B-B827-5058AB9CDF5B}"/>
    <cellStyle name="Normal 9 2 2 3 5 2 3" xfId="12497" xr:uid="{636B1B88-FEFE-4799-A00C-0740C5C2AA21}"/>
    <cellStyle name="Normal 9 2 2 3 5 2 4" xfId="16708" xr:uid="{CDD7362D-6B89-48E1-97B3-315B5E76332B}"/>
    <cellStyle name="Normal 9 2 2 3 5 3" xfId="6120" xr:uid="{00000000-0005-0000-0000-0000DE1E0000}"/>
    <cellStyle name="Normal 9 2 2 3 5 3 2" xfId="18781" xr:uid="{F1546155-9CB3-4E02-B4D2-508796734BE9}"/>
    <cellStyle name="Normal 9 2 2 3 5 4" xfId="10352" xr:uid="{8D6F6844-DE6D-4E47-AF1D-4AD08C0DFC48}"/>
    <cellStyle name="Normal 9 2 2 3 5 5" xfId="14563" xr:uid="{4F10A63A-5A76-4300-A2E8-8CA4868F2C38}"/>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21339" xr:uid="{1DEA2357-1E04-443B-9908-905242B09D57}"/>
    <cellStyle name="Normal 9 2 2 3 6 2 3" xfId="12910" xr:uid="{52BB6281-E666-44D6-8E89-04DA4EF2123F}"/>
    <cellStyle name="Normal 9 2 2 3 6 2 4" xfId="17121" xr:uid="{CD1BE406-16C0-4595-8D4F-F907AFD3BC07}"/>
    <cellStyle name="Normal 9 2 2 3 6 3" xfId="6533" xr:uid="{00000000-0005-0000-0000-0000E21E0000}"/>
    <cellStyle name="Normal 9 2 2 3 6 3 2" xfId="19194" xr:uid="{1F3DC8F0-05CD-4ABA-AE0C-881B2E0A18AF}"/>
    <cellStyle name="Normal 9 2 2 3 6 4" xfId="10765" xr:uid="{BD167649-6518-4915-B0DF-C7C892235A37}"/>
    <cellStyle name="Normal 9 2 2 3 6 5" xfId="14976" xr:uid="{55C0BBE4-E784-4E82-BED2-21FA0413B417}"/>
    <cellStyle name="Normal 9 2 2 3 7" xfId="2663" xr:uid="{00000000-0005-0000-0000-0000E31E0000}"/>
    <cellStyle name="Normal 9 2 2 3 7 2" xfId="6946" xr:uid="{00000000-0005-0000-0000-0000E41E0000}"/>
    <cellStyle name="Normal 9 2 2 3 7 2 2" xfId="19607" xr:uid="{93BF4EB0-B216-48FE-8BBD-43A73B735B84}"/>
    <cellStyle name="Normal 9 2 2 3 7 3" xfId="11178" xr:uid="{95ACB77A-C07E-4C7A-A8AA-AB80097A9C52}"/>
    <cellStyle name="Normal 9 2 2 3 7 4" xfId="15389" xr:uid="{C7E7CE7D-CB2B-4A47-96A4-CD8DA0D01F72}"/>
    <cellStyle name="Normal 9 2 2 3 8" xfId="4881" xr:uid="{00000000-0005-0000-0000-0000E51E0000}"/>
    <cellStyle name="Normal 9 2 2 3 8 2" xfId="17542" xr:uid="{77BCDC55-4C96-4BF2-95F4-C1F05FDF1EB6}"/>
    <cellStyle name="Normal 9 2 2 3 9" xfId="9113" xr:uid="{7B65BEAE-63D1-4901-A60A-476DCD86BF27}"/>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20102" xr:uid="{0C89CB55-CD05-4505-B933-DFC1ED1E8017}"/>
    <cellStyle name="Normal 9 2 2 4 2 2 3" xfId="11673" xr:uid="{3C40A7F3-35B5-4544-AE38-2F2E61CEE6C7}"/>
    <cellStyle name="Normal 9 2 2 4 2 2 4" xfId="15884" xr:uid="{E70DC979-667E-452F-8F36-20F1388FB8AE}"/>
    <cellStyle name="Normal 9 2 2 4 2 3" xfId="5296" xr:uid="{00000000-0005-0000-0000-0000EA1E0000}"/>
    <cellStyle name="Normal 9 2 2 4 2 3 2" xfId="17957" xr:uid="{D53638AF-3526-4E3C-8103-57F40815D7B8}"/>
    <cellStyle name="Normal 9 2 2 4 2 4" xfId="9528" xr:uid="{12670756-9932-4E26-820D-A573DC234B48}"/>
    <cellStyle name="Normal 9 2 2 4 2 5" xfId="13739" xr:uid="{C7E69E51-32FD-4830-844C-BED61FB32E95}"/>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20515" xr:uid="{BA10C69D-A05F-4575-8137-09ED2D346868}"/>
    <cellStyle name="Normal 9 2 2 4 3 2 3" xfId="12086" xr:uid="{DE7ADBB8-ACBE-4B1D-A82E-EF35E37A32B8}"/>
    <cellStyle name="Normal 9 2 2 4 3 2 4" xfId="16297" xr:uid="{6E5F9F49-78A3-4795-BF04-8709C4A29106}"/>
    <cellStyle name="Normal 9 2 2 4 3 3" xfId="5709" xr:uid="{00000000-0005-0000-0000-0000EE1E0000}"/>
    <cellStyle name="Normal 9 2 2 4 3 3 2" xfId="18370" xr:uid="{5EFF398E-4E9C-4B7D-AECA-FCB7E560EE39}"/>
    <cellStyle name="Normal 9 2 2 4 3 4" xfId="9941" xr:uid="{116848D5-B221-4F86-9C49-FE6993B741C6}"/>
    <cellStyle name="Normal 9 2 2 4 3 5" xfId="14152" xr:uid="{15C1108E-D7D6-4237-AB8E-9947EB0AF70B}"/>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20928" xr:uid="{06DBFC60-3CAE-4158-A5E7-FC8EE9EFFF73}"/>
    <cellStyle name="Normal 9 2 2 4 4 2 3" xfId="12499" xr:uid="{70AC8373-B4B3-4EFC-815E-147A80F1F3B4}"/>
    <cellStyle name="Normal 9 2 2 4 4 2 4" xfId="16710" xr:uid="{92C000B4-9E4E-4CF5-99E7-688B727984D5}"/>
    <cellStyle name="Normal 9 2 2 4 4 3" xfId="6122" xr:uid="{00000000-0005-0000-0000-0000F21E0000}"/>
    <cellStyle name="Normal 9 2 2 4 4 3 2" xfId="18783" xr:uid="{F4F451B3-8D64-4659-B4ED-9C33623A6FB7}"/>
    <cellStyle name="Normal 9 2 2 4 4 4" xfId="10354" xr:uid="{4A749A61-1BD6-428D-8809-32CF78E123A2}"/>
    <cellStyle name="Normal 9 2 2 4 4 5" xfId="14565" xr:uid="{324BF7EC-A112-4E54-AB2A-A63911FFAE72}"/>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21341" xr:uid="{82DDC956-C8A2-44C5-8F12-5C9641225883}"/>
    <cellStyle name="Normal 9 2 2 4 5 2 3" xfId="12912" xr:uid="{B46B1463-02AB-4EED-9F43-2093B5179755}"/>
    <cellStyle name="Normal 9 2 2 4 5 2 4" xfId="17123" xr:uid="{92DF0EC2-6DBC-4576-BE9E-6300DDD4B569}"/>
    <cellStyle name="Normal 9 2 2 4 5 3" xfId="6535" xr:uid="{00000000-0005-0000-0000-0000F61E0000}"/>
    <cellStyle name="Normal 9 2 2 4 5 3 2" xfId="19196" xr:uid="{D90DBA0A-BE72-4C21-9815-6E4942370F25}"/>
    <cellStyle name="Normal 9 2 2 4 5 4" xfId="10767" xr:uid="{C052160A-D989-4C0A-A126-FFDBE1A7FA86}"/>
    <cellStyle name="Normal 9 2 2 4 5 5" xfId="14978" xr:uid="{F65629E7-4239-423F-828E-A574E1CA2388}"/>
    <cellStyle name="Normal 9 2 2 4 6" xfId="2665" xr:uid="{00000000-0005-0000-0000-0000F71E0000}"/>
    <cellStyle name="Normal 9 2 2 4 6 2" xfId="6948" xr:uid="{00000000-0005-0000-0000-0000F81E0000}"/>
    <cellStyle name="Normal 9 2 2 4 6 2 2" xfId="19609" xr:uid="{ADE54513-BEE1-4EC6-82B2-8D777326A954}"/>
    <cellStyle name="Normal 9 2 2 4 6 3" xfId="11180" xr:uid="{5C807F3B-BD52-4D5B-8153-BDE13B1FCB43}"/>
    <cellStyle name="Normal 9 2 2 4 6 4" xfId="15391" xr:uid="{4E2B454C-EC16-48A2-B551-35A434E743F3}"/>
    <cellStyle name="Normal 9 2 2 4 7" xfId="4883" xr:uid="{00000000-0005-0000-0000-0000F91E0000}"/>
    <cellStyle name="Normal 9 2 2 4 7 2" xfId="17544" xr:uid="{09C9A364-8AAF-478B-BC12-37341B2E80D1}"/>
    <cellStyle name="Normal 9 2 2 4 8" xfId="9115" xr:uid="{820A0C3A-D9FD-4D75-980E-04A271C380CE}"/>
    <cellStyle name="Normal 9 2 2 4 9" xfId="13326" xr:uid="{CBF71CC8-4D3D-40D2-9A44-583AD6A3226A}"/>
    <cellStyle name="Normal 9 2 2 5" xfId="979" xr:uid="{00000000-0005-0000-0000-0000FA1E0000}"/>
    <cellStyle name="Normal 9 2 2 5 2" xfId="3212" xr:uid="{00000000-0005-0000-0000-0000FB1E0000}"/>
    <cellStyle name="Normal 9 2 2 5 2 2" xfId="7434" xr:uid="{00000000-0005-0000-0000-0000FC1E0000}"/>
    <cellStyle name="Normal 9 2 2 5 2 2 2" xfId="20095" xr:uid="{EEAB13DA-ABD5-43B4-B2B3-FEDEBCF27F4A}"/>
    <cellStyle name="Normal 9 2 2 5 2 3" xfId="11666" xr:uid="{80297343-AAD9-4702-8197-CA44FA940339}"/>
    <cellStyle name="Normal 9 2 2 5 2 4" xfId="15877" xr:uid="{CBC2DD22-6C7A-4D18-B455-EE31322B48DA}"/>
    <cellStyle name="Normal 9 2 2 5 3" xfId="5289" xr:uid="{00000000-0005-0000-0000-0000FD1E0000}"/>
    <cellStyle name="Normal 9 2 2 5 3 2" xfId="17950" xr:uid="{29112D46-65EB-48EB-B611-96E21655A736}"/>
    <cellStyle name="Normal 9 2 2 5 4" xfId="9521" xr:uid="{75D2931B-6178-4BC4-8770-E34128BE9F94}"/>
    <cellStyle name="Normal 9 2 2 5 5" xfId="13732" xr:uid="{8C228C98-037A-42BF-913A-2554C9282251}"/>
    <cellStyle name="Normal 9 2 2 6" xfId="1395" xr:uid="{00000000-0005-0000-0000-0000FE1E0000}"/>
    <cellStyle name="Normal 9 2 2 6 2" xfId="3625" xr:uid="{00000000-0005-0000-0000-0000FF1E0000}"/>
    <cellStyle name="Normal 9 2 2 6 2 2" xfId="7847" xr:uid="{00000000-0005-0000-0000-0000001F0000}"/>
    <cellStyle name="Normal 9 2 2 6 2 2 2" xfId="20508" xr:uid="{6C93AE1E-4B8E-45F6-9FB8-5FAD7AD05501}"/>
    <cellStyle name="Normal 9 2 2 6 2 3" xfId="12079" xr:uid="{AD1876C8-2B60-4ABC-B19A-67A15E8C2564}"/>
    <cellStyle name="Normal 9 2 2 6 2 4" xfId="16290" xr:uid="{B71AB23D-E13F-46BD-84A3-FF89E20B9BA4}"/>
    <cellStyle name="Normal 9 2 2 6 3" xfId="5702" xr:uid="{00000000-0005-0000-0000-0000011F0000}"/>
    <cellStyle name="Normal 9 2 2 6 3 2" xfId="18363" xr:uid="{1893336A-90D6-4514-A813-8C298E7F79D1}"/>
    <cellStyle name="Normal 9 2 2 6 4" xfId="9934" xr:uid="{AF452D92-C0B0-465C-A84F-06FD26CE596B}"/>
    <cellStyle name="Normal 9 2 2 6 5" xfId="14145" xr:uid="{D581065D-4572-439E-9D5E-2C8814C10A47}"/>
    <cellStyle name="Normal 9 2 2 7" xfId="1808" xr:uid="{00000000-0005-0000-0000-0000021F0000}"/>
    <cellStyle name="Normal 9 2 2 7 2" xfId="4038" xr:uid="{00000000-0005-0000-0000-0000031F0000}"/>
    <cellStyle name="Normal 9 2 2 7 2 2" xfId="8260" xr:uid="{00000000-0005-0000-0000-0000041F0000}"/>
    <cellStyle name="Normal 9 2 2 7 2 2 2" xfId="20921" xr:uid="{53D6F2E7-6BF5-4447-95C5-3EC9598B0A6E}"/>
    <cellStyle name="Normal 9 2 2 7 2 3" xfId="12492" xr:uid="{8467D47E-8A7F-49D2-A652-1AA1B74195E1}"/>
    <cellStyle name="Normal 9 2 2 7 2 4" xfId="16703" xr:uid="{6721AE4D-499D-466C-9302-828DE5744D4B}"/>
    <cellStyle name="Normal 9 2 2 7 3" xfId="6115" xr:uid="{00000000-0005-0000-0000-0000051F0000}"/>
    <cellStyle name="Normal 9 2 2 7 3 2" xfId="18776" xr:uid="{DA01DE92-DD10-49D2-8CCD-CAFFEEE8A5A4}"/>
    <cellStyle name="Normal 9 2 2 7 4" xfId="10347" xr:uid="{5337DA49-056F-4557-BDF3-3BFB59EBBE0E}"/>
    <cellStyle name="Normal 9 2 2 7 5" xfId="14558" xr:uid="{2FF8CEAD-5F3F-48E0-817F-459EF084998F}"/>
    <cellStyle name="Normal 9 2 2 8" xfId="2222" xr:uid="{00000000-0005-0000-0000-0000061F0000}"/>
    <cellStyle name="Normal 9 2 2 8 2" xfId="4451" xr:uid="{00000000-0005-0000-0000-0000071F0000}"/>
    <cellStyle name="Normal 9 2 2 8 2 2" xfId="8673" xr:uid="{00000000-0005-0000-0000-0000081F0000}"/>
    <cellStyle name="Normal 9 2 2 8 2 2 2" xfId="21334" xr:uid="{BC7DC90F-336F-4A37-BAC6-4423A73DCB09}"/>
    <cellStyle name="Normal 9 2 2 8 2 3" xfId="12905" xr:uid="{D641E8D2-837E-44A6-8D9B-66189D1BFFD7}"/>
    <cellStyle name="Normal 9 2 2 8 2 4" xfId="17116" xr:uid="{692C9008-4297-45B6-BDA4-A381014C1BC1}"/>
    <cellStyle name="Normal 9 2 2 8 3" xfId="6528" xr:uid="{00000000-0005-0000-0000-0000091F0000}"/>
    <cellStyle name="Normal 9 2 2 8 3 2" xfId="19189" xr:uid="{5FA640A8-4AAD-4C22-8C14-12082DF48061}"/>
    <cellStyle name="Normal 9 2 2 8 4" xfId="10760" xr:uid="{2B29336F-2247-479F-BC95-E1CF25FB4013}"/>
    <cellStyle name="Normal 9 2 2 8 5" xfId="14971" xr:uid="{C89B3451-72E1-48FF-AAE4-3658D9CC4559}"/>
    <cellStyle name="Normal 9 2 2 9" xfId="2658" xr:uid="{00000000-0005-0000-0000-00000A1F0000}"/>
    <cellStyle name="Normal 9 2 2 9 2" xfId="6941" xr:uid="{00000000-0005-0000-0000-00000B1F0000}"/>
    <cellStyle name="Normal 9 2 2 9 2 2" xfId="19602" xr:uid="{F8A2760A-FF93-4BE1-A2AF-45F0F038A14B}"/>
    <cellStyle name="Normal 9 2 2 9 3" xfId="11173" xr:uid="{5CB062A0-DC02-469F-9A51-95AF7C5DC68E}"/>
    <cellStyle name="Normal 9 2 2 9 4" xfId="15384" xr:uid="{C2319D6D-4D72-4E6B-A1C6-B5F296F7E0CF}"/>
    <cellStyle name="Normal 9 2 3" xfId="520" xr:uid="{00000000-0005-0000-0000-00000C1F0000}"/>
    <cellStyle name="Normal 9 2 3 10" xfId="9116" xr:uid="{4EA5E435-71A3-4622-8865-DE61689DE538}"/>
    <cellStyle name="Normal 9 2 3 11" xfId="13327" xr:uid="{BF2C7B24-DF92-4B71-AEA7-190697BDE25A}"/>
    <cellStyle name="Normal 9 2 3 2" xfId="521" xr:uid="{00000000-0005-0000-0000-00000D1F0000}"/>
    <cellStyle name="Normal 9 2 3 2 10" xfId="13328" xr:uid="{5D4F8932-7DC6-4177-A7A7-708A3FE98299}"/>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20105" xr:uid="{41545A9D-9021-43A0-B3A5-83B1CA50351B}"/>
    <cellStyle name="Normal 9 2 3 2 2 2 2 3" xfId="11676" xr:uid="{F7646DED-9B13-4299-A6A1-5777B36598F4}"/>
    <cellStyle name="Normal 9 2 3 2 2 2 2 4" xfId="15887" xr:uid="{92C27933-7C00-4842-BF17-562048AEE10B}"/>
    <cellStyle name="Normal 9 2 3 2 2 2 3" xfId="5299" xr:uid="{00000000-0005-0000-0000-0000121F0000}"/>
    <cellStyle name="Normal 9 2 3 2 2 2 3 2" xfId="17960" xr:uid="{FEB55395-24DF-4F9C-8AAE-510B88191EEA}"/>
    <cellStyle name="Normal 9 2 3 2 2 2 4" xfId="9531" xr:uid="{ABBC44DE-4533-424E-896E-CB4A95DF8AD0}"/>
    <cellStyle name="Normal 9 2 3 2 2 2 5" xfId="13742" xr:uid="{65F61165-5A4D-452A-9FC2-52F77784931B}"/>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20518" xr:uid="{7DD5F760-5E3F-4DF5-B44B-4E4B7B5384F5}"/>
    <cellStyle name="Normal 9 2 3 2 2 3 2 3" xfId="12089" xr:uid="{102FED7E-3EEA-45CB-B072-5E37F9486880}"/>
    <cellStyle name="Normal 9 2 3 2 2 3 2 4" xfId="16300" xr:uid="{1687E0BA-DB74-46B8-B8EE-D0266B59C85B}"/>
    <cellStyle name="Normal 9 2 3 2 2 3 3" xfId="5712" xr:uid="{00000000-0005-0000-0000-0000161F0000}"/>
    <cellStyle name="Normal 9 2 3 2 2 3 3 2" xfId="18373" xr:uid="{9CBD9E75-6084-449C-9369-88D86AB31E48}"/>
    <cellStyle name="Normal 9 2 3 2 2 3 4" xfId="9944" xr:uid="{9FDC0B6F-4EF5-48AC-8700-78A2521FA207}"/>
    <cellStyle name="Normal 9 2 3 2 2 3 5" xfId="14155" xr:uid="{7DD00139-6F52-4601-8EA4-A34595448A04}"/>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20931" xr:uid="{78163C62-D66F-4EBA-AF5C-E9E7E65444B1}"/>
    <cellStyle name="Normal 9 2 3 2 2 4 2 3" xfId="12502" xr:uid="{BB297010-062D-420C-BEE9-B66F1E1A0825}"/>
    <cellStyle name="Normal 9 2 3 2 2 4 2 4" xfId="16713" xr:uid="{B50F4942-EF20-4F1F-A54C-94D77FE87A87}"/>
    <cellStyle name="Normal 9 2 3 2 2 4 3" xfId="6125" xr:uid="{00000000-0005-0000-0000-00001A1F0000}"/>
    <cellStyle name="Normal 9 2 3 2 2 4 3 2" xfId="18786" xr:uid="{C883A745-B096-48ED-B93C-BB8AE4A90AFE}"/>
    <cellStyle name="Normal 9 2 3 2 2 4 4" xfId="10357" xr:uid="{317D9A93-110D-4046-86BB-5A10F6ECC614}"/>
    <cellStyle name="Normal 9 2 3 2 2 4 5" xfId="14568" xr:uid="{79FCBB6F-908D-4146-8AA9-CF2AD30F6478}"/>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21344" xr:uid="{D0142FCB-C06E-4D5F-8700-CEFB02D973A5}"/>
    <cellStyle name="Normal 9 2 3 2 2 5 2 3" xfId="12915" xr:uid="{7C347400-5219-4CCE-A0E8-128B9D652804}"/>
    <cellStyle name="Normal 9 2 3 2 2 5 2 4" xfId="17126" xr:uid="{AE03EEDC-A607-440C-8151-5562DADB2F05}"/>
    <cellStyle name="Normal 9 2 3 2 2 5 3" xfId="6538" xr:uid="{00000000-0005-0000-0000-00001E1F0000}"/>
    <cellStyle name="Normal 9 2 3 2 2 5 3 2" xfId="19199" xr:uid="{FE37A4A2-6BA5-4098-AEC3-E61CAA68318D}"/>
    <cellStyle name="Normal 9 2 3 2 2 5 4" xfId="10770" xr:uid="{7B505914-60E0-4997-85BF-459E402C8DBF}"/>
    <cellStyle name="Normal 9 2 3 2 2 5 5" xfId="14981" xr:uid="{AD1A8C13-695A-4DE7-9027-89F3EA492891}"/>
    <cellStyle name="Normal 9 2 3 2 2 6" xfId="2668" xr:uid="{00000000-0005-0000-0000-00001F1F0000}"/>
    <cellStyle name="Normal 9 2 3 2 2 6 2" xfId="6951" xr:uid="{00000000-0005-0000-0000-0000201F0000}"/>
    <cellStyle name="Normal 9 2 3 2 2 6 2 2" xfId="19612" xr:uid="{0B4B610F-403B-4720-9F44-1B6AF85513E2}"/>
    <cellStyle name="Normal 9 2 3 2 2 6 3" xfId="11183" xr:uid="{38983891-0DB8-4942-814D-94D058CCCE41}"/>
    <cellStyle name="Normal 9 2 3 2 2 6 4" xfId="15394" xr:uid="{04DEA553-56C7-4FBF-A911-663EEA049F85}"/>
    <cellStyle name="Normal 9 2 3 2 2 7" xfId="4886" xr:uid="{00000000-0005-0000-0000-0000211F0000}"/>
    <cellStyle name="Normal 9 2 3 2 2 7 2" xfId="17547" xr:uid="{14673F5D-CFC2-42C5-91AE-91D3F7956AE2}"/>
    <cellStyle name="Normal 9 2 3 2 2 8" xfId="9118" xr:uid="{5D0EBABC-7516-416F-A700-95035BF19C54}"/>
    <cellStyle name="Normal 9 2 3 2 2 9" xfId="13329" xr:uid="{C2AA4D35-3B79-4B5F-B4AB-1454103AEFD3}"/>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20104" xr:uid="{2507C4C7-2960-4E0B-A68E-085C368F31CC}"/>
    <cellStyle name="Normal 9 2 3 2 3 2 3" xfId="11675" xr:uid="{FBFD7A30-BD6C-4D5A-9D87-1DF7AF657284}"/>
    <cellStyle name="Normal 9 2 3 2 3 2 4" xfId="15886" xr:uid="{B36F0C48-28C1-4E3D-A1EC-0A2C50F81F7E}"/>
    <cellStyle name="Normal 9 2 3 2 3 3" xfId="5298" xr:uid="{00000000-0005-0000-0000-0000251F0000}"/>
    <cellStyle name="Normal 9 2 3 2 3 3 2" xfId="17959" xr:uid="{8CFDF3C9-178D-4EFF-8741-10BA3E65805B}"/>
    <cellStyle name="Normal 9 2 3 2 3 4" xfId="9530" xr:uid="{BE757ABA-42B4-4569-9F0C-C64D1A3FB526}"/>
    <cellStyle name="Normal 9 2 3 2 3 5" xfId="13741" xr:uid="{88CF7D8F-84CE-4F41-8409-731CAE834ABF}"/>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20517" xr:uid="{E3EEE8CA-9C0B-4224-B90A-E7D7862D5700}"/>
    <cellStyle name="Normal 9 2 3 2 4 2 3" xfId="12088" xr:uid="{6D58BEC5-E7EF-4095-906F-8089F37CC977}"/>
    <cellStyle name="Normal 9 2 3 2 4 2 4" xfId="16299" xr:uid="{9CDD7D1C-A771-4EC2-B570-90DF1CBC4A2C}"/>
    <cellStyle name="Normal 9 2 3 2 4 3" xfId="5711" xr:uid="{00000000-0005-0000-0000-0000291F0000}"/>
    <cellStyle name="Normal 9 2 3 2 4 3 2" xfId="18372" xr:uid="{2544E912-B352-420B-A463-0230C9E51580}"/>
    <cellStyle name="Normal 9 2 3 2 4 4" xfId="9943" xr:uid="{CB97756A-572E-47AC-9275-20C9B809C04D}"/>
    <cellStyle name="Normal 9 2 3 2 4 5" xfId="14154" xr:uid="{DE7C6036-B70D-4733-B8BE-F9DB1F793601}"/>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20930" xr:uid="{84BABDAC-92A9-4867-8722-F171A4BE6FDD}"/>
    <cellStyle name="Normal 9 2 3 2 5 2 3" xfId="12501" xr:uid="{C3521763-8F3F-42BE-AD9A-1345DF379940}"/>
    <cellStyle name="Normal 9 2 3 2 5 2 4" xfId="16712" xr:uid="{65B55ADE-B96D-4C24-B26B-58411B4892A7}"/>
    <cellStyle name="Normal 9 2 3 2 5 3" xfId="6124" xr:uid="{00000000-0005-0000-0000-00002D1F0000}"/>
    <cellStyle name="Normal 9 2 3 2 5 3 2" xfId="18785" xr:uid="{BD42E5EE-0B15-4C6F-B749-E100F95920AE}"/>
    <cellStyle name="Normal 9 2 3 2 5 4" xfId="10356" xr:uid="{89D7EEA6-4A5C-46D1-8046-300A1F274E5F}"/>
    <cellStyle name="Normal 9 2 3 2 5 5" xfId="14567" xr:uid="{6D79626D-F44D-4AB8-A39B-A3001BF3D0E3}"/>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21343" xr:uid="{A51B06DB-3F5F-4729-B4B8-139B78F08A60}"/>
    <cellStyle name="Normal 9 2 3 2 6 2 3" xfId="12914" xr:uid="{B9A65C99-6E5E-4A70-8568-4CE16085B3BF}"/>
    <cellStyle name="Normal 9 2 3 2 6 2 4" xfId="17125" xr:uid="{3A847AA4-54CA-4880-9A51-5CCB6C58ED4D}"/>
    <cellStyle name="Normal 9 2 3 2 6 3" xfId="6537" xr:uid="{00000000-0005-0000-0000-0000311F0000}"/>
    <cellStyle name="Normal 9 2 3 2 6 3 2" xfId="19198" xr:uid="{AC3C72EF-4391-4EE1-82F7-1FC71704BE21}"/>
    <cellStyle name="Normal 9 2 3 2 6 4" xfId="10769" xr:uid="{A0C27985-050C-48D3-9EC3-6D221B973F27}"/>
    <cellStyle name="Normal 9 2 3 2 6 5" xfId="14980" xr:uid="{381F15C2-30A0-4899-A12C-16D06C65A0C7}"/>
    <cellStyle name="Normal 9 2 3 2 7" xfId="2667" xr:uid="{00000000-0005-0000-0000-0000321F0000}"/>
    <cellStyle name="Normal 9 2 3 2 7 2" xfId="6950" xr:uid="{00000000-0005-0000-0000-0000331F0000}"/>
    <cellStyle name="Normal 9 2 3 2 7 2 2" xfId="19611" xr:uid="{D7C2F29E-0F39-462D-90B9-2053ED99BEDE}"/>
    <cellStyle name="Normal 9 2 3 2 7 3" xfId="11182" xr:uid="{DE6EE087-FB65-46DD-AC17-6D4DE14EF5C8}"/>
    <cellStyle name="Normal 9 2 3 2 7 4" xfId="15393" xr:uid="{7E04DC38-919D-419D-A910-9E65CC9082AF}"/>
    <cellStyle name="Normal 9 2 3 2 8" xfId="4885" xr:uid="{00000000-0005-0000-0000-0000341F0000}"/>
    <cellStyle name="Normal 9 2 3 2 8 2" xfId="17546" xr:uid="{EAA42C2B-8AEB-461A-B4C8-E22562143AF1}"/>
    <cellStyle name="Normal 9 2 3 2 9" xfId="9117" xr:uid="{71DD99CA-CA14-450A-AD99-5C9B38F531E1}"/>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20106" xr:uid="{F4871BD8-ACEB-411E-A5C1-E4DA56A49F9F}"/>
    <cellStyle name="Normal 9 2 3 3 2 2 3" xfId="11677" xr:uid="{0A50DBFB-8EB5-4CAC-ABE7-56B719A71D6B}"/>
    <cellStyle name="Normal 9 2 3 3 2 2 4" xfId="15888" xr:uid="{E9DE5CA9-631F-4E76-9743-778BA899B72C}"/>
    <cellStyle name="Normal 9 2 3 3 2 3" xfId="5300" xr:uid="{00000000-0005-0000-0000-0000391F0000}"/>
    <cellStyle name="Normal 9 2 3 3 2 3 2" xfId="17961" xr:uid="{B8BFD927-A0D8-4113-BD2E-94D7FE644C99}"/>
    <cellStyle name="Normal 9 2 3 3 2 4" xfId="9532" xr:uid="{01790606-DFC8-4CED-9AD6-9D1C58978A2E}"/>
    <cellStyle name="Normal 9 2 3 3 2 5" xfId="13743" xr:uid="{EFE3DE09-2227-4018-84EB-476A2DD1BC7F}"/>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20519" xr:uid="{8BE00450-949D-48F1-96FA-B0430DC2DA8F}"/>
    <cellStyle name="Normal 9 2 3 3 3 2 3" xfId="12090" xr:uid="{279690CE-1518-4732-9AAC-941CF6F871F2}"/>
    <cellStyle name="Normal 9 2 3 3 3 2 4" xfId="16301" xr:uid="{7CC5A5C0-A0BF-4D03-8E21-734A8DDB0666}"/>
    <cellStyle name="Normal 9 2 3 3 3 3" xfId="5713" xr:uid="{00000000-0005-0000-0000-00003D1F0000}"/>
    <cellStyle name="Normal 9 2 3 3 3 3 2" xfId="18374" xr:uid="{28F048FE-A60D-4689-AF8B-179E6F9E8E66}"/>
    <cellStyle name="Normal 9 2 3 3 3 4" xfId="9945" xr:uid="{4E341BBA-2256-40E0-840E-8AFFD4425922}"/>
    <cellStyle name="Normal 9 2 3 3 3 5" xfId="14156" xr:uid="{9ED469AF-D1B2-4F4B-9AEC-3E6CFCE43267}"/>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20932" xr:uid="{5256A88F-67F6-4D1C-A8E2-E2CE3EF07C75}"/>
    <cellStyle name="Normal 9 2 3 3 4 2 3" xfId="12503" xr:uid="{26A409FF-5AB1-4EE1-8091-1ECC74CE5379}"/>
    <cellStyle name="Normal 9 2 3 3 4 2 4" xfId="16714" xr:uid="{846D784F-0741-41FE-9366-09789F0148F7}"/>
    <cellStyle name="Normal 9 2 3 3 4 3" xfId="6126" xr:uid="{00000000-0005-0000-0000-0000411F0000}"/>
    <cellStyle name="Normal 9 2 3 3 4 3 2" xfId="18787" xr:uid="{F2D255D4-4729-414A-A5E1-69974CCC76BE}"/>
    <cellStyle name="Normal 9 2 3 3 4 4" xfId="10358" xr:uid="{76C802F9-89EC-49F2-8C9B-D6A979DE2F3A}"/>
    <cellStyle name="Normal 9 2 3 3 4 5" xfId="14569" xr:uid="{D4BE185F-7030-4B5F-854A-21C7D8A6BBB2}"/>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21345" xr:uid="{D1AC3389-2F5D-45AD-AF9C-834799E2B90F}"/>
    <cellStyle name="Normal 9 2 3 3 5 2 3" xfId="12916" xr:uid="{68C5BAC2-4002-4E6E-9312-4D0D45F910DF}"/>
    <cellStyle name="Normal 9 2 3 3 5 2 4" xfId="17127" xr:uid="{15D08B42-1F8C-4829-9E70-7F365BDCBD14}"/>
    <cellStyle name="Normal 9 2 3 3 5 3" xfId="6539" xr:uid="{00000000-0005-0000-0000-0000451F0000}"/>
    <cellStyle name="Normal 9 2 3 3 5 3 2" xfId="19200" xr:uid="{472D6D45-10E3-404C-876B-B78A386502AF}"/>
    <cellStyle name="Normal 9 2 3 3 5 4" xfId="10771" xr:uid="{5F598543-4268-4E5E-85A6-11E79BECE397}"/>
    <cellStyle name="Normal 9 2 3 3 5 5" xfId="14982" xr:uid="{AF1D8954-F3BD-4E57-9190-467DD969E8D2}"/>
    <cellStyle name="Normal 9 2 3 3 6" xfId="2669" xr:uid="{00000000-0005-0000-0000-0000461F0000}"/>
    <cellStyle name="Normal 9 2 3 3 6 2" xfId="6952" xr:uid="{00000000-0005-0000-0000-0000471F0000}"/>
    <cellStyle name="Normal 9 2 3 3 6 2 2" xfId="19613" xr:uid="{881F6859-61A1-4BC5-888F-3EA59C15B4D5}"/>
    <cellStyle name="Normal 9 2 3 3 6 3" xfId="11184" xr:uid="{D52F0F8F-C472-4AF5-AE5F-28F0A99FF592}"/>
    <cellStyle name="Normal 9 2 3 3 6 4" xfId="15395" xr:uid="{DF532E57-E26E-4D03-B596-BAA8B0F99D69}"/>
    <cellStyle name="Normal 9 2 3 3 7" xfId="4887" xr:uid="{00000000-0005-0000-0000-0000481F0000}"/>
    <cellStyle name="Normal 9 2 3 3 7 2" xfId="17548" xr:uid="{FB5D523F-30DC-4100-A767-944DBCCCC1B3}"/>
    <cellStyle name="Normal 9 2 3 3 8" xfId="9119" xr:uid="{25D5B317-57A0-408E-B52A-44D07FFF0CFC}"/>
    <cellStyle name="Normal 9 2 3 3 9" xfId="13330" xr:uid="{107C3E12-E4A0-47A1-AC42-8ECF01B4F6D1}"/>
    <cellStyle name="Normal 9 2 3 4" xfId="987" xr:uid="{00000000-0005-0000-0000-0000491F0000}"/>
    <cellStyle name="Normal 9 2 3 4 2" xfId="3220" xr:uid="{00000000-0005-0000-0000-00004A1F0000}"/>
    <cellStyle name="Normal 9 2 3 4 2 2" xfId="7442" xr:uid="{00000000-0005-0000-0000-00004B1F0000}"/>
    <cellStyle name="Normal 9 2 3 4 2 2 2" xfId="20103" xr:uid="{B45320CB-47F7-4F61-8968-470131785E77}"/>
    <cellStyle name="Normal 9 2 3 4 2 3" xfId="11674" xr:uid="{B20580F1-9018-4D9E-966B-B102A690BE16}"/>
    <cellStyle name="Normal 9 2 3 4 2 4" xfId="15885" xr:uid="{C45E5A69-DD88-4050-9A1C-298C9BA96345}"/>
    <cellStyle name="Normal 9 2 3 4 3" xfId="5297" xr:uid="{00000000-0005-0000-0000-00004C1F0000}"/>
    <cellStyle name="Normal 9 2 3 4 3 2" xfId="17958" xr:uid="{A8214ED1-EFAC-4BA7-A931-352D2735FB77}"/>
    <cellStyle name="Normal 9 2 3 4 4" xfId="9529" xr:uid="{C0E1C649-252A-48A1-B9BD-F744498E8B20}"/>
    <cellStyle name="Normal 9 2 3 4 5" xfId="13740" xr:uid="{D16F996C-3D98-4CD8-AAC2-52A8F33226DE}"/>
    <cellStyle name="Normal 9 2 3 5" xfId="1403" xr:uid="{00000000-0005-0000-0000-00004D1F0000}"/>
    <cellStyle name="Normal 9 2 3 5 2" xfId="3633" xr:uid="{00000000-0005-0000-0000-00004E1F0000}"/>
    <cellStyle name="Normal 9 2 3 5 2 2" xfId="7855" xr:uid="{00000000-0005-0000-0000-00004F1F0000}"/>
    <cellStyle name="Normal 9 2 3 5 2 2 2" xfId="20516" xr:uid="{7EC73E10-0BF0-4687-AB47-6B86E4D62668}"/>
    <cellStyle name="Normal 9 2 3 5 2 3" xfId="12087" xr:uid="{F74E6E6B-1EA9-4894-AC43-0BDD2349C2B3}"/>
    <cellStyle name="Normal 9 2 3 5 2 4" xfId="16298" xr:uid="{42E671C6-07A6-4BF8-9255-027E4AC44A24}"/>
    <cellStyle name="Normal 9 2 3 5 3" xfId="5710" xr:uid="{00000000-0005-0000-0000-0000501F0000}"/>
    <cellStyle name="Normal 9 2 3 5 3 2" xfId="18371" xr:uid="{F6217AC2-03A9-4661-84C3-60E04DA5E6A7}"/>
    <cellStyle name="Normal 9 2 3 5 4" xfId="9942" xr:uid="{A03E5C5A-D1E3-4435-BCA5-77A79CA8EAA9}"/>
    <cellStyle name="Normal 9 2 3 5 5" xfId="14153" xr:uid="{B8A0581B-85C8-453A-A1F8-0CE98DF15A86}"/>
    <cellStyle name="Normal 9 2 3 6" xfId="1816" xr:uid="{00000000-0005-0000-0000-0000511F0000}"/>
    <cellStyle name="Normal 9 2 3 6 2" xfId="4046" xr:uid="{00000000-0005-0000-0000-0000521F0000}"/>
    <cellStyle name="Normal 9 2 3 6 2 2" xfId="8268" xr:uid="{00000000-0005-0000-0000-0000531F0000}"/>
    <cellStyle name="Normal 9 2 3 6 2 2 2" xfId="20929" xr:uid="{C8746061-C135-4F9B-9DDC-A4B811A59F56}"/>
    <cellStyle name="Normal 9 2 3 6 2 3" xfId="12500" xr:uid="{390A3F54-76CE-4083-B469-4B109EA5CB13}"/>
    <cellStyle name="Normal 9 2 3 6 2 4" xfId="16711" xr:uid="{02CC3755-803E-47CC-A494-82FFAB4594B8}"/>
    <cellStyle name="Normal 9 2 3 6 3" xfId="6123" xr:uid="{00000000-0005-0000-0000-0000541F0000}"/>
    <cellStyle name="Normal 9 2 3 6 3 2" xfId="18784" xr:uid="{865B0214-B6FD-4E63-8F4C-446804B27C76}"/>
    <cellStyle name="Normal 9 2 3 6 4" xfId="10355" xr:uid="{B7E92921-47C1-4C44-8D57-1A02E75F4C57}"/>
    <cellStyle name="Normal 9 2 3 6 5" xfId="14566" xr:uid="{F1A0162B-C2C8-47FD-86BF-0127E42216FC}"/>
    <cellStyle name="Normal 9 2 3 7" xfId="2230" xr:uid="{00000000-0005-0000-0000-0000551F0000}"/>
    <cellStyle name="Normal 9 2 3 7 2" xfId="4459" xr:uid="{00000000-0005-0000-0000-0000561F0000}"/>
    <cellStyle name="Normal 9 2 3 7 2 2" xfId="8681" xr:uid="{00000000-0005-0000-0000-0000571F0000}"/>
    <cellStyle name="Normal 9 2 3 7 2 2 2" xfId="21342" xr:uid="{AAC6B28A-765D-43D3-BDB9-7F127C3F9BDF}"/>
    <cellStyle name="Normal 9 2 3 7 2 3" xfId="12913" xr:uid="{E4713718-F801-459E-A4A4-0042BB4CB4F5}"/>
    <cellStyle name="Normal 9 2 3 7 2 4" xfId="17124" xr:uid="{086002B4-9EDA-43FE-829B-0266E9E8C53F}"/>
    <cellStyle name="Normal 9 2 3 7 3" xfId="6536" xr:uid="{00000000-0005-0000-0000-0000581F0000}"/>
    <cellStyle name="Normal 9 2 3 7 3 2" xfId="19197" xr:uid="{ED190F2D-1ADB-4299-AED6-95CD9AF4DE14}"/>
    <cellStyle name="Normal 9 2 3 7 4" xfId="10768" xr:uid="{DCEE96EC-99A2-48D4-91DF-011CE9C6ACBD}"/>
    <cellStyle name="Normal 9 2 3 7 5" xfId="14979" xr:uid="{AD491A3C-83BF-4D9D-8390-F8BB89C8C45C}"/>
    <cellStyle name="Normal 9 2 3 8" xfId="2666" xr:uid="{00000000-0005-0000-0000-0000591F0000}"/>
    <cellStyle name="Normal 9 2 3 8 2" xfId="6949" xr:uid="{00000000-0005-0000-0000-00005A1F0000}"/>
    <cellStyle name="Normal 9 2 3 8 2 2" xfId="19610" xr:uid="{42D2D329-1D06-4C30-B121-BD4C1F361755}"/>
    <cellStyle name="Normal 9 2 3 8 3" xfId="11181" xr:uid="{78AA6575-1121-46C6-8EBB-360A6225F431}"/>
    <cellStyle name="Normal 9 2 3 8 4" xfId="15392" xr:uid="{20F077EE-8FB8-4784-97BB-C2BED54365A0}"/>
    <cellStyle name="Normal 9 2 3 9" xfId="4884" xr:uid="{00000000-0005-0000-0000-00005B1F0000}"/>
    <cellStyle name="Normal 9 2 3 9 2" xfId="17545" xr:uid="{432C31C5-D7B5-4B39-AB64-C571AD291E64}"/>
    <cellStyle name="Normal 9 2 4" xfId="524" xr:uid="{00000000-0005-0000-0000-00005C1F0000}"/>
    <cellStyle name="Normal 9 2 4 10" xfId="13331" xr:uid="{CA21107A-03DF-48F7-8B5F-238427390F2F}"/>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20108" xr:uid="{1A0679A2-73AA-4C39-9D7F-32E2053F84A9}"/>
    <cellStyle name="Normal 9 2 4 2 2 2 3" xfId="11679" xr:uid="{5DB84CD3-14E2-482C-B085-F18AEFD6D3E3}"/>
    <cellStyle name="Normal 9 2 4 2 2 2 4" xfId="15890" xr:uid="{3E5A7518-AB44-40DD-856B-2F723F9C2FAC}"/>
    <cellStyle name="Normal 9 2 4 2 2 3" xfId="5302" xr:uid="{00000000-0005-0000-0000-0000611F0000}"/>
    <cellStyle name="Normal 9 2 4 2 2 3 2" xfId="17963" xr:uid="{7FE3F691-272A-4DC2-B956-A4A466B14E96}"/>
    <cellStyle name="Normal 9 2 4 2 2 4" xfId="9534" xr:uid="{CE23A89A-6600-4874-8E8B-76F0B581E32B}"/>
    <cellStyle name="Normal 9 2 4 2 2 5" xfId="13745" xr:uid="{6E23E1D1-5181-41C8-AEB6-63AABD360957}"/>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20521" xr:uid="{7D6E24D1-9082-4733-B0F6-380640F5F0B4}"/>
    <cellStyle name="Normal 9 2 4 2 3 2 3" xfId="12092" xr:uid="{CB4190F2-A092-4DE8-B95D-21AABABE3F92}"/>
    <cellStyle name="Normal 9 2 4 2 3 2 4" xfId="16303" xr:uid="{3FB9DFC0-A98C-4DE8-ABE0-FF26AD196C32}"/>
    <cellStyle name="Normal 9 2 4 2 3 3" xfId="5715" xr:uid="{00000000-0005-0000-0000-0000651F0000}"/>
    <cellStyle name="Normal 9 2 4 2 3 3 2" xfId="18376" xr:uid="{D7016FE2-9A5C-43B6-90E9-4F53DAAB7C0E}"/>
    <cellStyle name="Normal 9 2 4 2 3 4" xfId="9947" xr:uid="{87E7E6FC-485B-4DD3-8AF8-CD408097E6CB}"/>
    <cellStyle name="Normal 9 2 4 2 3 5" xfId="14158" xr:uid="{C73085AE-94DA-400C-9EF4-A48FD32B4081}"/>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20934" xr:uid="{97E70697-D877-4DF0-A73A-445CCD287177}"/>
    <cellStyle name="Normal 9 2 4 2 4 2 3" xfId="12505" xr:uid="{D132B756-25D6-46CA-A538-13939079268C}"/>
    <cellStyle name="Normal 9 2 4 2 4 2 4" xfId="16716" xr:uid="{D0887FB2-D3B6-42D9-A933-011E389E60B6}"/>
    <cellStyle name="Normal 9 2 4 2 4 3" xfId="6128" xr:uid="{00000000-0005-0000-0000-0000691F0000}"/>
    <cellStyle name="Normal 9 2 4 2 4 3 2" xfId="18789" xr:uid="{C2082E66-CDBF-41CB-9C8B-9C2605DC7EDA}"/>
    <cellStyle name="Normal 9 2 4 2 4 4" xfId="10360" xr:uid="{8B3D80F2-0921-4272-9E57-691FE29B9175}"/>
    <cellStyle name="Normal 9 2 4 2 4 5" xfId="14571" xr:uid="{35EE50A5-7953-4DFF-8C09-03F41487A4CD}"/>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21347" xr:uid="{1FEFA6C1-14AF-46F9-BAD5-E466A1D68AB1}"/>
    <cellStyle name="Normal 9 2 4 2 5 2 3" xfId="12918" xr:uid="{21C02D40-3FFB-458A-BD9D-0D932B31F5F7}"/>
    <cellStyle name="Normal 9 2 4 2 5 2 4" xfId="17129" xr:uid="{2C2C883C-5FE1-4256-8C9E-4912CBF2A765}"/>
    <cellStyle name="Normal 9 2 4 2 5 3" xfId="6541" xr:uid="{00000000-0005-0000-0000-00006D1F0000}"/>
    <cellStyle name="Normal 9 2 4 2 5 3 2" xfId="19202" xr:uid="{F3E22B58-D5D9-463F-8983-B903476C47C6}"/>
    <cellStyle name="Normal 9 2 4 2 5 4" xfId="10773" xr:uid="{E71DF999-0356-43F7-B2C6-C97B46D80C2C}"/>
    <cellStyle name="Normal 9 2 4 2 5 5" xfId="14984" xr:uid="{331202F2-E181-48F8-AE82-D308EB6983AD}"/>
    <cellStyle name="Normal 9 2 4 2 6" xfId="2671" xr:uid="{00000000-0005-0000-0000-00006E1F0000}"/>
    <cellStyle name="Normal 9 2 4 2 6 2" xfId="6954" xr:uid="{00000000-0005-0000-0000-00006F1F0000}"/>
    <cellStyle name="Normal 9 2 4 2 6 2 2" xfId="19615" xr:uid="{2F4F1B23-1712-4499-8C05-D02D16CAEC3F}"/>
    <cellStyle name="Normal 9 2 4 2 6 3" xfId="11186" xr:uid="{EB6C4EB9-E278-479F-88C7-FF5281D06B5A}"/>
    <cellStyle name="Normal 9 2 4 2 6 4" xfId="15397" xr:uid="{7A27519F-8BB4-4CEA-9BB3-48CFF0ACC431}"/>
    <cellStyle name="Normal 9 2 4 2 7" xfId="4889" xr:uid="{00000000-0005-0000-0000-0000701F0000}"/>
    <cellStyle name="Normal 9 2 4 2 7 2" xfId="17550" xr:uid="{9163EFAC-1128-411D-878D-79A519900FF9}"/>
    <cellStyle name="Normal 9 2 4 2 8" xfId="9121" xr:uid="{2941C7E3-C92C-4E01-A44A-2D26D13D278D}"/>
    <cellStyle name="Normal 9 2 4 2 9" xfId="13332" xr:uid="{14300F26-E035-422B-8CBA-A6CAEE0DBAF5}"/>
    <cellStyle name="Normal 9 2 4 3" xfId="991" xr:uid="{00000000-0005-0000-0000-0000711F0000}"/>
    <cellStyle name="Normal 9 2 4 3 2" xfId="3224" xr:uid="{00000000-0005-0000-0000-0000721F0000}"/>
    <cellStyle name="Normal 9 2 4 3 2 2" xfId="7446" xr:uid="{00000000-0005-0000-0000-0000731F0000}"/>
    <cellStyle name="Normal 9 2 4 3 2 2 2" xfId="20107" xr:uid="{00DD8610-4B58-46BD-A382-439717A85C31}"/>
    <cellStyle name="Normal 9 2 4 3 2 3" xfId="11678" xr:uid="{AEDBFBE9-FF1C-4F43-8D08-268F49B789F4}"/>
    <cellStyle name="Normal 9 2 4 3 2 4" xfId="15889" xr:uid="{5D273BA7-A6F5-424D-9DB0-D9B69F0CB75A}"/>
    <cellStyle name="Normal 9 2 4 3 3" xfId="5301" xr:uid="{00000000-0005-0000-0000-0000741F0000}"/>
    <cellStyle name="Normal 9 2 4 3 3 2" xfId="17962" xr:uid="{026E07E9-4070-4A74-8433-ED40011D4645}"/>
    <cellStyle name="Normal 9 2 4 3 4" xfId="9533" xr:uid="{87807284-91BE-422E-964B-45EBB98DCB21}"/>
    <cellStyle name="Normal 9 2 4 3 5" xfId="13744" xr:uid="{FD6DEA01-EAD5-401E-A818-F2825248F1D8}"/>
    <cellStyle name="Normal 9 2 4 4" xfId="1407" xr:uid="{00000000-0005-0000-0000-0000751F0000}"/>
    <cellStyle name="Normal 9 2 4 4 2" xfId="3637" xr:uid="{00000000-0005-0000-0000-0000761F0000}"/>
    <cellStyle name="Normal 9 2 4 4 2 2" xfId="7859" xr:uid="{00000000-0005-0000-0000-0000771F0000}"/>
    <cellStyle name="Normal 9 2 4 4 2 2 2" xfId="20520" xr:uid="{7374AC45-D820-4A4C-89E9-EC6449C17032}"/>
    <cellStyle name="Normal 9 2 4 4 2 3" xfId="12091" xr:uid="{154CA88D-3241-4AED-AC9F-1C7FDA90983A}"/>
    <cellStyle name="Normal 9 2 4 4 2 4" xfId="16302" xr:uid="{34BB4260-F0C3-44CC-9147-D00C43013278}"/>
    <cellStyle name="Normal 9 2 4 4 3" xfId="5714" xr:uid="{00000000-0005-0000-0000-0000781F0000}"/>
    <cellStyle name="Normal 9 2 4 4 3 2" xfId="18375" xr:uid="{77C575FE-9792-42B2-8824-4752556CB8F2}"/>
    <cellStyle name="Normal 9 2 4 4 4" xfId="9946" xr:uid="{1E041D83-C2D0-4951-842F-8B1B108BA083}"/>
    <cellStyle name="Normal 9 2 4 4 5" xfId="14157" xr:uid="{22847938-1F7A-4167-A575-2D5108DE9879}"/>
    <cellStyle name="Normal 9 2 4 5" xfId="1820" xr:uid="{00000000-0005-0000-0000-0000791F0000}"/>
    <cellStyle name="Normal 9 2 4 5 2" xfId="4050" xr:uid="{00000000-0005-0000-0000-00007A1F0000}"/>
    <cellStyle name="Normal 9 2 4 5 2 2" xfId="8272" xr:uid="{00000000-0005-0000-0000-00007B1F0000}"/>
    <cellStyle name="Normal 9 2 4 5 2 2 2" xfId="20933" xr:uid="{0E5FBB06-4350-4EF0-A2DB-FC120BA2E0C7}"/>
    <cellStyle name="Normal 9 2 4 5 2 3" xfId="12504" xr:uid="{A0A89D12-3637-4BB4-B7C4-E58CE8DC71C7}"/>
    <cellStyle name="Normal 9 2 4 5 2 4" xfId="16715" xr:uid="{8289A693-9D1C-4484-B4B3-5CACFC4E42CD}"/>
    <cellStyle name="Normal 9 2 4 5 3" xfId="6127" xr:uid="{00000000-0005-0000-0000-00007C1F0000}"/>
    <cellStyle name="Normal 9 2 4 5 3 2" xfId="18788" xr:uid="{843D508E-DAE4-459D-9DF9-93532F8B61FF}"/>
    <cellStyle name="Normal 9 2 4 5 4" xfId="10359" xr:uid="{849D5A5F-1EA4-433F-9DD4-D8EF88F9D73C}"/>
    <cellStyle name="Normal 9 2 4 5 5" xfId="14570" xr:uid="{A69B5DE3-C208-4FA3-91CF-86CC01A2A022}"/>
    <cellStyle name="Normal 9 2 4 6" xfId="2234" xr:uid="{00000000-0005-0000-0000-00007D1F0000}"/>
    <cellStyle name="Normal 9 2 4 6 2" xfId="4463" xr:uid="{00000000-0005-0000-0000-00007E1F0000}"/>
    <cellStyle name="Normal 9 2 4 6 2 2" xfId="8685" xr:uid="{00000000-0005-0000-0000-00007F1F0000}"/>
    <cellStyle name="Normal 9 2 4 6 2 2 2" xfId="21346" xr:uid="{5D09647C-D7B2-463E-B661-B464134C3BF6}"/>
    <cellStyle name="Normal 9 2 4 6 2 3" xfId="12917" xr:uid="{75CD8147-2502-4F07-8D04-8F54C7FC2935}"/>
    <cellStyle name="Normal 9 2 4 6 2 4" xfId="17128" xr:uid="{D885BA31-4A41-4DF1-AB8E-D4A20E933812}"/>
    <cellStyle name="Normal 9 2 4 6 3" xfId="6540" xr:uid="{00000000-0005-0000-0000-0000801F0000}"/>
    <cellStyle name="Normal 9 2 4 6 3 2" xfId="19201" xr:uid="{FD88D243-BF2C-460D-8DA6-79064897A02F}"/>
    <cellStyle name="Normal 9 2 4 6 4" xfId="10772" xr:uid="{A0B950B5-05AB-4CC0-B2BB-6634673B3C59}"/>
    <cellStyle name="Normal 9 2 4 6 5" xfId="14983" xr:uid="{1DB3B1ED-EA83-46E7-B398-D073AF993958}"/>
    <cellStyle name="Normal 9 2 4 7" xfId="2670" xr:uid="{00000000-0005-0000-0000-0000811F0000}"/>
    <cellStyle name="Normal 9 2 4 7 2" xfId="6953" xr:uid="{00000000-0005-0000-0000-0000821F0000}"/>
    <cellStyle name="Normal 9 2 4 7 2 2" xfId="19614" xr:uid="{6EC81DCA-E662-44CD-9944-9FE0E9F5D9BA}"/>
    <cellStyle name="Normal 9 2 4 7 3" xfId="11185" xr:uid="{C075712B-2A55-46D4-B4C0-D5A5C20F6589}"/>
    <cellStyle name="Normal 9 2 4 7 4" xfId="15396" xr:uid="{ED3B4986-2D04-496C-AA07-65D029A6299D}"/>
    <cellStyle name="Normal 9 2 4 8" xfId="4888" xr:uid="{00000000-0005-0000-0000-0000831F0000}"/>
    <cellStyle name="Normal 9 2 4 8 2" xfId="17549" xr:uid="{BDA3FAE7-0505-495F-94AC-B324BDAACCEC}"/>
    <cellStyle name="Normal 9 2 4 9" xfId="9120" xr:uid="{EC28F12D-3D44-4B19-90F7-A77C692003CB}"/>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20109" xr:uid="{0F44CBF8-D44A-4920-9EFE-8D4365C0468C}"/>
    <cellStyle name="Normal 9 2 5 2 2 3" xfId="11680" xr:uid="{6E73DF25-4FBD-4E66-8C83-8DAF5EB1BB54}"/>
    <cellStyle name="Normal 9 2 5 2 2 4" xfId="15891" xr:uid="{A139B8FD-4BA9-4904-9DD5-C1CC644A2CF3}"/>
    <cellStyle name="Normal 9 2 5 2 3" xfId="5303" xr:uid="{00000000-0005-0000-0000-0000881F0000}"/>
    <cellStyle name="Normal 9 2 5 2 3 2" xfId="17964" xr:uid="{DF6AE660-21DE-48B8-983C-37E0916449A8}"/>
    <cellStyle name="Normal 9 2 5 2 4" xfId="9535" xr:uid="{582F62B6-9FF2-44BC-8EFD-6432A89378A9}"/>
    <cellStyle name="Normal 9 2 5 2 5" xfId="13746" xr:uid="{B243A72A-4579-4AC5-BC78-6D04C697B803}"/>
    <cellStyle name="Normal 9 2 5 3" xfId="1409" xr:uid="{00000000-0005-0000-0000-0000891F0000}"/>
    <cellStyle name="Normal 9 2 5 3 2" xfId="3639" xr:uid="{00000000-0005-0000-0000-00008A1F0000}"/>
    <cellStyle name="Normal 9 2 5 3 2 2" xfId="7861" xr:uid="{00000000-0005-0000-0000-00008B1F0000}"/>
    <cellStyle name="Normal 9 2 5 3 2 2 2" xfId="20522" xr:uid="{984A7839-6C19-41A7-9930-E603BDDE6566}"/>
    <cellStyle name="Normal 9 2 5 3 2 3" xfId="12093" xr:uid="{EEACF164-D866-460E-ADF4-CD08B27CA615}"/>
    <cellStyle name="Normal 9 2 5 3 2 4" xfId="16304" xr:uid="{BA1C0397-3BF5-47E4-967A-A87F198336DF}"/>
    <cellStyle name="Normal 9 2 5 3 3" xfId="5716" xr:uid="{00000000-0005-0000-0000-00008C1F0000}"/>
    <cellStyle name="Normal 9 2 5 3 3 2" xfId="18377" xr:uid="{C3B4BEED-3DD2-4743-BF2B-64BF039EAB47}"/>
    <cellStyle name="Normal 9 2 5 3 4" xfId="9948" xr:uid="{445D9568-3466-41C3-A2A9-F628B4889E24}"/>
    <cellStyle name="Normal 9 2 5 3 5" xfId="14159" xr:uid="{D2AD6598-E58E-46C0-AAFA-06485CFFFBBF}"/>
    <cellStyle name="Normal 9 2 5 4" xfId="1822" xr:uid="{00000000-0005-0000-0000-00008D1F0000}"/>
    <cellStyle name="Normal 9 2 5 4 2" xfId="4052" xr:uid="{00000000-0005-0000-0000-00008E1F0000}"/>
    <cellStyle name="Normal 9 2 5 4 2 2" xfId="8274" xr:uid="{00000000-0005-0000-0000-00008F1F0000}"/>
    <cellStyle name="Normal 9 2 5 4 2 2 2" xfId="20935" xr:uid="{9139F5EE-CAEC-47C2-964D-7A04A24E1EDF}"/>
    <cellStyle name="Normal 9 2 5 4 2 3" xfId="12506" xr:uid="{1918B876-B7D2-4697-BAE1-111A51C5C0B4}"/>
    <cellStyle name="Normal 9 2 5 4 2 4" xfId="16717" xr:uid="{0A31987E-E35B-49CA-AE18-1EAA2CF36F03}"/>
    <cellStyle name="Normal 9 2 5 4 3" xfId="6129" xr:uid="{00000000-0005-0000-0000-0000901F0000}"/>
    <cellStyle name="Normal 9 2 5 4 3 2" xfId="18790" xr:uid="{93287F90-ADF6-4096-B1D4-42C61C10DE86}"/>
    <cellStyle name="Normal 9 2 5 4 4" xfId="10361" xr:uid="{E1B47C1F-E909-4C6A-AAF8-D1C6890AF364}"/>
    <cellStyle name="Normal 9 2 5 4 5" xfId="14572" xr:uid="{81D4C1F7-2090-4426-9F6F-46882DE02FEE}"/>
    <cellStyle name="Normal 9 2 5 5" xfId="2236" xr:uid="{00000000-0005-0000-0000-0000911F0000}"/>
    <cellStyle name="Normal 9 2 5 5 2" xfId="4465" xr:uid="{00000000-0005-0000-0000-0000921F0000}"/>
    <cellStyle name="Normal 9 2 5 5 2 2" xfId="8687" xr:uid="{00000000-0005-0000-0000-0000931F0000}"/>
    <cellStyle name="Normal 9 2 5 5 2 2 2" xfId="21348" xr:uid="{B2DC9816-B0DE-4AAF-8845-94959585176C}"/>
    <cellStyle name="Normal 9 2 5 5 2 3" xfId="12919" xr:uid="{89CA6C04-C092-46F3-BF37-80A4876B3617}"/>
    <cellStyle name="Normal 9 2 5 5 2 4" xfId="17130" xr:uid="{AD5AAE45-50FC-428E-AA57-0C53BE62671B}"/>
    <cellStyle name="Normal 9 2 5 5 3" xfId="6542" xr:uid="{00000000-0005-0000-0000-0000941F0000}"/>
    <cellStyle name="Normal 9 2 5 5 3 2" xfId="19203" xr:uid="{8F857FA3-1756-4037-86C6-AB84819AE18A}"/>
    <cellStyle name="Normal 9 2 5 5 4" xfId="10774" xr:uid="{ED6EF1B4-9633-4F18-BDEB-12961C83BE1C}"/>
    <cellStyle name="Normal 9 2 5 5 5" xfId="14985" xr:uid="{05162038-DAC5-490F-A279-5F8015ABB363}"/>
    <cellStyle name="Normal 9 2 5 6" xfId="2672" xr:uid="{00000000-0005-0000-0000-0000951F0000}"/>
    <cellStyle name="Normal 9 2 5 6 2" xfId="6955" xr:uid="{00000000-0005-0000-0000-0000961F0000}"/>
    <cellStyle name="Normal 9 2 5 6 2 2" xfId="19616" xr:uid="{E1098DEC-049D-4311-8071-A363994FC30E}"/>
    <cellStyle name="Normal 9 2 5 6 3" xfId="11187" xr:uid="{D3710D25-1212-43D5-B19D-C0725027B745}"/>
    <cellStyle name="Normal 9 2 5 6 4" xfId="15398" xr:uid="{271F4D8D-ED5C-437F-9C99-BEC9C107E3D3}"/>
    <cellStyle name="Normal 9 2 5 7" xfId="4890" xr:uid="{00000000-0005-0000-0000-0000971F0000}"/>
    <cellStyle name="Normal 9 2 5 7 2" xfId="17551" xr:uid="{F1A2549A-DF02-4DF8-B2BA-F6B402A82F9A}"/>
    <cellStyle name="Normal 9 2 5 8" xfId="9122" xr:uid="{67B38A3E-564C-4B4E-9E45-73588B2316CD}"/>
    <cellStyle name="Normal 9 2 5 9" xfId="13333" xr:uid="{DE7CE3BC-61C2-4C11-9F5E-9756393BC10E}"/>
    <cellStyle name="Normal 9 2 6" xfId="978" xr:uid="{00000000-0005-0000-0000-0000981F0000}"/>
    <cellStyle name="Normal 9 2 6 2" xfId="3211" xr:uid="{00000000-0005-0000-0000-0000991F0000}"/>
    <cellStyle name="Normal 9 2 6 2 2" xfId="7433" xr:uid="{00000000-0005-0000-0000-00009A1F0000}"/>
    <cellStyle name="Normal 9 2 6 2 2 2" xfId="20094" xr:uid="{3363BAEC-3C2A-414F-8F00-DC2946427539}"/>
    <cellStyle name="Normal 9 2 6 2 3" xfId="11665" xr:uid="{B32398B4-118A-4BF7-881F-0AB3E2F5B695}"/>
    <cellStyle name="Normal 9 2 6 2 4" xfId="15876" xr:uid="{694E366E-8448-4A37-84A8-518BE9A8F54C}"/>
    <cellStyle name="Normal 9 2 6 3" xfId="5288" xr:uid="{00000000-0005-0000-0000-00009B1F0000}"/>
    <cellStyle name="Normal 9 2 6 3 2" xfId="17949" xr:uid="{AAE363E0-D0BD-45FD-9E55-E9BE8E73BCFE}"/>
    <cellStyle name="Normal 9 2 6 4" xfId="9520" xr:uid="{42F16324-5E84-4FA5-B2AA-613476630528}"/>
    <cellStyle name="Normal 9 2 6 5" xfId="13731" xr:uid="{16220F56-61F0-4CFF-A9C9-DC6E46628690}"/>
    <cellStyle name="Normal 9 2 7" xfId="1394" xr:uid="{00000000-0005-0000-0000-00009C1F0000}"/>
    <cellStyle name="Normal 9 2 7 2" xfId="3624" xr:uid="{00000000-0005-0000-0000-00009D1F0000}"/>
    <cellStyle name="Normal 9 2 7 2 2" xfId="7846" xr:uid="{00000000-0005-0000-0000-00009E1F0000}"/>
    <cellStyle name="Normal 9 2 7 2 2 2" xfId="20507" xr:uid="{DECD2B52-915C-423E-A587-2582F608F1EF}"/>
    <cellStyle name="Normal 9 2 7 2 3" xfId="12078" xr:uid="{C7301611-9003-42E3-813E-5EC33A9BC666}"/>
    <cellStyle name="Normal 9 2 7 2 4" xfId="16289" xr:uid="{C1542C69-22E9-4904-B4A6-7E88ADC546AB}"/>
    <cellStyle name="Normal 9 2 7 3" xfId="5701" xr:uid="{00000000-0005-0000-0000-00009F1F0000}"/>
    <cellStyle name="Normal 9 2 7 3 2" xfId="18362" xr:uid="{D2FCF312-66EF-4624-A545-E25C77371745}"/>
    <cellStyle name="Normal 9 2 7 4" xfId="9933" xr:uid="{CA99F198-09C4-4206-8556-8FF915556213}"/>
    <cellStyle name="Normal 9 2 7 5" xfId="14144" xr:uid="{024D62EE-BA70-414D-81D2-FB7EE67E9046}"/>
    <cellStyle name="Normal 9 2 8" xfId="1807" xr:uid="{00000000-0005-0000-0000-0000A01F0000}"/>
    <cellStyle name="Normal 9 2 8 2" xfId="4037" xr:uid="{00000000-0005-0000-0000-0000A11F0000}"/>
    <cellStyle name="Normal 9 2 8 2 2" xfId="8259" xr:uid="{00000000-0005-0000-0000-0000A21F0000}"/>
    <cellStyle name="Normal 9 2 8 2 2 2" xfId="20920" xr:uid="{32572338-7E99-4AAD-99BF-B236B8254568}"/>
    <cellStyle name="Normal 9 2 8 2 3" xfId="12491" xr:uid="{01F26DC2-47BF-49B6-B7DA-07A1FB8730E5}"/>
    <cellStyle name="Normal 9 2 8 2 4" xfId="16702" xr:uid="{FDE9F613-A64F-410A-B4BA-49CA03162D19}"/>
    <cellStyle name="Normal 9 2 8 3" xfId="6114" xr:uid="{00000000-0005-0000-0000-0000A31F0000}"/>
    <cellStyle name="Normal 9 2 8 3 2" xfId="18775" xr:uid="{48E37A5F-B109-4FBD-8967-81B656FE9CCA}"/>
    <cellStyle name="Normal 9 2 8 4" xfId="10346" xr:uid="{4D345EB9-87F7-4F0A-B6DB-4EB753888AD2}"/>
    <cellStyle name="Normal 9 2 8 5" xfId="14557" xr:uid="{37071225-BABA-4ADA-9221-58CC9DA1D9C7}"/>
    <cellStyle name="Normal 9 2 9" xfId="2221" xr:uid="{00000000-0005-0000-0000-0000A41F0000}"/>
    <cellStyle name="Normal 9 2 9 2" xfId="4450" xr:uid="{00000000-0005-0000-0000-0000A51F0000}"/>
    <cellStyle name="Normal 9 2 9 2 2" xfId="8672" xr:uid="{00000000-0005-0000-0000-0000A61F0000}"/>
    <cellStyle name="Normal 9 2 9 2 2 2" xfId="21333" xr:uid="{A440757D-9516-483A-A616-90B307D8987D}"/>
    <cellStyle name="Normal 9 2 9 2 3" xfId="12904" xr:uid="{C721B014-4C7E-4C88-8416-D2877FC3A111}"/>
    <cellStyle name="Normal 9 2 9 2 4" xfId="17115" xr:uid="{D6F24B14-6BCE-4BBE-A859-47787B277DDC}"/>
    <cellStyle name="Normal 9 2 9 3" xfId="6527" xr:uid="{00000000-0005-0000-0000-0000A71F0000}"/>
    <cellStyle name="Normal 9 2 9 3 2" xfId="19188" xr:uid="{21AFA7DC-F8DE-4F4A-B831-A63B1F1F6637}"/>
    <cellStyle name="Normal 9 2 9 4" xfId="10759" xr:uid="{00C0BA13-46A9-4DAF-AC4D-71C9F1F31C58}"/>
    <cellStyle name="Normal 9 2 9 5" xfId="14970" xr:uid="{5B87104F-6465-4145-BED4-DE5E6E897808}"/>
    <cellStyle name="Normal 9 3" xfId="527" xr:uid="{00000000-0005-0000-0000-0000A81F0000}"/>
    <cellStyle name="Normal 9 3 10" xfId="4891" xr:uid="{00000000-0005-0000-0000-0000A91F0000}"/>
    <cellStyle name="Normal 9 3 10 2" xfId="17552" xr:uid="{3E280519-7216-41D2-A56F-7605A3534B0B}"/>
    <cellStyle name="Normal 9 3 11" xfId="9123" xr:uid="{8B45434A-8EB2-485C-B7CE-B97E5141C05B}"/>
    <cellStyle name="Normal 9 3 12" xfId="13334" xr:uid="{7B3A2CE5-23F2-43DC-924C-6E5DBEE75542}"/>
    <cellStyle name="Normal 9 3 2" xfId="528" xr:uid="{00000000-0005-0000-0000-0000AA1F0000}"/>
    <cellStyle name="Normal 9 3 2 10" xfId="9124" xr:uid="{DA9250E3-3286-493C-9495-96C7E4053BD3}"/>
    <cellStyle name="Normal 9 3 2 11" xfId="13335" xr:uid="{A8090921-B6B6-409B-ADEB-67A3BE5FB09D}"/>
    <cellStyle name="Normal 9 3 2 2" xfId="529" xr:uid="{00000000-0005-0000-0000-0000AB1F0000}"/>
    <cellStyle name="Normal 9 3 2 2 10" xfId="13336" xr:uid="{4BDFBBC8-9C15-466A-8966-2B2A9128F8AC}"/>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20113" xr:uid="{9CD5B5CB-6EC1-4C80-AFF2-AFBD4E4B49F8}"/>
    <cellStyle name="Normal 9 3 2 2 2 2 2 3" xfId="11684" xr:uid="{1B8D8669-6DE7-4707-953F-791FFEBD0FEF}"/>
    <cellStyle name="Normal 9 3 2 2 2 2 2 4" xfId="15895" xr:uid="{F072D044-DDED-4045-9338-EF1587C81DC1}"/>
    <cellStyle name="Normal 9 3 2 2 2 2 3" xfId="5307" xr:uid="{00000000-0005-0000-0000-0000B01F0000}"/>
    <cellStyle name="Normal 9 3 2 2 2 2 3 2" xfId="17968" xr:uid="{1A8BA2C8-D7FC-419F-A4C5-B75F8E28FDEC}"/>
    <cellStyle name="Normal 9 3 2 2 2 2 4" xfId="9539" xr:uid="{FC0DFBA9-1CCB-4FB5-A074-D9BA6353B893}"/>
    <cellStyle name="Normal 9 3 2 2 2 2 5" xfId="13750" xr:uid="{9F07F0CA-D6BE-416E-86F0-BC0A8E9A49FF}"/>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20526" xr:uid="{A9DB424B-7259-4A9F-A6D1-2F7A6901FA55}"/>
    <cellStyle name="Normal 9 3 2 2 2 3 2 3" xfId="12097" xr:uid="{DD888F95-05F6-4D4D-9E8B-773732D5B88B}"/>
    <cellStyle name="Normal 9 3 2 2 2 3 2 4" xfId="16308" xr:uid="{31B13C5B-DDEC-4F80-95CA-E35397BE35C4}"/>
    <cellStyle name="Normal 9 3 2 2 2 3 3" xfId="5720" xr:uid="{00000000-0005-0000-0000-0000B41F0000}"/>
    <cellStyle name="Normal 9 3 2 2 2 3 3 2" xfId="18381" xr:uid="{B54AA89D-A99E-4CBF-9CDB-E79639BC86F4}"/>
    <cellStyle name="Normal 9 3 2 2 2 3 4" xfId="9952" xr:uid="{771DA0CC-8D59-4836-AA40-BCD266AE0647}"/>
    <cellStyle name="Normal 9 3 2 2 2 3 5" xfId="14163" xr:uid="{5A8C1EEC-618B-4018-8DFC-FC8754DC5C43}"/>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20939" xr:uid="{72098762-6C63-4A21-B690-ECB31013A30C}"/>
    <cellStyle name="Normal 9 3 2 2 2 4 2 3" xfId="12510" xr:uid="{1CB31F35-E7B7-42AA-943E-7E2F5ABF9EEB}"/>
    <cellStyle name="Normal 9 3 2 2 2 4 2 4" xfId="16721" xr:uid="{C858B350-D3DE-4CB1-98A1-B8F23E9B8AD5}"/>
    <cellStyle name="Normal 9 3 2 2 2 4 3" xfId="6133" xr:uid="{00000000-0005-0000-0000-0000B81F0000}"/>
    <cellStyle name="Normal 9 3 2 2 2 4 3 2" xfId="18794" xr:uid="{1A68E398-C27E-4D17-B61F-E9CA87230028}"/>
    <cellStyle name="Normal 9 3 2 2 2 4 4" xfId="10365" xr:uid="{2D49C12F-F3E5-4B19-BB40-B14DCCB5EB36}"/>
    <cellStyle name="Normal 9 3 2 2 2 4 5" xfId="14576" xr:uid="{45164456-1BEA-48B2-BACD-A9A25E4DD42C}"/>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21352" xr:uid="{765E761D-E959-4812-9FF3-50FE477CD41E}"/>
    <cellStyle name="Normal 9 3 2 2 2 5 2 3" xfId="12923" xr:uid="{EA68A2F4-63D8-4A36-A8EC-6D78CB3CC690}"/>
    <cellStyle name="Normal 9 3 2 2 2 5 2 4" xfId="17134" xr:uid="{BF1FEDB8-F69E-48DC-9BFC-AF66D12C392A}"/>
    <cellStyle name="Normal 9 3 2 2 2 5 3" xfId="6546" xr:uid="{00000000-0005-0000-0000-0000BC1F0000}"/>
    <cellStyle name="Normal 9 3 2 2 2 5 3 2" xfId="19207" xr:uid="{9F4EA499-ADDF-4026-A6BD-F7C873AE6ABE}"/>
    <cellStyle name="Normal 9 3 2 2 2 5 4" xfId="10778" xr:uid="{FEEAE01D-03E6-4AFB-B71C-6CF68B6A96AD}"/>
    <cellStyle name="Normal 9 3 2 2 2 5 5" xfId="14989" xr:uid="{31D80AFE-013E-4E3D-8FA1-4BEA7DAD6579}"/>
    <cellStyle name="Normal 9 3 2 2 2 6" xfId="2676" xr:uid="{00000000-0005-0000-0000-0000BD1F0000}"/>
    <cellStyle name="Normal 9 3 2 2 2 6 2" xfId="6959" xr:uid="{00000000-0005-0000-0000-0000BE1F0000}"/>
    <cellStyle name="Normal 9 3 2 2 2 6 2 2" xfId="19620" xr:uid="{1EA45191-E776-4057-9F27-3DE97D6227AB}"/>
    <cellStyle name="Normal 9 3 2 2 2 6 3" xfId="11191" xr:uid="{1990D56C-B3F6-4267-B44B-F0BEEDFDB6AE}"/>
    <cellStyle name="Normal 9 3 2 2 2 6 4" xfId="15402" xr:uid="{C371151B-C751-4603-AFB6-92791911A154}"/>
    <cellStyle name="Normal 9 3 2 2 2 7" xfId="4894" xr:uid="{00000000-0005-0000-0000-0000BF1F0000}"/>
    <cellStyle name="Normal 9 3 2 2 2 7 2" xfId="17555" xr:uid="{DDA8907C-FCC3-4B78-9E91-105EFF754AFD}"/>
    <cellStyle name="Normal 9 3 2 2 2 8" xfId="9126" xr:uid="{CF8BC004-2499-442C-80E8-9069DE842AF1}"/>
    <cellStyle name="Normal 9 3 2 2 2 9" xfId="13337" xr:uid="{73BF5CEC-F936-4924-A638-A1B6F65277BD}"/>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20112" xr:uid="{1D37CD19-ACB1-4B2C-BE79-A58CFC9F44D9}"/>
    <cellStyle name="Normal 9 3 2 2 3 2 3" xfId="11683" xr:uid="{F563855E-F148-4569-9FBC-B6519308B3B6}"/>
    <cellStyle name="Normal 9 3 2 2 3 2 4" xfId="15894" xr:uid="{D1F869D0-3AFE-45EF-A33D-6B5112E9346A}"/>
    <cellStyle name="Normal 9 3 2 2 3 3" xfId="5306" xr:uid="{00000000-0005-0000-0000-0000C31F0000}"/>
    <cellStyle name="Normal 9 3 2 2 3 3 2" xfId="17967" xr:uid="{BDD121C2-1A3A-47F0-B100-EF1147CE8B41}"/>
    <cellStyle name="Normal 9 3 2 2 3 4" xfId="9538" xr:uid="{917F1912-9AC3-4788-93DA-432D29437F89}"/>
    <cellStyle name="Normal 9 3 2 2 3 5" xfId="13749" xr:uid="{E761F2CD-220C-4641-AC73-9AAAD4A098F9}"/>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20525" xr:uid="{1A7BB9D9-3D83-4B4A-947E-75C62ABFC86F}"/>
    <cellStyle name="Normal 9 3 2 2 4 2 3" xfId="12096" xr:uid="{91908695-CC19-4148-87C6-77F6E388FFBC}"/>
    <cellStyle name="Normal 9 3 2 2 4 2 4" xfId="16307" xr:uid="{8E92CE10-5F9B-4600-8DED-E7FAD92185A2}"/>
    <cellStyle name="Normal 9 3 2 2 4 3" xfId="5719" xr:uid="{00000000-0005-0000-0000-0000C71F0000}"/>
    <cellStyle name="Normal 9 3 2 2 4 3 2" xfId="18380" xr:uid="{C478065F-191C-4FAC-9AD1-744DCC4A37FE}"/>
    <cellStyle name="Normal 9 3 2 2 4 4" xfId="9951" xr:uid="{431E076B-EE6B-4647-A8BC-E1755D246779}"/>
    <cellStyle name="Normal 9 3 2 2 4 5" xfId="14162" xr:uid="{BF39B150-B03A-4E51-B2D4-E9B161CCA9A1}"/>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20938" xr:uid="{4F0C5ECA-44F2-460D-8F90-E53FFAEE1E02}"/>
    <cellStyle name="Normal 9 3 2 2 5 2 3" xfId="12509" xr:uid="{E85B6CD3-EACF-4EC1-BBF8-5BC2DED59FDC}"/>
    <cellStyle name="Normal 9 3 2 2 5 2 4" xfId="16720" xr:uid="{CB26908F-B0FA-482C-8615-3B6F3C205E23}"/>
    <cellStyle name="Normal 9 3 2 2 5 3" xfId="6132" xr:uid="{00000000-0005-0000-0000-0000CB1F0000}"/>
    <cellStyle name="Normal 9 3 2 2 5 3 2" xfId="18793" xr:uid="{3F3F853B-8850-4ABC-89DC-07FC949E1CB0}"/>
    <cellStyle name="Normal 9 3 2 2 5 4" xfId="10364" xr:uid="{09E882DE-6500-458B-BC14-1F41A2A89D03}"/>
    <cellStyle name="Normal 9 3 2 2 5 5" xfId="14575" xr:uid="{0B64ED30-7E8E-4F3A-94A1-6D92AD59824E}"/>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21351" xr:uid="{39E942D5-E8C3-4D86-8463-49DBBA79F1E8}"/>
    <cellStyle name="Normal 9 3 2 2 6 2 3" xfId="12922" xr:uid="{AA4CAC83-5A7B-4A67-9F04-7DDFE32E5F97}"/>
    <cellStyle name="Normal 9 3 2 2 6 2 4" xfId="17133" xr:uid="{610F809E-D138-45B5-A97E-7A45BB0DCEC9}"/>
    <cellStyle name="Normal 9 3 2 2 6 3" xfId="6545" xr:uid="{00000000-0005-0000-0000-0000CF1F0000}"/>
    <cellStyle name="Normal 9 3 2 2 6 3 2" xfId="19206" xr:uid="{16A154FF-6AA7-4F82-84B1-21DAB880E28B}"/>
    <cellStyle name="Normal 9 3 2 2 6 4" xfId="10777" xr:uid="{7BA0B472-0D75-4690-87E5-F0F513D196F8}"/>
    <cellStyle name="Normal 9 3 2 2 6 5" xfId="14988" xr:uid="{0EB191B0-69CA-455A-813B-F7B99C033593}"/>
    <cellStyle name="Normal 9 3 2 2 7" xfId="2675" xr:uid="{00000000-0005-0000-0000-0000D01F0000}"/>
    <cellStyle name="Normal 9 3 2 2 7 2" xfId="6958" xr:uid="{00000000-0005-0000-0000-0000D11F0000}"/>
    <cellStyle name="Normal 9 3 2 2 7 2 2" xfId="19619" xr:uid="{46DF0D2D-5D8C-44AE-AA4F-6B81ACD4C1E1}"/>
    <cellStyle name="Normal 9 3 2 2 7 3" xfId="11190" xr:uid="{77487965-9F88-4709-AD75-4E5ED9A7DDA2}"/>
    <cellStyle name="Normal 9 3 2 2 7 4" xfId="15401" xr:uid="{613EABC0-D9C9-4608-8F17-3AEFFC212C2A}"/>
    <cellStyle name="Normal 9 3 2 2 8" xfId="4893" xr:uid="{00000000-0005-0000-0000-0000D21F0000}"/>
    <cellStyle name="Normal 9 3 2 2 8 2" xfId="17554" xr:uid="{70BB272F-DCB6-4D74-B785-1CC7BFCA8227}"/>
    <cellStyle name="Normal 9 3 2 2 9" xfId="9125" xr:uid="{DE4A9BE6-DBB3-4057-B21D-4E227DF0BCB9}"/>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20114" xr:uid="{604E7F38-A346-4126-93CA-C0FC0E981D4F}"/>
    <cellStyle name="Normal 9 3 2 3 2 2 3" xfId="11685" xr:uid="{C2C0CB16-55D4-4CAF-A481-AB770B79EDB9}"/>
    <cellStyle name="Normal 9 3 2 3 2 2 4" xfId="15896" xr:uid="{ECF61D54-0A4F-4ADD-BC95-4126B98200BD}"/>
    <cellStyle name="Normal 9 3 2 3 2 3" xfId="5308" xr:uid="{00000000-0005-0000-0000-0000D71F0000}"/>
    <cellStyle name="Normal 9 3 2 3 2 3 2" xfId="17969" xr:uid="{C74A0194-E8C3-47BC-8B1D-9AE9CFA114EC}"/>
    <cellStyle name="Normal 9 3 2 3 2 4" xfId="9540" xr:uid="{9BAF8CB5-918D-41ED-B57A-AB607FAB1578}"/>
    <cellStyle name="Normal 9 3 2 3 2 5" xfId="13751" xr:uid="{901AAA21-63C0-48A8-B44C-589230E0758F}"/>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20527" xr:uid="{F3AC2E01-FD1A-4210-B973-3CC8D9C00F14}"/>
    <cellStyle name="Normal 9 3 2 3 3 2 3" xfId="12098" xr:uid="{E2E899FC-7822-4A19-8BA0-CF8E757D5A5E}"/>
    <cellStyle name="Normal 9 3 2 3 3 2 4" xfId="16309" xr:uid="{732D3FDE-4662-48EF-BABA-04778813B69B}"/>
    <cellStyle name="Normal 9 3 2 3 3 3" xfId="5721" xr:uid="{00000000-0005-0000-0000-0000DB1F0000}"/>
    <cellStyle name="Normal 9 3 2 3 3 3 2" xfId="18382" xr:uid="{911B15FE-D688-4A57-9FF3-0F26CCFDC2A9}"/>
    <cellStyle name="Normal 9 3 2 3 3 4" xfId="9953" xr:uid="{6FF415FB-A2C0-45BC-954B-6CBF09C7F8FD}"/>
    <cellStyle name="Normal 9 3 2 3 3 5" xfId="14164" xr:uid="{ECC309FE-8D63-494F-A2C7-E60CC0B40512}"/>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20940" xr:uid="{C9376A5B-3027-4BCA-8769-E2A2A513075A}"/>
    <cellStyle name="Normal 9 3 2 3 4 2 3" xfId="12511" xr:uid="{402A6084-C49B-404B-80B1-A251BCBA29EA}"/>
    <cellStyle name="Normal 9 3 2 3 4 2 4" xfId="16722" xr:uid="{48737458-8CF2-4CE4-95A4-38B835AF2B80}"/>
    <cellStyle name="Normal 9 3 2 3 4 3" xfId="6134" xr:uid="{00000000-0005-0000-0000-0000DF1F0000}"/>
    <cellStyle name="Normal 9 3 2 3 4 3 2" xfId="18795" xr:uid="{B6FE1F85-3D5D-42EB-AE6F-CDE3A9B9A93E}"/>
    <cellStyle name="Normal 9 3 2 3 4 4" xfId="10366" xr:uid="{3E6C328E-CA4C-45D8-8499-0253ADF9BD13}"/>
    <cellStyle name="Normal 9 3 2 3 4 5" xfId="14577" xr:uid="{F1BB698C-2E71-4D71-9D33-06901A1A7B3C}"/>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21353" xr:uid="{835C23E9-5447-4804-9E90-B99A35BD365A}"/>
    <cellStyle name="Normal 9 3 2 3 5 2 3" xfId="12924" xr:uid="{C2B3A219-EE45-4468-AE1D-BC0D8F4069FD}"/>
    <cellStyle name="Normal 9 3 2 3 5 2 4" xfId="17135" xr:uid="{BA1886F4-A1F5-41E7-A914-7DE00882CCBD}"/>
    <cellStyle name="Normal 9 3 2 3 5 3" xfId="6547" xr:uid="{00000000-0005-0000-0000-0000E31F0000}"/>
    <cellStyle name="Normal 9 3 2 3 5 3 2" xfId="19208" xr:uid="{90D3030C-C0E1-48CC-8CD7-87CE806B1FDB}"/>
    <cellStyle name="Normal 9 3 2 3 5 4" xfId="10779" xr:uid="{9ABE87CE-E857-4DC8-ADA5-DB58BD17297A}"/>
    <cellStyle name="Normal 9 3 2 3 5 5" xfId="14990" xr:uid="{58B63B60-DEBC-496C-8BF0-BC143DE3757A}"/>
    <cellStyle name="Normal 9 3 2 3 6" xfId="2677" xr:uid="{00000000-0005-0000-0000-0000E41F0000}"/>
    <cellStyle name="Normal 9 3 2 3 6 2" xfId="6960" xr:uid="{00000000-0005-0000-0000-0000E51F0000}"/>
    <cellStyle name="Normal 9 3 2 3 6 2 2" xfId="19621" xr:uid="{95ADF926-E2A3-4A80-8789-E5D96C129917}"/>
    <cellStyle name="Normal 9 3 2 3 6 3" xfId="11192" xr:uid="{01DA144D-87C4-4EA8-B7FB-99ABE24533F6}"/>
    <cellStyle name="Normal 9 3 2 3 6 4" xfId="15403" xr:uid="{942B100B-DED4-4139-9F85-CD9BAA440B5F}"/>
    <cellStyle name="Normal 9 3 2 3 7" xfId="4895" xr:uid="{00000000-0005-0000-0000-0000E61F0000}"/>
    <cellStyle name="Normal 9 3 2 3 7 2" xfId="17556" xr:uid="{13A05644-D238-484A-B85B-A5C9BE82797F}"/>
    <cellStyle name="Normal 9 3 2 3 8" xfId="9127" xr:uid="{930C6EFD-AEE2-4EBC-83D3-D7EFD90FA312}"/>
    <cellStyle name="Normal 9 3 2 3 9" xfId="13338" xr:uid="{71C72DAD-9B97-49FA-85F0-CE90D8F05F4B}"/>
    <cellStyle name="Normal 9 3 2 4" xfId="995" xr:uid="{00000000-0005-0000-0000-0000E71F0000}"/>
    <cellStyle name="Normal 9 3 2 4 2" xfId="3228" xr:uid="{00000000-0005-0000-0000-0000E81F0000}"/>
    <cellStyle name="Normal 9 3 2 4 2 2" xfId="7450" xr:uid="{00000000-0005-0000-0000-0000E91F0000}"/>
    <cellStyle name="Normal 9 3 2 4 2 2 2" xfId="20111" xr:uid="{9D018C33-AC63-41E0-8E81-BB69DB8ECD1C}"/>
    <cellStyle name="Normal 9 3 2 4 2 3" xfId="11682" xr:uid="{FF98FB4E-B0CC-43FD-BC51-F172B6D8BCFF}"/>
    <cellStyle name="Normal 9 3 2 4 2 4" xfId="15893" xr:uid="{1B0B7BD9-C5EE-4B36-A9C1-DBE11FC990EF}"/>
    <cellStyle name="Normal 9 3 2 4 3" xfId="5305" xr:uid="{00000000-0005-0000-0000-0000EA1F0000}"/>
    <cellStyle name="Normal 9 3 2 4 3 2" xfId="17966" xr:uid="{230A4387-CFA9-4BC3-8953-BCE7CF8C549C}"/>
    <cellStyle name="Normal 9 3 2 4 4" xfId="9537" xr:uid="{61BCEED7-3044-440E-8109-B0800E809DB9}"/>
    <cellStyle name="Normal 9 3 2 4 5" xfId="13748" xr:uid="{F43D800B-5155-419D-8172-EA67041E3153}"/>
    <cellStyle name="Normal 9 3 2 5" xfId="1411" xr:uid="{00000000-0005-0000-0000-0000EB1F0000}"/>
    <cellStyle name="Normal 9 3 2 5 2" xfId="3641" xr:uid="{00000000-0005-0000-0000-0000EC1F0000}"/>
    <cellStyle name="Normal 9 3 2 5 2 2" xfId="7863" xr:uid="{00000000-0005-0000-0000-0000ED1F0000}"/>
    <cellStyle name="Normal 9 3 2 5 2 2 2" xfId="20524" xr:uid="{EDCFA017-DFAD-448B-9C70-102A719C42E9}"/>
    <cellStyle name="Normal 9 3 2 5 2 3" xfId="12095" xr:uid="{6CC1029F-7B9A-4130-8B5B-5A694919D1DE}"/>
    <cellStyle name="Normal 9 3 2 5 2 4" xfId="16306" xr:uid="{66CC6BD8-2408-4EBA-B0FB-13A8AC7281DB}"/>
    <cellStyle name="Normal 9 3 2 5 3" xfId="5718" xr:uid="{00000000-0005-0000-0000-0000EE1F0000}"/>
    <cellStyle name="Normal 9 3 2 5 3 2" xfId="18379" xr:uid="{FB92EDB7-2DD2-43F5-8D2D-2B4A47B95A0F}"/>
    <cellStyle name="Normal 9 3 2 5 4" xfId="9950" xr:uid="{E0F550C8-715D-4E86-9E0D-53A1B16836C2}"/>
    <cellStyle name="Normal 9 3 2 5 5" xfId="14161" xr:uid="{17938D2D-1CB9-4ABE-8D1D-1078FF9C31E4}"/>
    <cellStyle name="Normal 9 3 2 6" xfId="1824" xr:uid="{00000000-0005-0000-0000-0000EF1F0000}"/>
    <cellStyle name="Normal 9 3 2 6 2" xfId="4054" xr:uid="{00000000-0005-0000-0000-0000F01F0000}"/>
    <cellStyle name="Normal 9 3 2 6 2 2" xfId="8276" xr:uid="{00000000-0005-0000-0000-0000F11F0000}"/>
    <cellStyle name="Normal 9 3 2 6 2 2 2" xfId="20937" xr:uid="{418E82C4-FE59-4F29-A06F-57588CC5389E}"/>
    <cellStyle name="Normal 9 3 2 6 2 3" xfId="12508" xr:uid="{83C56694-B659-435E-B3F8-C99D07A02825}"/>
    <cellStyle name="Normal 9 3 2 6 2 4" xfId="16719" xr:uid="{A5958007-BA08-4C19-877E-2E4F23813559}"/>
    <cellStyle name="Normal 9 3 2 6 3" xfId="6131" xr:uid="{00000000-0005-0000-0000-0000F21F0000}"/>
    <cellStyle name="Normal 9 3 2 6 3 2" xfId="18792" xr:uid="{81063637-C721-4D40-A894-08AC2B18461E}"/>
    <cellStyle name="Normal 9 3 2 6 4" xfId="10363" xr:uid="{5155A2D8-7D8B-4560-AFCB-39E1F9247DFA}"/>
    <cellStyle name="Normal 9 3 2 6 5" xfId="14574" xr:uid="{DE53815B-8F3B-4C11-B73C-25E9FD36437F}"/>
    <cellStyle name="Normal 9 3 2 7" xfId="2238" xr:uid="{00000000-0005-0000-0000-0000F31F0000}"/>
    <cellStyle name="Normal 9 3 2 7 2" xfId="4467" xr:uid="{00000000-0005-0000-0000-0000F41F0000}"/>
    <cellStyle name="Normal 9 3 2 7 2 2" xfId="8689" xr:uid="{00000000-0005-0000-0000-0000F51F0000}"/>
    <cellStyle name="Normal 9 3 2 7 2 2 2" xfId="21350" xr:uid="{71A1AAB9-12EA-4EF8-BE21-F31BAA8CD3A6}"/>
    <cellStyle name="Normal 9 3 2 7 2 3" xfId="12921" xr:uid="{28CF3890-78D4-430A-A93A-817FF3E006A5}"/>
    <cellStyle name="Normal 9 3 2 7 2 4" xfId="17132" xr:uid="{901A126B-42F6-41F5-B9E9-30BB995FCC08}"/>
    <cellStyle name="Normal 9 3 2 7 3" xfId="6544" xr:uid="{00000000-0005-0000-0000-0000F61F0000}"/>
    <cellStyle name="Normal 9 3 2 7 3 2" xfId="19205" xr:uid="{972F3319-F6E3-48F9-8700-D45ACD46047C}"/>
    <cellStyle name="Normal 9 3 2 7 4" xfId="10776" xr:uid="{C9B31EA3-BF17-4B85-9D2E-A37FE4341F63}"/>
    <cellStyle name="Normal 9 3 2 7 5" xfId="14987" xr:uid="{0424F371-A097-404B-944F-99548164C696}"/>
    <cellStyle name="Normal 9 3 2 8" xfId="2674" xr:uid="{00000000-0005-0000-0000-0000F71F0000}"/>
    <cellStyle name="Normal 9 3 2 8 2" xfId="6957" xr:uid="{00000000-0005-0000-0000-0000F81F0000}"/>
    <cellStyle name="Normal 9 3 2 8 2 2" xfId="19618" xr:uid="{8C5909E4-A514-44C6-B650-E2921D9DFEBF}"/>
    <cellStyle name="Normal 9 3 2 8 3" xfId="11189" xr:uid="{5B5A1979-F717-49B9-AB4E-2174EED0C071}"/>
    <cellStyle name="Normal 9 3 2 8 4" xfId="15400" xr:uid="{FF7744C6-68CB-4DBE-95C5-D378449FF426}"/>
    <cellStyle name="Normal 9 3 2 9" xfId="4892" xr:uid="{00000000-0005-0000-0000-0000F91F0000}"/>
    <cellStyle name="Normal 9 3 2 9 2" xfId="17553" xr:uid="{C6EA1D5C-8A49-480E-9293-3C4DA754CC0F}"/>
    <cellStyle name="Normal 9 3 3" xfId="532" xr:uid="{00000000-0005-0000-0000-0000FA1F0000}"/>
    <cellStyle name="Normal 9 3 3 10" xfId="13339" xr:uid="{5D8A1968-ED35-4123-9AE7-758D89DA785C}"/>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20116" xr:uid="{F022AB76-D7C1-4DFF-8AF8-FCA6166D9277}"/>
    <cellStyle name="Normal 9 3 3 2 2 2 3" xfId="11687" xr:uid="{A26FA15E-0A76-44FE-88EE-1E421BE86555}"/>
    <cellStyle name="Normal 9 3 3 2 2 2 4" xfId="15898" xr:uid="{B2C65589-3DA4-4343-82BC-C6F37573E614}"/>
    <cellStyle name="Normal 9 3 3 2 2 3" xfId="5310" xr:uid="{00000000-0005-0000-0000-0000FF1F0000}"/>
    <cellStyle name="Normal 9 3 3 2 2 3 2" xfId="17971" xr:uid="{5CFFA748-29DC-425E-B5B2-0B9425A80217}"/>
    <cellStyle name="Normal 9 3 3 2 2 4" xfId="9542" xr:uid="{D1916B47-9F54-4297-9A98-ECFE76382ECD}"/>
    <cellStyle name="Normal 9 3 3 2 2 5" xfId="13753" xr:uid="{17E6F24A-7A48-4196-871A-8B86CCE79A52}"/>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20529" xr:uid="{2B2438EE-575C-46C8-8EDA-F1FF12443C67}"/>
    <cellStyle name="Normal 9 3 3 2 3 2 3" xfId="12100" xr:uid="{DE2A4399-1AD6-4342-9584-6F17A2E26C34}"/>
    <cellStyle name="Normal 9 3 3 2 3 2 4" xfId="16311" xr:uid="{9C4F8DB7-5CE7-45FE-A653-54BABE5E6E30}"/>
    <cellStyle name="Normal 9 3 3 2 3 3" xfId="5723" xr:uid="{00000000-0005-0000-0000-000003200000}"/>
    <cellStyle name="Normal 9 3 3 2 3 3 2" xfId="18384" xr:uid="{F1D2F582-A9C2-41D7-9042-3001CC90E7E5}"/>
    <cellStyle name="Normal 9 3 3 2 3 4" xfId="9955" xr:uid="{55F6881B-3B1D-431E-9410-61CA2780FCC1}"/>
    <cellStyle name="Normal 9 3 3 2 3 5" xfId="14166" xr:uid="{ABAE3AFA-9C83-4D65-9E65-824D54E62329}"/>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20942" xr:uid="{09452133-E87E-4A82-912F-CF3FD74BFEF7}"/>
    <cellStyle name="Normal 9 3 3 2 4 2 3" xfId="12513" xr:uid="{D5822E9E-5719-46D8-8579-7EFC1EF01FEC}"/>
    <cellStyle name="Normal 9 3 3 2 4 2 4" xfId="16724" xr:uid="{53F4EF5E-9847-4D75-953F-95F25BEAE05B}"/>
    <cellStyle name="Normal 9 3 3 2 4 3" xfId="6136" xr:uid="{00000000-0005-0000-0000-000007200000}"/>
    <cellStyle name="Normal 9 3 3 2 4 3 2" xfId="18797" xr:uid="{D9651103-902B-4D00-8699-491D60F37F99}"/>
    <cellStyle name="Normal 9 3 3 2 4 4" xfId="10368" xr:uid="{060DB7B1-7497-4F13-A643-04996440BB05}"/>
    <cellStyle name="Normal 9 3 3 2 4 5" xfId="14579" xr:uid="{096EC954-F6D1-4189-B923-524BF338A9FA}"/>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21355" xr:uid="{FBECEFC2-22B2-4E5C-A0F2-68AEE60F2CA7}"/>
    <cellStyle name="Normal 9 3 3 2 5 2 3" xfId="12926" xr:uid="{17F639FB-90D2-4162-9F46-94250951227B}"/>
    <cellStyle name="Normal 9 3 3 2 5 2 4" xfId="17137" xr:uid="{E8180E9F-9B4D-48B7-9B6C-232153FB4886}"/>
    <cellStyle name="Normal 9 3 3 2 5 3" xfId="6549" xr:uid="{00000000-0005-0000-0000-00000B200000}"/>
    <cellStyle name="Normal 9 3 3 2 5 3 2" xfId="19210" xr:uid="{27594434-8739-4C8F-A460-979EE023CAF8}"/>
    <cellStyle name="Normal 9 3 3 2 5 4" xfId="10781" xr:uid="{83AFC661-7DD9-4142-99CE-01EEED0129BE}"/>
    <cellStyle name="Normal 9 3 3 2 5 5" xfId="14992" xr:uid="{F330EF86-1C81-4C03-AD94-422F2ACA625C}"/>
    <cellStyle name="Normal 9 3 3 2 6" xfId="2679" xr:uid="{00000000-0005-0000-0000-00000C200000}"/>
    <cellStyle name="Normal 9 3 3 2 6 2" xfId="6962" xr:uid="{00000000-0005-0000-0000-00000D200000}"/>
    <cellStyle name="Normal 9 3 3 2 6 2 2" xfId="19623" xr:uid="{AB1EFE78-7A15-43D6-B7DA-29F362559AE5}"/>
    <cellStyle name="Normal 9 3 3 2 6 3" xfId="11194" xr:uid="{4BC8746B-2176-4ACF-B0EA-DE2B4633B887}"/>
    <cellStyle name="Normal 9 3 3 2 6 4" xfId="15405" xr:uid="{31199010-B298-4308-BBCB-0685E7EDCD0E}"/>
    <cellStyle name="Normal 9 3 3 2 7" xfId="4897" xr:uid="{00000000-0005-0000-0000-00000E200000}"/>
    <cellStyle name="Normal 9 3 3 2 7 2" xfId="17558" xr:uid="{1EBFF7E2-26D7-44CB-B0DF-F4DB0AC08F8B}"/>
    <cellStyle name="Normal 9 3 3 2 8" xfId="9129" xr:uid="{F6D8509A-0806-4AFD-973D-806175A71641}"/>
    <cellStyle name="Normal 9 3 3 2 9" xfId="13340" xr:uid="{CF890042-15A2-4E9B-9C34-FD804A1D638E}"/>
    <cellStyle name="Normal 9 3 3 3" xfId="999" xr:uid="{00000000-0005-0000-0000-00000F200000}"/>
    <cellStyle name="Normal 9 3 3 3 2" xfId="3232" xr:uid="{00000000-0005-0000-0000-000010200000}"/>
    <cellStyle name="Normal 9 3 3 3 2 2" xfId="7454" xr:uid="{00000000-0005-0000-0000-000011200000}"/>
    <cellStyle name="Normal 9 3 3 3 2 2 2" xfId="20115" xr:uid="{2B08745E-0820-4672-9320-DBD6A0F2BD96}"/>
    <cellStyle name="Normal 9 3 3 3 2 3" xfId="11686" xr:uid="{324348A3-9A5B-4467-80B1-5B9259547CC2}"/>
    <cellStyle name="Normal 9 3 3 3 2 4" xfId="15897" xr:uid="{3518B9BC-4F90-4197-B89D-9F4EC42D6642}"/>
    <cellStyle name="Normal 9 3 3 3 3" xfId="5309" xr:uid="{00000000-0005-0000-0000-000012200000}"/>
    <cellStyle name="Normal 9 3 3 3 3 2" xfId="17970" xr:uid="{FC20418D-7AE9-4861-8DD0-A8E5DD82D7BF}"/>
    <cellStyle name="Normal 9 3 3 3 4" xfId="9541" xr:uid="{A877A687-1E50-4FD7-A919-0BDF05F44DBA}"/>
    <cellStyle name="Normal 9 3 3 3 5" xfId="13752" xr:uid="{FF1ED906-B50A-4B1C-AEFA-8B7E94C4B433}"/>
    <cellStyle name="Normal 9 3 3 4" xfId="1415" xr:uid="{00000000-0005-0000-0000-000013200000}"/>
    <cellStyle name="Normal 9 3 3 4 2" xfId="3645" xr:uid="{00000000-0005-0000-0000-000014200000}"/>
    <cellStyle name="Normal 9 3 3 4 2 2" xfId="7867" xr:uid="{00000000-0005-0000-0000-000015200000}"/>
    <cellStyle name="Normal 9 3 3 4 2 2 2" xfId="20528" xr:uid="{EF132016-DD61-445F-9556-7574E17CC2F6}"/>
    <cellStyle name="Normal 9 3 3 4 2 3" xfId="12099" xr:uid="{76078BCB-4860-44B8-9E4E-A5434E52F4C0}"/>
    <cellStyle name="Normal 9 3 3 4 2 4" xfId="16310" xr:uid="{C0BAE841-27C4-41BA-87B8-A264EB836255}"/>
    <cellStyle name="Normal 9 3 3 4 3" xfId="5722" xr:uid="{00000000-0005-0000-0000-000016200000}"/>
    <cellStyle name="Normal 9 3 3 4 3 2" xfId="18383" xr:uid="{FA3D7EB6-3E5F-4037-BC13-94534AF91FE2}"/>
    <cellStyle name="Normal 9 3 3 4 4" xfId="9954" xr:uid="{060EB1B6-A78F-453D-A4B5-8FB4FB1AE3C2}"/>
    <cellStyle name="Normal 9 3 3 4 5" xfId="14165" xr:uid="{6C38C8BA-452A-4CF8-A504-BCA685590D38}"/>
    <cellStyle name="Normal 9 3 3 5" xfId="1828" xr:uid="{00000000-0005-0000-0000-000017200000}"/>
    <cellStyle name="Normal 9 3 3 5 2" xfId="4058" xr:uid="{00000000-0005-0000-0000-000018200000}"/>
    <cellStyle name="Normal 9 3 3 5 2 2" xfId="8280" xr:uid="{00000000-0005-0000-0000-000019200000}"/>
    <cellStyle name="Normal 9 3 3 5 2 2 2" xfId="20941" xr:uid="{44B329E0-46D1-45DF-BA64-650310EEF5A4}"/>
    <cellStyle name="Normal 9 3 3 5 2 3" xfId="12512" xr:uid="{572FFC8D-0747-4993-82DB-B9F0A6BFA660}"/>
    <cellStyle name="Normal 9 3 3 5 2 4" xfId="16723" xr:uid="{9C09F0AC-409E-4077-8308-BA44E7697DB5}"/>
    <cellStyle name="Normal 9 3 3 5 3" xfId="6135" xr:uid="{00000000-0005-0000-0000-00001A200000}"/>
    <cellStyle name="Normal 9 3 3 5 3 2" xfId="18796" xr:uid="{0C31886C-2C68-4601-9F56-E6C20D16E4C7}"/>
    <cellStyle name="Normal 9 3 3 5 4" xfId="10367" xr:uid="{FDE73A2F-6F34-4DDB-B7DB-656388303FC9}"/>
    <cellStyle name="Normal 9 3 3 5 5" xfId="14578" xr:uid="{728FDD3D-9921-4CB6-A495-A3D297504C3E}"/>
    <cellStyle name="Normal 9 3 3 6" xfId="2242" xr:uid="{00000000-0005-0000-0000-00001B200000}"/>
    <cellStyle name="Normal 9 3 3 6 2" xfId="4471" xr:uid="{00000000-0005-0000-0000-00001C200000}"/>
    <cellStyle name="Normal 9 3 3 6 2 2" xfId="8693" xr:uid="{00000000-0005-0000-0000-00001D200000}"/>
    <cellStyle name="Normal 9 3 3 6 2 2 2" xfId="21354" xr:uid="{902E8BF6-1D93-4EDF-A494-4A858538C060}"/>
    <cellStyle name="Normal 9 3 3 6 2 3" xfId="12925" xr:uid="{AC83AEDD-1B9C-4868-B673-9922141648C9}"/>
    <cellStyle name="Normal 9 3 3 6 2 4" xfId="17136" xr:uid="{64227380-5A92-4632-ABE2-DED5B8DEEDD7}"/>
    <cellStyle name="Normal 9 3 3 6 3" xfId="6548" xr:uid="{00000000-0005-0000-0000-00001E200000}"/>
    <cellStyle name="Normal 9 3 3 6 3 2" xfId="19209" xr:uid="{D9DF1B79-8E7B-4D32-91D3-1ED6C1DCD30F}"/>
    <cellStyle name="Normal 9 3 3 6 4" xfId="10780" xr:uid="{63242FE3-2FA7-4D02-9B3E-5774229EBBAB}"/>
    <cellStyle name="Normal 9 3 3 6 5" xfId="14991" xr:uid="{29AB1471-B6A2-4484-925A-728A5728BB3A}"/>
    <cellStyle name="Normal 9 3 3 7" xfId="2678" xr:uid="{00000000-0005-0000-0000-00001F200000}"/>
    <cellStyle name="Normal 9 3 3 7 2" xfId="6961" xr:uid="{00000000-0005-0000-0000-000020200000}"/>
    <cellStyle name="Normal 9 3 3 7 2 2" xfId="19622" xr:uid="{9C31D01D-6763-42D5-AB07-EDD25316BCAC}"/>
    <cellStyle name="Normal 9 3 3 7 3" xfId="11193" xr:uid="{0C387A02-1E71-4EBE-A0C9-26B5BDC3819A}"/>
    <cellStyle name="Normal 9 3 3 7 4" xfId="15404" xr:uid="{CAC92673-8617-4601-B326-CB687C853F57}"/>
    <cellStyle name="Normal 9 3 3 8" xfId="4896" xr:uid="{00000000-0005-0000-0000-000021200000}"/>
    <cellStyle name="Normal 9 3 3 8 2" xfId="17557" xr:uid="{D5BE1E42-F6E4-476F-A2BA-7DDDF56AD855}"/>
    <cellStyle name="Normal 9 3 3 9" xfId="9128" xr:uid="{99907580-AB0D-4993-B2D0-1ED8AA3A65C7}"/>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20117" xr:uid="{4E6F4E2C-F6F0-462F-8304-C7DFCA3037B3}"/>
    <cellStyle name="Normal 9 3 4 2 2 3" xfId="11688" xr:uid="{81B67582-D94E-45C5-8022-73B3856B1CA8}"/>
    <cellStyle name="Normal 9 3 4 2 2 4" xfId="15899" xr:uid="{926BF539-AC06-474B-B2F2-8818CCF11C28}"/>
    <cellStyle name="Normal 9 3 4 2 3" xfId="5311" xr:uid="{00000000-0005-0000-0000-000026200000}"/>
    <cellStyle name="Normal 9 3 4 2 3 2" xfId="17972" xr:uid="{24DC5370-4F82-47D3-B578-F96AB34C513E}"/>
    <cellStyle name="Normal 9 3 4 2 4" xfId="9543" xr:uid="{2372E3E7-4E07-46F0-8FB3-2D64B4F5416A}"/>
    <cellStyle name="Normal 9 3 4 2 5" xfId="13754" xr:uid="{D60DD874-237C-4D68-BA45-0B3191BC3EBB}"/>
    <cellStyle name="Normal 9 3 4 3" xfId="1417" xr:uid="{00000000-0005-0000-0000-000027200000}"/>
    <cellStyle name="Normal 9 3 4 3 2" xfId="3647" xr:uid="{00000000-0005-0000-0000-000028200000}"/>
    <cellStyle name="Normal 9 3 4 3 2 2" xfId="7869" xr:uid="{00000000-0005-0000-0000-000029200000}"/>
    <cellStyle name="Normal 9 3 4 3 2 2 2" xfId="20530" xr:uid="{E0B769A9-2E3E-48FC-926C-CB8AD228866C}"/>
    <cellStyle name="Normal 9 3 4 3 2 3" xfId="12101" xr:uid="{DCEEF585-513A-4A43-BBCF-D942ADE4AEEE}"/>
    <cellStyle name="Normal 9 3 4 3 2 4" xfId="16312" xr:uid="{0F3C5E41-DAA0-43A0-BC39-3324AB67574D}"/>
    <cellStyle name="Normal 9 3 4 3 3" xfId="5724" xr:uid="{00000000-0005-0000-0000-00002A200000}"/>
    <cellStyle name="Normal 9 3 4 3 3 2" xfId="18385" xr:uid="{BA49A89F-C06D-417E-BEC3-DB7936604D73}"/>
    <cellStyle name="Normal 9 3 4 3 4" xfId="9956" xr:uid="{69749632-BC53-43B7-988C-9DA4D95E48B8}"/>
    <cellStyle name="Normal 9 3 4 3 5" xfId="14167" xr:uid="{B34338CB-B0C5-46CC-AA95-02D0113D51DF}"/>
    <cellStyle name="Normal 9 3 4 4" xfId="1830" xr:uid="{00000000-0005-0000-0000-00002B200000}"/>
    <cellStyle name="Normal 9 3 4 4 2" xfId="4060" xr:uid="{00000000-0005-0000-0000-00002C200000}"/>
    <cellStyle name="Normal 9 3 4 4 2 2" xfId="8282" xr:uid="{00000000-0005-0000-0000-00002D200000}"/>
    <cellStyle name="Normal 9 3 4 4 2 2 2" xfId="20943" xr:uid="{F5A498CB-26B5-4422-B609-126F5D193FCB}"/>
    <cellStyle name="Normal 9 3 4 4 2 3" xfId="12514" xr:uid="{B973E5F7-0CD5-4612-84BA-AC3FE5CD5BCF}"/>
    <cellStyle name="Normal 9 3 4 4 2 4" xfId="16725" xr:uid="{27962685-5985-46D4-AD94-864FEF819BF5}"/>
    <cellStyle name="Normal 9 3 4 4 3" xfId="6137" xr:uid="{00000000-0005-0000-0000-00002E200000}"/>
    <cellStyle name="Normal 9 3 4 4 3 2" xfId="18798" xr:uid="{E7F0B9C9-9047-4007-A97B-83552E892D67}"/>
    <cellStyle name="Normal 9 3 4 4 4" xfId="10369" xr:uid="{A3C5182B-AAE7-4F33-BDB4-E5A6DDE30A6E}"/>
    <cellStyle name="Normal 9 3 4 4 5" xfId="14580" xr:uid="{5BB23713-958C-4C02-A4B4-6C1539804EEE}"/>
    <cellStyle name="Normal 9 3 4 5" xfId="2244" xr:uid="{00000000-0005-0000-0000-00002F200000}"/>
    <cellStyle name="Normal 9 3 4 5 2" xfId="4473" xr:uid="{00000000-0005-0000-0000-000030200000}"/>
    <cellStyle name="Normal 9 3 4 5 2 2" xfId="8695" xr:uid="{00000000-0005-0000-0000-000031200000}"/>
    <cellStyle name="Normal 9 3 4 5 2 2 2" xfId="21356" xr:uid="{87CF5B82-8DF3-424A-8626-C7ADBA9CFE2D}"/>
    <cellStyle name="Normal 9 3 4 5 2 3" xfId="12927" xr:uid="{ADAD3D65-B4C1-4045-9CB6-F850C6FB63F5}"/>
    <cellStyle name="Normal 9 3 4 5 2 4" xfId="17138" xr:uid="{46CBB9B6-EEF2-492B-9A91-7FB95BDDA74C}"/>
    <cellStyle name="Normal 9 3 4 5 3" xfId="6550" xr:uid="{00000000-0005-0000-0000-000032200000}"/>
    <cellStyle name="Normal 9 3 4 5 3 2" xfId="19211" xr:uid="{63ADA2F3-F88E-4DDD-8A6A-999B95F12FB0}"/>
    <cellStyle name="Normal 9 3 4 5 4" xfId="10782" xr:uid="{1100A1AE-498E-40F8-AE4C-282AB71D8214}"/>
    <cellStyle name="Normal 9 3 4 5 5" xfId="14993" xr:uid="{1B7EBEE9-2379-470C-980F-1521C7C9E324}"/>
    <cellStyle name="Normal 9 3 4 6" xfId="2680" xr:uid="{00000000-0005-0000-0000-000033200000}"/>
    <cellStyle name="Normal 9 3 4 6 2" xfId="6963" xr:uid="{00000000-0005-0000-0000-000034200000}"/>
    <cellStyle name="Normal 9 3 4 6 2 2" xfId="19624" xr:uid="{BFCA9FB3-BA54-4EB3-B80B-D73CA58A9D2F}"/>
    <cellStyle name="Normal 9 3 4 6 3" xfId="11195" xr:uid="{4F97ED45-B998-45DA-BF4D-225D46795BD5}"/>
    <cellStyle name="Normal 9 3 4 6 4" xfId="15406" xr:uid="{64CACEFC-3FAA-4D60-BBB0-63CC61C28CD1}"/>
    <cellStyle name="Normal 9 3 4 7" xfId="4898" xr:uid="{00000000-0005-0000-0000-000035200000}"/>
    <cellStyle name="Normal 9 3 4 7 2" xfId="17559" xr:uid="{76BF353B-7234-478A-9061-1F19B64A6D88}"/>
    <cellStyle name="Normal 9 3 4 8" xfId="9130" xr:uid="{AE203570-135E-4C6F-9C31-3A74CE95F05B}"/>
    <cellStyle name="Normal 9 3 4 9" xfId="13341" xr:uid="{3B08F30E-D092-485E-8112-E65D6531E2AC}"/>
    <cellStyle name="Normal 9 3 5" xfId="994" xr:uid="{00000000-0005-0000-0000-000036200000}"/>
    <cellStyle name="Normal 9 3 5 2" xfId="3227" xr:uid="{00000000-0005-0000-0000-000037200000}"/>
    <cellStyle name="Normal 9 3 5 2 2" xfId="7449" xr:uid="{00000000-0005-0000-0000-000038200000}"/>
    <cellStyle name="Normal 9 3 5 2 2 2" xfId="20110" xr:uid="{4F472C81-089D-45E1-86CC-CC2FADF30574}"/>
    <cellStyle name="Normal 9 3 5 2 3" xfId="11681" xr:uid="{6DF4D7E0-BCB3-4F5F-9AEF-24F636711521}"/>
    <cellStyle name="Normal 9 3 5 2 4" xfId="15892" xr:uid="{577F3CE9-0570-42B3-A220-A13191E4CFAE}"/>
    <cellStyle name="Normal 9 3 5 3" xfId="5304" xr:uid="{00000000-0005-0000-0000-000039200000}"/>
    <cellStyle name="Normal 9 3 5 3 2" xfId="17965" xr:uid="{508C3804-0F2F-478B-BD56-D0D7D1FADCE2}"/>
    <cellStyle name="Normal 9 3 5 4" xfId="9536" xr:uid="{A7DFA124-1177-4808-A250-3E25B9B0A96C}"/>
    <cellStyle name="Normal 9 3 5 5" xfId="13747" xr:uid="{CB6E14DE-A79B-486D-B207-7B099FD51E3E}"/>
    <cellStyle name="Normal 9 3 6" xfId="1410" xr:uid="{00000000-0005-0000-0000-00003A200000}"/>
    <cellStyle name="Normal 9 3 6 2" xfId="3640" xr:uid="{00000000-0005-0000-0000-00003B200000}"/>
    <cellStyle name="Normal 9 3 6 2 2" xfId="7862" xr:uid="{00000000-0005-0000-0000-00003C200000}"/>
    <cellStyle name="Normal 9 3 6 2 2 2" xfId="20523" xr:uid="{DBA83DC7-6AA0-4A05-B2DA-1259F0795FE4}"/>
    <cellStyle name="Normal 9 3 6 2 3" xfId="12094" xr:uid="{D4113AE0-6B6A-41A7-90FC-EFE9DC05E1BD}"/>
    <cellStyle name="Normal 9 3 6 2 4" xfId="16305" xr:uid="{1498A352-102F-45B7-8532-3698AD1F075A}"/>
    <cellStyle name="Normal 9 3 6 3" xfId="5717" xr:uid="{00000000-0005-0000-0000-00003D200000}"/>
    <cellStyle name="Normal 9 3 6 3 2" xfId="18378" xr:uid="{40099477-C0E7-4B3F-A1E8-A7710B533A38}"/>
    <cellStyle name="Normal 9 3 6 4" xfId="9949" xr:uid="{22E6604B-BA01-4F6B-BD9A-DDFCCFBEF64B}"/>
    <cellStyle name="Normal 9 3 6 5" xfId="14160" xr:uid="{688FF859-9A08-48C4-B1CB-D1756048E01A}"/>
    <cellStyle name="Normal 9 3 7" xfId="1823" xr:uid="{00000000-0005-0000-0000-00003E200000}"/>
    <cellStyle name="Normal 9 3 7 2" xfId="4053" xr:uid="{00000000-0005-0000-0000-00003F200000}"/>
    <cellStyle name="Normal 9 3 7 2 2" xfId="8275" xr:uid="{00000000-0005-0000-0000-000040200000}"/>
    <cellStyle name="Normal 9 3 7 2 2 2" xfId="20936" xr:uid="{564C4715-0706-43E3-B9E1-9DF69182A042}"/>
    <cellStyle name="Normal 9 3 7 2 3" xfId="12507" xr:uid="{CC40B80A-CBCE-479A-96A9-7D0719E165A2}"/>
    <cellStyle name="Normal 9 3 7 2 4" xfId="16718" xr:uid="{8E850C1B-EAB3-4B54-85D6-D9DD5BA4E186}"/>
    <cellStyle name="Normal 9 3 7 3" xfId="6130" xr:uid="{00000000-0005-0000-0000-000041200000}"/>
    <cellStyle name="Normal 9 3 7 3 2" xfId="18791" xr:uid="{882ECCA7-692E-4A47-9BD0-FD576A59D6ED}"/>
    <cellStyle name="Normal 9 3 7 4" xfId="10362" xr:uid="{7B023294-DDD0-45D3-A210-9B7E7DA76CA8}"/>
    <cellStyle name="Normal 9 3 7 5" xfId="14573" xr:uid="{B48EEF8B-6516-4DF7-8A85-DD44818D623F}"/>
    <cellStyle name="Normal 9 3 8" xfId="2237" xr:uid="{00000000-0005-0000-0000-000042200000}"/>
    <cellStyle name="Normal 9 3 8 2" xfId="4466" xr:uid="{00000000-0005-0000-0000-000043200000}"/>
    <cellStyle name="Normal 9 3 8 2 2" xfId="8688" xr:uid="{00000000-0005-0000-0000-000044200000}"/>
    <cellStyle name="Normal 9 3 8 2 2 2" xfId="21349" xr:uid="{7953C54F-210B-4221-A1A3-FA16A0266F9B}"/>
    <cellStyle name="Normal 9 3 8 2 3" xfId="12920" xr:uid="{79022F4B-7834-467A-B2DA-C7E3BC7AB446}"/>
    <cellStyle name="Normal 9 3 8 2 4" xfId="17131" xr:uid="{B5C644D1-8CC3-4A32-9307-0A1F6F46E386}"/>
    <cellStyle name="Normal 9 3 8 3" xfId="6543" xr:uid="{00000000-0005-0000-0000-000045200000}"/>
    <cellStyle name="Normal 9 3 8 3 2" xfId="19204" xr:uid="{E4BFB360-E97A-404A-ADC5-466AB867B7A8}"/>
    <cellStyle name="Normal 9 3 8 4" xfId="10775" xr:uid="{921D03BB-59B4-408B-84CB-1F276C4BCB91}"/>
    <cellStyle name="Normal 9 3 8 5" xfId="14986" xr:uid="{1E2719E6-8DA4-4409-A914-C35669841C7C}"/>
    <cellStyle name="Normal 9 3 9" xfId="2673" xr:uid="{00000000-0005-0000-0000-000046200000}"/>
    <cellStyle name="Normal 9 3 9 2" xfId="6956" xr:uid="{00000000-0005-0000-0000-000047200000}"/>
    <cellStyle name="Normal 9 3 9 2 2" xfId="19617" xr:uid="{FE8E174E-1442-4266-A764-C6DE254931C7}"/>
    <cellStyle name="Normal 9 3 9 3" xfId="11188" xr:uid="{BECA3CAC-DC82-48F1-A2CD-2D8C9DE84A92}"/>
    <cellStyle name="Normal 9 3 9 4" xfId="15399" xr:uid="{75493ED0-667B-4A86-B1D5-E69BA4B2F085}"/>
    <cellStyle name="Normal 9 4" xfId="535" xr:uid="{00000000-0005-0000-0000-000048200000}"/>
    <cellStyle name="Normal 9 4 2" xfId="1002" xr:uid="{00000000-0005-0000-0000-000049200000}"/>
    <cellStyle name="Normal 9 5" xfId="536" xr:uid="{00000000-0005-0000-0000-00004A200000}"/>
    <cellStyle name="Normal 9 5 10" xfId="13342" xr:uid="{76188EB8-D2B7-4593-8660-08F2B663C3AF}"/>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20119" xr:uid="{C6B46AF5-7E05-43B9-92F6-4F5DD25318E0}"/>
    <cellStyle name="Normal 9 5 2 2 2 3" xfId="11690" xr:uid="{700F51A6-920E-48B5-9551-BD9E865216B1}"/>
    <cellStyle name="Normal 9 5 2 2 2 4" xfId="15901" xr:uid="{6AFF83EB-DCA3-490D-8C66-E6C7C9332622}"/>
    <cellStyle name="Normal 9 5 2 2 3" xfId="5313" xr:uid="{00000000-0005-0000-0000-00004F200000}"/>
    <cellStyle name="Normal 9 5 2 2 3 2" xfId="17974" xr:uid="{CE5B1C92-6138-45EC-9E5E-0639F1B61ADD}"/>
    <cellStyle name="Normal 9 5 2 2 4" xfId="9545" xr:uid="{598E739F-8DBF-4FE0-B0E6-CD6D3C5B2253}"/>
    <cellStyle name="Normal 9 5 2 2 5" xfId="13756" xr:uid="{A2150D06-87C7-4AFC-829B-B4BC2B1E8B5B}"/>
    <cellStyle name="Normal 9 5 2 3" xfId="1419" xr:uid="{00000000-0005-0000-0000-000050200000}"/>
    <cellStyle name="Normal 9 5 2 3 2" xfId="3649" xr:uid="{00000000-0005-0000-0000-000051200000}"/>
    <cellStyle name="Normal 9 5 2 3 2 2" xfId="7871" xr:uid="{00000000-0005-0000-0000-000052200000}"/>
    <cellStyle name="Normal 9 5 2 3 2 2 2" xfId="20532" xr:uid="{2D0312AA-9047-430F-A788-E268EB651DA6}"/>
    <cellStyle name="Normal 9 5 2 3 2 3" xfId="12103" xr:uid="{D627F0DC-623C-4B13-A3B1-20F5B883DACB}"/>
    <cellStyle name="Normal 9 5 2 3 2 4" xfId="16314" xr:uid="{04532AFA-4FE8-4104-8D35-B0B7B0D430FD}"/>
    <cellStyle name="Normal 9 5 2 3 3" xfId="5726" xr:uid="{00000000-0005-0000-0000-000053200000}"/>
    <cellStyle name="Normal 9 5 2 3 3 2" xfId="18387" xr:uid="{5D0C896E-E056-4DB5-813C-E029F2D2485F}"/>
    <cellStyle name="Normal 9 5 2 3 4" xfId="9958" xr:uid="{11DF0BC7-18BA-4AF5-8DD7-8B49C6654F3F}"/>
    <cellStyle name="Normal 9 5 2 3 5" xfId="14169" xr:uid="{1C6927FF-95B1-491D-AEE6-574CC72A3F0D}"/>
    <cellStyle name="Normal 9 5 2 4" xfId="1832" xr:uid="{00000000-0005-0000-0000-000054200000}"/>
    <cellStyle name="Normal 9 5 2 4 2" xfId="4062" xr:uid="{00000000-0005-0000-0000-000055200000}"/>
    <cellStyle name="Normal 9 5 2 4 2 2" xfId="8284" xr:uid="{00000000-0005-0000-0000-000056200000}"/>
    <cellStyle name="Normal 9 5 2 4 2 2 2" xfId="20945" xr:uid="{046EA5D2-81B1-46C1-81C3-9C1E4B9319D1}"/>
    <cellStyle name="Normal 9 5 2 4 2 3" xfId="12516" xr:uid="{5FAA4A78-1465-4E27-997F-071E26F2838C}"/>
    <cellStyle name="Normal 9 5 2 4 2 4" xfId="16727" xr:uid="{036D8FB5-355E-44A8-A2E1-123BAB44F2EE}"/>
    <cellStyle name="Normal 9 5 2 4 3" xfId="6139" xr:uid="{00000000-0005-0000-0000-000057200000}"/>
    <cellStyle name="Normal 9 5 2 4 3 2" xfId="18800" xr:uid="{CB11A484-BDCD-4753-977B-0061C6CE3F66}"/>
    <cellStyle name="Normal 9 5 2 4 4" xfId="10371" xr:uid="{55B88CF9-CCBC-4E4B-8EBE-08CAADB72B38}"/>
    <cellStyle name="Normal 9 5 2 4 5" xfId="14582" xr:uid="{46E3EB70-0F0B-49A2-833E-FAF10EB3A121}"/>
    <cellStyle name="Normal 9 5 2 5" xfId="2246" xr:uid="{00000000-0005-0000-0000-000058200000}"/>
    <cellStyle name="Normal 9 5 2 5 2" xfId="4475" xr:uid="{00000000-0005-0000-0000-000059200000}"/>
    <cellStyle name="Normal 9 5 2 5 2 2" xfId="8697" xr:uid="{00000000-0005-0000-0000-00005A200000}"/>
    <cellStyle name="Normal 9 5 2 5 2 2 2" xfId="21358" xr:uid="{E7F8E986-70B4-48FE-A557-C24F94A7B163}"/>
    <cellStyle name="Normal 9 5 2 5 2 3" xfId="12929" xr:uid="{990CBDCC-E905-4BDA-B318-EB2EF61FB0C6}"/>
    <cellStyle name="Normal 9 5 2 5 2 4" xfId="17140" xr:uid="{B9912EB4-EBD6-4DD6-86E7-D390439FA2E6}"/>
    <cellStyle name="Normal 9 5 2 5 3" xfId="6552" xr:uid="{00000000-0005-0000-0000-00005B200000}"/>
    <cellStyle name="Normal 9 5 2 5 3 2" xfId="19213" xr:uid="{ED5B1466-4ED8-4697-8F8A-7AC8D076DB00}"/>
    <cellStyle name="Normal 9 5 2 5 4" xfId="10784" xr:uid="{A7AFBE0D-4DBA-44EA-8CB6-397B5E7B6BB6}"/>
    <cellStyle name="Normal 9 5 2 5 5" xfId="14995" xr:uid="{C5798344-3056-4EAF-9171-182E366A5966}"/>
    <cellStyle name="Normal 9 5 2 6" xfId="2682" xr:uid="{00000000-0005-0000-0000-00005C200000}"/>
    <cellStyle name="Normal 9 5 2 6 2" xfId="6965" xr:uid="{00000000-0005-0000-0000-00005D200000}"/>
    <cellStyle name="Normal 9 5 2 6 2 2" xfId="19626" xr:uid="{5DAF0E07-6E8B-436B-834C-9B93A3CA127A}"/>
    <cellStyle name="Normal 9 5 2 6 3" xfId="11197" xr:uid="{BB3C0E16-E16D-4642-AF47-CDC1CDC5C62E}"/>
    <cellStyle name="Normal 9 5 2 6 4" xfId="15408" xr:uid="{2FE6143B-616F-4A4E-8DE9-6A28481ADB7E}"/>
    <cellStyle name="Normal 9 5 2 7" xfId="4900" xr:uid="{00000000-0005-0000-0000-00005E200000}"/>
    <cellStyle name="Normal 9 5 2 7 2" xfId="17561" xr:uid="{09DFC33E-AE2D-4270-AC4D-4FA098E87094}"/>
    <cellStyle name="Normal 9 5 2 8" xfId="9132" xr:uid="{279CCF29-B732-4169-ADB8-2C1897052253}"/>
    <cellStyle name="Normal 9 5 2 9" xfId="13343" xr:uid="{9B0128AA-9A31-444F-9DDD-916E4F56D1AC}"/>
    <cellStyle name="Normal 9 5 3" xfId="1003" xr:uid="{00000000-0005-0000-0000-00005F200000}"/>
    <cellStyle name="Normal 9 5 3 2" xfId="3235" xr:uid="{00000000-0005-0000-0000-000060200000}"/>
    <cellStyle name="Normal 9 5 3 2 2" xfId="7457" xr:uid="{00000000-0005-0000-0000-000061200000}"/>
    <cellStyle name="Normal 9 5 3 2 2 2" xfId="20118" xr:uid="{AB562244-BC74-49BC-B01D-CB070F16D2DD}"/>
    <cellStyle name="Normal 9 5 3 2 3" xfId="11689" xr:uid="{A891DE6E-2013-4F3C-813F-92AAA2E98641}"/>
    <cellStyle name="Normal 9 5 3 2 4" xfId="15900" xr:uid="{7792F3CF-D4E8-4DDD-A2FD-25D247403DD5}"/>
    <cellStyle name="Normal 9 5 3 3" xfId="5312" xr:uid="{00000000-0005-0000-0000-000062200000}"/>
    <cellStyle name="Normal 9 5 3 3 2" xfId="17973" xr:uid="{B0098C34-3324-4019-8C46-21D1EC247D59}"/>
    <cellStyle name="Normal 9 5 3 4" xfId="9544" xr:uid="{F5C805E2-6BCB-4D90-90B4-1CFB28F2315F}"/>
    <cellStyle name="Normal 9 5 3 5" xfId="13755" xr:uid="{5B1A2569-7F1A-4F12-BC74-539C8DC4D387}"/>
    <cellStyle name="Normal 9 5 4" xfId="1418" xr:uid="{00000000-0005-0000-0000-000063200000}"/>
    <cellStyle name="Normal 9 5 4 2" xfId="3648" xr:uid="{00000000-0005-0000-0000-000064200000}"/>
    <cellStyle name="Normal 9 5 4 2 2" xfId="7870" xr:uid="{00000000-0005-0000-0000-000065200000}"/>
    <cellStyle name="Normal 9 5 4 2 2 2" xfId="20531" xr:uid="{93C650FE-E981-41C7-9C18-9B052F6EDE52}"/>
    <cellStyle name="Normal 9 5 4 2 3" xfId="12102" xr:uid="{C00D9496-3C0C-40B0-B772-A3C8E3E06BBE}"/>
    <cellStyle name="Normal 9 5 4 2 4" xfId="16313" xr:uid="{54D261B9-2204-4549-A577-DF3E9837306D}"/>
    <cellStyle name="Normal 9 5 4 3" xfId="5725" xr:uid="{00000000-0005-0000-0000-000066200000}"/>
    <cellStyle name="Normal 9 5 4 3 2" xfId="18386" xr:uid="{34455B2E-702C-4540-870F-39119A5686F0}"/>
    <cellStyle name="Normal 9 5 4 4" xfId="9957" xr:uid="{180F3261-D98C-45D9-A374-D10434AEF1A2}"/>
    <cellStyle name="Normal 9 5 4 5" xfId="14168" xr:uid="{2B2B3E81-EB58-44FF-8159-A49D8BA884C1}"/>
    <cellStyle name="Normal 9 5 5" xfId="1831" xr:uid="{00000000-0005-0000-0000-000067200000}"/>
    <cellStyle name="Normal 9 5 5 2" xfId="4061" xr:uid="{00000000-0005-0000-0000-000068200000}"/>
    <cellStyle name="Normal 9 5 5 2 2" xfId="8283" xr:uid="{00000000-0005-0000-0000-000069200000}"/>
    <cellStyle name="Normal 9 5 5 2 2 2" xfId="20944" xr:uid="{1F23E6C1-BF9E-492C-B7F5-1AB2A942821F}"/>
    <cellStyle name="Normal 9 5 5 2 3" xfId="12515" xr:uid="{3D16BA8E-5F0A-4020-9B92-4BB7731F5AC0}"/>
    <cellStyle name="Normal 9 5 5 2 4" xfId="16726" xr:uid="{2C02C0F0-1825-4825-83FF-FD544F938041}"/>
    <cellStyle name="Normal 9 5 5 3" xfId="6138" xr:uid="{00000000-0005-0000-0000-00006A200000}"/>
    <cellStyle name="Normal 9 5 5 3 2" xfId="18799" xr:uid="{551AA25A-CAAD-4648-86DA-32160B0434E4}"/>
    <cellStyle name="Normal 9 5 5 4" xfId="10370" xr:uid="{2F5E479A-080D-4B09-9DD6-1EB2CDCD85F8}"/>
    <cellStyle name="Normal 9 5 5 5" xfId="14581" xr:uid="{ECB12D97-62E8-47EB-9DE7-44F8A81CA241}"/>
    <cellStyle name="Normal 9 5 6" xfId="2245" xr:uid="{00000000-0005-0000-0000-00006B200000}"/>
    <cellStyle name="Normal 9 5 6 2" xfId="4474" xr:uid="{00000000-0005-0000-0000-00006C200000}"/>
    <cellStyle name="Normal 9 5 6 2 2" xfId="8696" xr:uid="{00000000-0005-0000-0000-00006D200000}"/>
    <cellStyle name="Normal 9 5 6 2 2 2" xfId="21357" xr:uid="{25DFB1EA-87F5-4031-A42A-A05624791C41}"/>
    <cellStyle name="Normal 9 5 6 2 3" xfId="12928" xr:uid="{49B989DB-BBF3-4D6C-9E4B-9671B0066525}"/>
    <cellStyle name="Normal 9 5 6 2 4" xfId="17139" xr:uid="{48497D31-B750-4386-8C4D-8F2E3B96DAAD}"/>
    <cellStyle name="Normal 9 5 6 3" xfId="6551" xr:uid="{00000000-0005-0000-0000-00006E200000}"/>
    <cellStyle name="Normal 9 5 6 3 2" xfId="19212" xr:uid="{12BF6F24-FC81-4A0F-8B38-D27DCC2B462F}"/>
    <cellStyle name="Normal 9 5 6 4" xfId="10783" xr:uid="{4039C919-C371-42FD-BD82-00199B66D2A4}"/>
    <cellStyle name="Normal 9 5 6 5" xfId="14994" xr:uid="{CF532F0F-1F60-42D9-91C4-6D7B0C7F73D3}"/>
    <cellStyle name="Normal 9 5 7" xfId="2681" xr:uid="{00000000-0005-0000-0000-00006F200000}"/>
    <cellStyle name="Normal 9 5 7 2" xfId="6964" xr:uid="{00000000-0005-0000-0000-000070200000}"/>
    <cellStyle name="Normal 9 5 7 2 2" xfId="19625" xr:uid="{3F8620DD-37A7-4AEB-98AC-7768ABAF856D}"/>
    <cellStyle name="Normal 9 5 7 3" xfId="11196" xr:uid="{8DA593E1-FCCC-46DA-880C-8592915960B8}"/>
    <cellStyle name="Normal 9 5 7 4" xfId="15407" xr:uid="{BFAB09CC-D068-4CCF-8B24-BF513D7EF0C7}"/>
    <cellStyle name="Normal 9 5 8" xfId="4899" xr:uid="{00000000-0005-0000-0000-000071200000}"/>
    <cellStyle name="Normal 9 5 8 2" xfId="17560" xr:uid="{273843FC-6B28-4CA6-8529-48BE8B1DB9A1}"/>
    <cellStyle name="Normal 9 5 9" xfId="9131" xr:uid="{89051F36-4BFC-400B-B28B-0F1F49C953A5}"/>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20120" xr:uid="{BDE8055B-A8A5-4F5E-B1B6-68384453481C}"/>
    <cellStyle name="Normal 9 6 2 2 3" xfId="11691" xr:uid="{375B9F12-980C-4AE3-9837-7FBD8EC4DF4C}"/>
    <cellStyle name="Normal 9 6 2 2 4" xfId="15902" xr:uid="{3E2966CC-9827-4303-8E94-32AC2F776297}"/>
    <cellStyle name="Normal 9 6 2 3" xfId="5314" xr:uid="{00000000-0005-0000-0000-000076200000}"/>
    <cellStyle name="Normal 9 6 2 3 2" xfId="17975" xr:uid="{997947A9-6602-4CE8-B0BF-42CB71EEC52E}"/>
    <cellStyle name="Normal 9 6 2 4" xfId="9546" xr:uid="{B3261DF1-D2C3-4D56-9AC7-C22202E8280B}"/>
    <cellStyle name="Normal 9 6 2 5" xfId="13757" xr:uid="{AB8EBEA4-1F42-4FD4-BC25-FDEDFF23F013}"/>
    <cellStyle name="Normal 9 6 3" xfId="1420" xr:uid="{00000000-0005-0000-0000-000077200000}"/>
    <cellStyle name="Normal 9 6 3 2" xfId="3650" xr:uid="{00000000-0005-0000-0000-000078200000}"/>
    <cellStyle name="Normal 9 6 3 2 2" xfId="7872" xr:uid="{00000000-0005-0000-0000-000079200000}"/>
    <cellStyle name="Normal 9 6 3 2 2 2" xfId="20533" xr:uid="{75124748-81F6-4E3D-B656-5D8E4F9F034E}"/>
    <cellStyle name="Normal 9 6 3 2 3" xfId="12104" xr:uid="{9D1E2D94-C9FC-4D9C-AD3D-3BDBE48C52D4}"/>
    <cellStyle name="Normal 9 6 3 2 4" xfId="16315" xr:uid="{D3012437-752F-4C8A-A576-CC8021FA9B34}"/>
    <cellStyle name="Normal 9 6 3 3" xfId="5727" xr:uid="{00000000-0005-0000-0000-00007A200000}"/>
    <cellStyle name="Normal 9 6 3 3 2" xfId="18388" xr:uid="{F87A48EF-2BC3-4982-B8F0-78DA6DBC957F}"/>
    <cellStyle name="Normal 9 6 3 4" xfId="9959" xr:uid="{4FAD4B73-6EE7-4A5B-A35B-0FB53D246ACB}"/>
    <cellStyle name="Normal 9 6 3 5" xfId="14170" xr:uid="{CB5FF4FC-5F6E-4443-8347-D7F590BB314A}"/>
    <cellStyle name="Normal 9 6 4" xfId="1833" xr:uid="{00000000-0005-0000-0000-00007B200000}"/>
    <cellStyle name="Normal 9 6 4 2" xfId="4063" xr:uid="{00000000-0005-0000-0000-00007C200000}"/>
    <cellStyle name="Normal 9 6 4 2 2" xfId="8285" xr:uid="{00000000-0005-0000-0000-00007D200000}"/>
    <cellStyle name="Normal 9 6 4 2 2 2" xfId="20946" xr:uid="{13F95CE6-1BC3-43EE-9184-2DF74EC31E30}"/>
    <cellStyle name="Normal 9 6 4 2 3" xfId="12517" xr:uid="{B8D135B3-E7B2-4061-98B3-85637ECFBCC6}"/>
    <cellStyle name="Normal 9 6 4 2 4" xfId="16728" xr:uid="{5CCA55B2-4E50-4D1D-9F25-D28E7E2D67F2}"/>
    <cellStyle name="Normal 9 6 4 3" xfId="6140" xr:uid="{00000000-0005-0000-0000-00007E200000}"/>
    <cellStyle name="Normal 9 6 4 3 2" xfId="18801" xr:uid="{AB7E0A81-9114-4760-9D49-82BFE46A5CE0}"/>
    <cellStyle name="Normal 9 6 4 4" xfId="10372" xr:uid="{52B79E86-E041-4927-B75C-EA9DA1C907B3}"/>
    <cellStyle name="Normal 9 6 4 5" xfId="14583" xr:uid="{A64816C9-A5D9-43A0-95CE-78B7A80A958E}"/>
    <cellStyle name="Normal 9 6 5" xfId="2247" xr:uid="{00000000-0005-0000-0000-00007F200000}"/>
    <cellStyle name="Normal 9 6 5 2" xfId="4476" xr:uid="{00000000-0005-0000-0000-000080200000}"/>
    <cellStyle name="Normal 9 6 5 2 2" xfId="8698" xr:uid="{00000000-0005-0000-0000-000081200000}"/>
    <cellStyle name="Normal 9 6 5 2 2 2" xfId="21359" xr:uid="{D625E638-731A-40CB-8052-8C82A322ABFD}"/>
    <cellStyle name="Normal 9 6 5 2 3" xfId="12930" xr:uid="{01FBD963-B550-4392-B24A-C599728DC009}"/>
    <cellStyle name="Normal 9 6 5 2 4" xfId="17141" xr:uid="{7F8E4404-4559-40C8-8790-AD283E15BA13}"/>
    <cellStyle name="Normal 9 6 5 3" xfId="6553" xr:uid="{00000000-0005-0000-0000-000082200000}"/>
    <cellStyle name="Normal 9 6 5 3 2" xfId="19214" xr:uid="{C52D4C8F-308E-4AFF-BE27-B33AD6959584}"/>
    <cellStyle name="Normal 9 6 5 4" xfId="10785" xr:uid="{AF1DD777-8280-4E16-8145-D021F782396C}"/>
    <cellStyle name="Normal 9 6 5 5" xfId="14996" xr:uid="{CB517F80-D9CC-41D1-8987-E8F19A21BB0B}"/>
    <cellStyle name="Normal 9 6 6" xfId="2683" xr:uid="{00000000-0005-0000-0000-000083200000}"/>
    <cellStyle name="Normal 9 6 6 2" xfId="6966" xr:uid="{00000000-0005-0000-0000-000084200000}"/>
    <cellStyle name="Normal 9 6 6 2 2" xfId="19627" xr:uid="{7FBB0D36-96FD-46E9-BA82-4FD219A565A3}"/>
    <cellStyle name="Normal 9 6 6 3" xfId="11198" xr:uid="{3CC37ACE-7AEA-420D-9C32-A4BF41AB9C83}"/>
    <cellStyle name="Normal 9 6 6 4" xfId="15409" xr:uid="{EE3BB955-4F56-4732-928C-947F83103032}"/>
    <cellStyle name="Normal 9 6 7" xfId="4901" xr:uid="{00000000-0005-0000-0000-000085200000}"/>
    <cellStyle name="Normal 9 6 7 2" xfId="17562" xr:uid="{BD491768-94F9-46A2-8529-3AFD5F367B1E}"/>
    <cellStyle name="Normal 9 6 8" xfId="9133" xr:uid="{26391AFC-630C-4CA8-915B-54A53FC46477}"/>
    <cellStyle name="Normal 9 6 9" xfId="13344" xr:uid="{8EFF157E-891E-4C5B-B55F-1B06E86DC674}"/>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9708" xr:uid="{CB26D5C2-3473-4FB3-A7FA-44C87DE9645C}"/>
    <cellStyle name="Note 2 2 10 3" xfId="11279" xr:uid="{9C6F7B5F-A531-4E2F-8AE3-74262C5137C9}"/>
    <cellStyle name="Note 2 2 10 4" xfId="15490" xr:uid="{477A81B6-F8C4-4BE9-AE23-2A1D6AE9553A}"/>
    <cellStyle name="Note 2 2 11" xfId="4902" xr:uid="{00000000-0005-0000-0000-000094200000}"/>
    <cellStyle name="Note 2 2 11 2" xfId="17563" xr:uid="{8E2344E5-BAC4-472D-BB94-EC3439B87E00}"/>
    <cellStyle name="Note 2 2 12" xfId="9134" xr:uid="{7BB6007E-4BD5-4B48-9A74-A9D5864C3B97}"/>
    <cellStyle name="Note 2 2 13" xfId="13345" xr:uid="{68899174-572A-4502-A9F4-916CFAC6839E}"/>
    <cellStyle name="Note 2 2 2" xfId="546" xr:uid="{00000000-0005-0000-0000-000095200000}"/>
    <cellStyle name="Note 2 2 2 10" xfId="4903" xr:uid="{00000000-0005-0000-0000-000096200000}"/>
    <cellStyle name="Note 2 2 2 10 2" xfId="17564" xr:uid="{5CA716C8-710D-4C6B-81F2-4EA61DC7EFC8}"/>
    <cellStyle name="Note 2 2 2 11" xfId="9135" xr:uid="{85A134CC-C840-4B47-907F-10196FF80577}"/>
    <cellStyle name="Note 2 2 2 12" xfId="13346" xr:uid="{C66AB2D4-7D99-4594-B0BE-83AED78A3406}"/>
    <cellStyle name="Note 2 2 2 2" xfId="547" xr:uid="{00000000-0005-0000-0000-000097200000}"/>
    <cellStyle name="Note 2 2 2 2 10" xfId="9136" xr:uid="{CDDB05F7-F699-46D8-B666-5812F8648249}"/>
    <cellStyle name="Note 2 2 2 2 11" xfId="13347" xr:uid="{F962ECF2-EF6C-4A12-9E39-73B367304DD3}"/>
    <cellStyle name="Note 2 2 2 2 2" xfId="1008" xr:uid="{00000000-0005-0000-0000-000098200000}"/>
    <cellStyle name="Note 2 2 2 2 2 2" xfId="3240" xr:uid="{00000000-0005-0000-0000-000099200000}"/>
    <cellStyle name="Note 2 2 2 2 2 2 2" xfId="7462" xr:uid="{00000000-0005-0000-0000-00009A200000}"/>
    <cellStyle name="Note 2 2 2 2 2 2 2 2" xfId="20123" xr:uid="{E7A51D94-1EA3-4C99-8E8C-5F236EDCA5F6}"/>
    <cellStyle name="Note 2 2 2 2 2 2 3" xfId="11694" xr:uid="{D5D5A9AF-9362-43F1-AC26-28489858EA7D}"/>
    <cellStyle name="Note 2 2 2 2 2 2 4" xfId="15905" xr:uid="{8E7DF9E6-0F24-40B5-989D-6C00269B84BD}"/>
    <cellStyle name="Note 2 2 2 2 2 3" xfId="5317" xr:uid="{00000000-0005-0000-0000-00009B200000}"/>
    <cellStyle name="Note 2 2 2 2 2 3 2" xfId="17978" xr:uid="{11F5FF28-24B0-4C26-89E9-133A8B04685B}"/>
    <cellStyle name="Note 2 2 2 2 2 4" xfId="9549" xr:uid="{336F3893-5199-4E8A-8638-115FC85091DB}"/>
    <cellStyle name="Note 2 2 2 2 2 5" xfId="13760" xr:uid="{4906F822-72F6-4B53-B606-467CFEB7EBE1}"/>
    <cellStyle name="Note 2 2 2 2 3" xfId="1423" xr:uid="{00000000-0005-0000-0000-00009C200000}"/>
    <cellStyle name="Note 2 2 2 2 3 2" xfId="3653" xr:uid="{00000000-0005-0000-0000-00009D200000}"/>
    <cellStyle name="Note 2 2 2 2 3 2 2" xfId="7875" xr:uid="{00000000-0005-0000-0000-00009E200000}"/>
    <cellStyle name="Note 2 2 2 2 3 2 2 2" xfId="20536" xr:uid="{F6B008A5-B222-43A8-B489-1A5C56102949}"/>
    <cellStyle name="Note 2 2 2 2 3 2 3" xfId="12107" xr:uid="{27E47DA5-FE69-48DE-981C-1BA58DA3DBAA}"/>
    <cellStyle name="Note 2 2 2 2 3 2 4" xfId="16318" xr:uid="{2A7D8BD8-1970-49B1-AF18-7F86029182A8}"/>
    <cellStyle name="Note 2 2 2 2 3 3" xfId="5730" xr:uid="{00000000-0005-0000-0000-00009F200000}"/>
    <cellStyle name="Note 2 2 2 2 3 3 2" xfId="18391" xr:uid="{5C878139-0D69-4A97-AB3B-F4493A8BF817}"/>
    <cellStyle name="Note 2 2 2 2 3 4" xfId="9962" xr:uid="{37C54C47-8E84-4A43-99A1-FC6281602DD6}"/>
    <cellStyle name="Note 2 2 2 2 3 5" xfId="14173" xr:uid="{C9CD5F9E-BCCF-4633-ACFC-46C69F3BC2A1}"/>
    <cellStyle name="Note 2 2 2 2 4" xfId="1837" xr:uid="{00000000-0005-0000-0000-0000A0200000}"/>
    <cellStyle name="Note 2 2 2 2 4 2" xfId="4066" xr:uid="{00000000-0005-0000-0000-0000A1200000}"/>
    <cellStyle name="Note 2 2 2 2 4 2 2" xfId="8288" xr:uid="{00000000-0005-0000-0000-0000A2200000}"/>
    <cellStyle name="Note 2 2 2 2 4 2 2 2" xfId="20949" xr:uid="{3416FF34-73FE-4E99-818B-435F4C0D1393}"/>
    <cellStyle name="Note 2 2 2 2 4 2 3" xfId="12520" xr:uid="{68E7FB7F-FC39-4194-99A0-07B0F4BCC020}"/>
    <cellStyle name="Note 2 2 2 2 4 2 4" xfId="16731" xr:uid="{6B277A09-38BA-499E-8EF7-3A3DD1294073}"/>
    <cellStyle name="Note 2 2 2 2 4 3" xfId="6143" xr:uid="{00000000-0005-0000-0000-0000A3200000}"/>
    <cellStyle name="Note 2 2 2 2 4 3 2" xfId="18804" xr:uid="{B5B0BC82-A89E-4786-9C7B-51963D73AD4D}"/>
    <cellStyle name="Note 2 2 2 2 4 4" xfId="10375" xr:uid="{E89C419D-0B15-4753-BE27-413ED05CD290}"/>
    <cellStyle name="Note 2 2 2 2 4 5" xfId="14586" xr:uid="{8C07A006-1591-4557-9904-FD0A3AB8839A}"/>
    <cellStyle name="Note 2 2 2 2 5" xfId="2250" xr:uid="{00000000-0005-0000-0000-0000A4200000}"/>
    <cellStyle name="Note 2 2 2 2 5 2" xfId="4479" xr:uid="{00000000-0005-0000-0000-0000A5200000}"/>
    <cellStyle name="Note 2 2 2 2 5 2 2" xfId="8701" xr:uid="{00000000-0005-0000-0000-0000A6200000}"/>
    <cellStyle name="Note 2 2 2 2 5 2 2 2" xfId="21362" xr:uid="{1B589F12-143B-4959-B5E4-A6DC4B3160B2}"/>
    <cellStyle name="Note 2 2 2 2 5 2 3" xfId="12933" xr:uid="{EFE78D1B-A4AE-4B1B-9939-0D9F0BBF0757}"/>
    <cellStyle name="Note 2 2 2 2 5 2 4" xfId="17144" xr:uid="{E98D3831-0D67-41D4-811B-478EEC1D06E4}"/>
    <cellStyle name="Note 2 2 2 2 5 3" xfId="6556" xr:uid="{00000000-0005-0000-0000-0000A7200000}"/>
    <cellStyle name="Note 2 2 2 2 5 3 2" xfId="19217" xr:uid="{335E5C0E-F95A-4125-9F8B-55009CCF1D90}"/>
    <cellStyle name="Note 2 2 2 2 5 4" xfId="10788" xr:uid="{61DA9895-8127-4B62-9E6B-8A41D5CD3EBB}"/>
    <cellStyle name="Note 2 2 2 2 5 5" xfId="14999" xr:uid="{1B140315-A03C-431F-B39A-F87FF4B0A325}"/>
    <cellStyle name="Note 2 2 2 2 6" xfId="2686" xr:uid="{00000000-0005-0000-0000-0000A8200000}"/>
    <cellStyle name="Note 2 2 2 2 6 2" xfId="6969" xr:uid="{00000000-0005-0000-0000-0000A9200000}"/>
    <cellStyle name="Note 2 2 2 2 6 2 2" xfId="19630" xr:uid="{C134B4AC-F738-4246-BDBC-5610A6AC1428}"/>
    <cellStyle name="Note 2 2 2 2 6 3" xfId="11201" xr:uid="{851CE57E-A7CB-47A7-998D-23FD93518AF9}"/>
    <cellStyle name="Note 2 2 2 2 6 4" xfId="15412" xr:uid="{1CE6B15B-5B3E-44D4-975C-E0FAADEFEBBA}"/>
    <cellStyle name="Note 2 2 2 2 7" xfId="2745" xr:uid="{00000000-0005-0000-0000-0000AA200000}"/>
    <cellStyle name="Note 2 2 2 2 8" xfId="2826" xr:uid="{00000000-0005-0000-0000-0000AB200000}"/>
    <cellStyle name="Note 2 2 2 2 8 2" xfId="7049" xr:uid="{00000000-0005-0000-0000-0000AC200000}"/>
    <cellStyle name="Note 2 2 2 2 8 2 2" xfId="19710" xr:uid="{EAA067B0-F2BB-4CA6-9CAA-5DECCE40E362}"/>
    <cellStyle name="Note 2 2 2 2 8 3" xfId="11281" xr:uid="{C0CC9D16-C6A2-4BFD-8DFB-093D10051886}"/>
    <cellStyle name="Note 2 2 2 2 8 4" xfId="15492" xr:uid="{DA3EAEF5-8A5E-444A-8B5B-7A3268688484}"/>
    <cellStyle name="Note 2 2 2 2 9" xfId="4904" xr:uid="{00000000-0005-0000-0000-0000AD200000}"/>
    <cellStyle name="Note 2 2 2 2 9 2" xfId="17565" xr:uid="{B777654D-AA49-4945-8C3C-2E5D7C5EB2BC}"/>
    <cellStyle name="Note 2 2 2 3" xfId="1007" xr:uid="{00000000-0005-0000-0000-0000AE200000}"/>
    <cellStyle name="Note 2 2 2 3 2" xfId="3239" xr:uid="{00000000-0005-0000-0000-0000AF200000}"/>
    <cellStyle name="Note 2 2 2 3 2 2" xfId="7461" xr:uid="{00000000-0005-0000-0000-0000B0200000}"/>
    <cellStyle name="Note 2 2 2 3 2 2 2" xfId="20122" xr:uid="{4993C7AC-20A7-4576-9D71-62FA8254D9BD}"/>
    <cellStyle name="Note 2 2 2 3 2 3" xfId="11693" xr:uid="{94709E8B-6BA3-43EF-8410-4A3CF81F8559}"/>
    <cellStyle name="Note 2 2 2 3 2 4" xfId="15904" xr:uid="{5A8E4273-8536-40E8-AFD7-632AAA0DC84A}"/>
    <cellStyle name="Note 2 2 2 3 3" xfId="5316" xr:uid="{00000000-0005-0000-0000-0000B1200000}"/>
    <cellStyle name="Note 2 2 2 3 3 2" xfId="17977" xr:uid="{BF534BCE-FD43-4534-A50E-4563A41C9CFB}"/>
    <cellStyle name="Note 2 2 2 3 4" xfId="9548" xr:uid="{03CEA4A7-D434-420C-B5CA-1E0D366EC21C}"/>
    <cellStyle name="Note 2 2 2 3 5" xfId="13759" xr:uid="{794B9FF9-029E-43FD-9AE5-0F6A831B2EB7}"/>
    <cellStyle name="Note 2 2 2 4" xfId="1422" xr:uid="{00000000-0005-0000-0000-0000B2200000}"/>
    <cellStyle name="Note 2 2 2 4 2" xfId="3652" xr:uid="{00000000-0005-0000-0000-0000B3200000}"/>
    <cellStyle name="Note 2 2 2 4 2 2" xfId="7874" xr:uid="{00000000-0005-0000-0000-0000B4200000}"/>
    <cellStyle name="Note 2 2 2 4 2 2 2" xfId="20535" xr:uid="{4FE554B0-BFC4-4653-9545-8419777963CE}"/>
    <cellStyle name="Note 2 2 2 4 2 3" xfId="12106" xr:uid="{B37AAEEC-50F1-4188-B035-542813C64835}"/>
    <cellStyle name="Note 2 2 2 4 2 4" xfId="16317" xr:uid="{7630180A-824A-4CC0-8F07-05215AA3E1E4}"/>
    <cellStyle name="Note 2 2 2 4 3" xfId="5729" xr:uid="{00000000-0005-0000-0000-0000B5200000}"/>
    <cellStyle name="Note 2 2 2 4 3 2" xfId="18390" xr:uid="{FDED9003-DE76-4061-9835-FA41C6FFC11B}"/>
    <cellStyle name="Note 2 2 2 4 4" xfId="9961" xr:uid="{983503FA-F0B9-4285-B7CD-E41ED2D4CA68}"/>
    <cellStyle name="Note 2 2 2 4 5" xfId="14172" xr:uid="{F6C27E16-81E6-4DB4-B52D-276225AEC16C}"/>
    <cellStyle name="Note 2 2 2 5" xfId="1836" xr:uid="{00000000-0005-0000-0000-0000B6200000}"/>
    <cellStyle name="Note 2 2 2 5 2" xfId="4065" xr:uid="{00000000-0005-0000-0000-0000B7200000}"/>
    <cellStyle name="Note 2 2 2 5 2 2" xfId="8287" xr:uid="{00000000-0005-0000-0000-0000B8200000}"/>
    <cellStyle name="Note 2 2 2 5 2 2 2" xfId="20948" xr:uid="{74C0255B-87D1-41C5-9BD6-235CE32AA54C}"/>
    <cellStyle name="Note 2 2 2 5 2 3" xfId="12519" xr:uid="{2062E8C8-ACEF-462A-AAFE-49AC939E3CAA}"/>
    <cellStyle name="Note 2 2 2 5 2 4" xfId="16730" xr:uid="{373A2574-F757-4235-B22F-72926931570E}"/>
    <cellStyle name="Note 2 2 2 5 3" xfId="6142" xr:uid="{00000000-0005-0000-0000-0000B9200000}"/>
    <cellStyle name="Note 2 2 2 5 3 2" xfId="18803" xr:uid="{5B9BBC8D-DB57-4F51-B59A-43AF805730A9}"/>
    <cellStyle name="Note 2 2 2 5 4" xfId="10374" xr:uid="{73E1A952-4D30-496B-89A3-1C58A0FF9314}"/>
    <cellStyle name="Note 2 2 2 5 5" xfId="14585" xr:uid="{5725C417-F01B-4D13-973E-726854A446EC}"/>
    <cellStyle name="Note 2 2 2 6" xfId="2249" xr:uid="{00000000-0005-0000-0000-0000BA200000}"/>
    <cellStyle name="Note 2 2 2 6 2" xfId="4478" xr:uid="{00000000-0005-0000-0000-0000BB200000}"/>
    <cellStyle name="Note 2 2 2 6 2 2" xfId="8700" xr:uid="{00000000-0005-0000-0000-0000BC200000}"/>
    <cellStyle name="Note 2 2 2 6 2 2 2" xfId="21361" xr:uid="{F3888939-31CE-40FC-9A25-153E49B74942}"/>
    <cellStyle name="Note 2 2 2 6 2 3" xfId="12932" xr:uid="{20AEB468-4DE4-45D0-A7CF-04FE52EC495B}"/>
    <cellStyle name="Note 2 2 2 6 2 4" xfId="17143" xr:uid="{8780F3D7-C2DC-41DB-9112-C5C9ABE7C0FB}"/>
    <cellStyle name="Note 2 2 2 6 3" xfId="6555" xr:uid="{00000000-0005-0000-0000-0000BD200000}"/>
    <cellStyle name="Note 2 2 2 6 3 2" xfId="19216" xr:uid="{6FDD79E1-CA32-4142-8202-7C5825FB1EDE}"/>
    <cellStyle name="Note 2 2 2 6 4" xfId="10787" xr:uid="{AC855C85-F1DD-4ED9-999B-A2AF3179B5EF}"/>
    <cellStyle name="Note 2 2 2 6 5" xfId="14998" xr:uid="{12F2FBCA-E86D-4D14-9E38-F6BCDF925200}"/>
    <cellStyle name="Note 2 2 2 7" xfId="2685" xr:uid="{00000000-0005-0000-0000-0000BE200000}"/>
    <cellStyle name="Note 2 2 2 7 2" xfId="6968" xr:uid="{00000000-0005-0000-0000-0000BF200000}"/>
    <cellStyle name="Note 2 2 2 7 2 2" xfId="19629" xr:uid="{5E6804B0-FA2B-4145-92A4-4149309169F7}"/>
    <cellStyle name="Note 2 2 2 7 3" xfId="11200" xr:uid="{97E5E410-CFD1-4234-B630-CFBD5B1B020E}"/>
    <cellStyle name="Note 2 2 2 7 4" xfId="15411" xr:uid="{39990C77-CC13-4F68-B2B0-0BEABEB082B6}"/>
    <cellStyle name="Note 2 2 2 8" xfId="2744" xr:uid="{00000000-0005-0000-0000-0000C0200000}"/>
    <cellStyle name="Note 2 2 2 9" xfId="2825" xr:uid="{00000000-0005-0000-0000-0000C1200000}"/>
    <cellStyle name="Note 2 2 2 9 2" xfId="7048" xr:uid="{00000000-0005-0000-0000-0000C2200000}"/>
    <cellStyle name="Note 2 2 2 9 2 2" xfId="19709" xr:uid="{88E1CC96-AC4E-4A33-936A-B7303E574B61}"/>
    <cellStyle name="Note 2 2 2 9 3" xfId="11280" xr:uid="{83107B26-AD59-4A15-BD48-6D60A7DC71B7}"/>
    <cellStyle name="Note 2 2 2 9 4" xfId="15491" xr:uid="{B70697C8-F5F5-4F7D-BF3F-BD894BF39BFF}"/>
    <cellStyle name="Note 2 2 3" xfId="548" xr:uid="{00000000-0005-0000-0000-0000C3200000}"/>
    <cellStyle name="Note 2 2 3 10" xfId="9137" xr:uid="{4A9E593F-A6A8-4172-9765-34C9EDD41F01}"/>
    <cellStyle name="Note 2 2 3 11" xfId="13348" xr:uid="{775FE341-FC39-4554-822B-681BACD41830}"/>
    <cellStyle name="Note 2 2 3 2" xfId="1009" xr:uid="{00000000-0005-0000-0000-0000C4200000}"/>
    <cellStyle name="Note 2 2 3 2 2" xfId="3241" xr:uid="{00000000-0005-0000-0000-0000C5200000}"/>
    <cellStyle name="Note 2 2 3 2 2 2" xfId="7463" xr:uid="{00000000-0005-0000-0000-0000C6200000}"/>
    <cellStyle name="Note 2 2 3 2 2 2 2" xfId="20124" xr:uid="{3EE4E402-2A36-422D-BC7C-6A3504A62EAB}"/>
    <cellStyle name="Note 2 2 3 2 2 3" xfId="11695" xr:uid="{600EDB17-73A1-4C05-BB4F-1F6804D5B3EE}"/>
    <cellStyle name="Note 2 2 3 2 2 4" xfId="15906" xr:uid="{A268DB61-E54F-453B-82E4-61D31C5EA30A}"/>
    <cellStyle name="Note 2 2 3 2 3" xfId="5318" xr:uid="{00000000-0005-0000-0000-0000C7200000}"/>
    <cellStyle name="Note 2 2 3 2 3 2" xfId="17979" xr:uid="{7098E93A-10B5-448A-B2FC-FC527C663C56}"/>
    <cellStyle name="Note 2 2 3 2 4" xfId="9550" xr:uid="{1B747B86-ED2D-4721-8305-C429F7CCCEC4}"/>
    <cellStyle name="Note 2 2 3 2 5" xfId="13761" xr:uid="{21782072-399A-46BF-8D7C-16BC9E4488BF}"/>
    <cellStyle name="Note 2 2 3 3" xfId="1424" xr:uid="{00000000-0005-0000-0000-0000C8200000}"/>
    <cellStyle name="Note 2 2 3 3 2" xfId="3654" xr:uid="{00000000-0005-0000-0000-0000C9200000}"/>
    <cellStyle name="Note 2 2 3 3 2 2" xfId="7876" xr:uid="{00000000-0005-0000-0000-0000CA200000}"/>
    <cellStyle name="Note 2 2 3 3 2 2 2" xfId="20537" xr:uid="{79391B0F-4C1B-482C-9014-53899E42C774}"/>
    <cellStyle name="Note 2 2 3 3 2 3" xfId="12108" xr:uid="{921261BC-7A89-414E-B394-C63DE0F0E2FE}"/>
    <cellStyle name="Note 2 2 3 3 2 4" xfId="16319" xr:uid="{2940EEB4-9AC5-4F71-8ECB-B6B4164FD277}"/>
    <cellStyle name="Note 2 2 3 3 3" xfId="5731" xr:uid="{00000000-0005-0000-0000-0000CB200000}"/>
    <cellStyle name="Note 2 2 3 3 3 2" xfId="18392" xr:uid="{4A0BA49E-0AA9-4E51-92D5-4AD6FA7F7AD4}"/>
    <cellStyle name="Note 2 2 3 3 4" xfId="9963" xr:uid="{4761D8C1-EFAC-4E76-AF13-0F3E85080DCF}"/>
    <cellStyle name="Note 2 2 3 3 5" xfId="14174" xr:uid="{B6D00B61-EA89-47C7-A280-74095687373C}"/>
    <cellStyle name="Note 2 2 3 4" xfId="1838" xr:uid="{00000000-0005-0000-0000-0000CC200000}"/>
    <cellStyle name="Note 2 2 3 4 2" xfId="4067" xr:uid="{00000000-0005-0000-0000-0000CD200000}"/>
    <cellStyle name="Note 2 2 3 4 2 2" xfId="8289" xr:uid="{00000000-0005-0000-0000-0000CE200000}"/>
    <cellStyle name="Note 2 2 3 4 2 2 2" xfId="20950" xr:uid="{0CACF648-C833-4D4D-9052-AF3AB2EB6F36}"/>
    <cellStyle name="Note 2 2 3 4 2 3" xfId="12521" xr:uid="{D71659BB-BA69-41B8-9B9A-8293B563B1E9}"/>
    <cellStyle name="Note 2 2 3 4 2 4" xfId="16732" xr:uid="{D4B519C1-F5E9-4C15-978A-5262F82865CC}"/>
    <cellStyle name="Note 2 2 3 4 3" xfId="6144" xr:uid="{00000000-0005-0000-0000-0000CF200000}"/>
    <cellStyle name="Note 2 2 3 4 3 2" xfId="18805" xr:uid="{E21EAB7D-59E4-4D1D-89AB-19F564BA3B08}"/>
    <cellStyle name="Note 2 2 3 4 4" xfId="10376" xr:uid="{17FDB5B6-CDED-4CC5-8475-12FCD0DB7CFD}"/>
    <cellStyle name="Note 2 2 3 4 5" xfId="14587" xr:uid="{7ACD2172-8461-430A-B586-B25D17C86B25}"/>
    <cellStyle name="Note 2 2 3 5" xfId="2251" xr:uid="{00000000-0005-0000-0000-0000D0200000}"/>
    <cellStyle name="Note 2 2 3 5 2" xfId="4480" xr:uid="{00000000-0005-0000-0000-0000D1200000}"/>
    <cellStyle name="Note 2 2 3 5 2 2" xfId="8702" xr:uid="{00000000-0005-0000-0000-0000D2200000}"/>
    <cellStyle name="Note 2 2 3 5 2 2 2" xfId="21363" xr:uid="{D3D198B6-7A00-4818-96BF-F9D5C3DC8099}"/>
    <cellStyle name="Note 2 2 3 5 2 3" xfId="12934" xr:uid="{F95E5D8D-9FEB-4DB7-BEAB-CCBCABF0F573}"/>
    <cellStyle name="Note 2 2 3 5 2 4" xfId="17145" xr:uid="{D04F38D7-D918-422F-A884-2F572C62F311}"/>
    <cellStyle name="Note 2 2 3 5 3" xfId="6557" xr:uid="{00000000-0005-0000-0000-0000D3200000}"/>
    <cellStyle name="Note 2 2 3 5 3 2" xfId="19218" xr:uid="{015C6835-1CE9-484E-B097-C0551BECE326}"/>
    <cellStyle name="Note 2 2 3 5 4" xfId="10789" xr:uid="{ED471266-0FE1-404A-9DFA-1F2C6135E5E9}"/>
    <cellStyle name="Note 2 2 3 5 5" xfId="15000" xr:uid="{45F67B8E-9CBB-4976-B063-C18D5D8B86AD}"/>
    <cellStyle name="Note 2 2 3 6" xfId="2687" xr:uid="{00000000-0005-0000-0000-0000D4200000}"/>
    <cellStyle name="Note 2 2 3 6 2" xfId="6970" xr:uid="{00000000-0005-0000-0000-0000D5200000}"/>
    <cellStyle name="Note 2 2 3 6 2 2" xfId="19631" xr:uid="{4B9F02C3-9E51-4C11-A9FF-A949628417FB}"/>
    <cellStyle name="Note 2 2 3 6 3" xfId="11202" xr:uid="{80C61C19-FF8E-4B62-BD8E-9FC060A18C80}"/>
    <cellStyle name="Note 2 2 3 6 4" xfId="15413" xr:uid="{867A48FC-B85B-48F0-9C07-D6ADD810906E}"/>
    <cellStyle name="Note 2 2 3 7" xfId="2746" xr:uid="{00000000-0005-0000-0000-0000D6200000}"/>
    <cellStyle name="Note 2 2 3 8" xfId="2827" xr:uid="{00000000-0005-0000-0000-0000D7200000}"/>
    <cellStyle name="Note 2 2 3 8 2" xfId="7050" xr:uid="{00000000-0005-0000-0000-0000D8200000}"/>
    <cellStyle name="Note 2 2 3 8 2 2" xfId="19711" xr:uid="{DC5649A6-CE7D-4AD9-8CB2-10C31EB8A3E6}"/>
    <cellStyle name="Note 2 2 3 8 3" xfId="11282" xr:uid="{DCC9B4F4-CC58-4BBF-BB96-AA40E23C88AE}"/>
    <cellStyle name="Note 2 2 3 8 4" xfId="15493" xr:uid="{D334D641-A4BB-4A50-8543-9B3704B41675}"/>
    <cellStyle name="Note 2 2 3 9" xfId="4905" xr:uid="{00000000-0005-0000-0000-0000D9200000}"/>
    <cellStyle name="Note 2 2 3 9 2" xfId="17566" xr:uid="{1A1FB030-F695-4A7E-8C19-F9D921BA9270}"/>
    <cellStyle name="Note 2 2 4" xfId="1006" xr:uid="{00000000-0005-0000-0000-0000DA200000}"/>
    <cellStyle name="Note 2 2 4 2" xfId="3238" xr:uid="{00000000-0005-0000-0000-0000DB200000}"/>
    <cellStyle name="Note 2 2 4 2 2" xfId="7460" xr:uid="{00000000-0005-0000-0000-0000DC200000}"/>
    <cellStyle name="Note 2 2 4 2 2 2" xfId="20121" xr:uid="{F5596086-370B-46CC-8C09-61B94B30A530}"/>
    <cellStyle name="Note 2 2 4 2 3" xfId="11692" xr:uid="{DC2BD08B-6375-45E4-BCD2-6744074AC633}"/>
    <cellStyle name="Note 2 2 4 2 4" xfId="15903" xr:uid="{3852DADD-9A13-4F02-A806-1AC82810A58B}"/>
    <cellStyle name="Note 2 2 4 3" xfId="5315" xr:uid="{00000000-0005-0000-0000-0000DD200000}"/>
    <cellStyle name="Note 2 2 4 3 2" xfId="17976" xr:uid="{9A1BD47A-C0FC-4AFB-A47A-4B16F9281A6E}"/>
    <cellStyle name="Note 2 2 4 4" xfId="9547" xr:uid="{A38492E4-29FC-4D3E-A6A9-EFF03CE7E7B0}"/>
    <cellStyle name="Note 2 2 4 5" xfId="13758" xr:uid="{A197450B-99E3-44BA-B6AE-D21F7AA0A8E7}"/>
    <cellStyle name="Note 2 2 5" xfId="1421" xr:uid="{00000000-0005-0000-0000-0000DE200000}"/>
    <cellStyle name="Note 2 2 5 2" xfId="3651" xr:uid="{00000000-0005-0000-0000-0000DF200000}"/>
    <cellStyle name="Note 2 2 5 2 2" xfId="7873" xr:uid="{00000000-0005-0000-0000-0000E0200000}"/>
    <cellStyle name="Note 2 2 5 2 2 2" xfId="20534" xr:uid="{DF9BAFD6-DAF2-456D-A8CB-FAAF1AEDD376}"/>
    <cellStyle name="Note 2 2 5 2 3" xfId="12105" xr:uid="{863FEC01-7D6F-4005-A44A-5A8567597A12}"/>
    <cellStyle name="Note 2 2 5 2 4" xfId="16316" xr:uid="{78F4A05D-24C8-4A85-8730-6DA5BE4BA22E}"/>
    <cellStyle name="Note 2 2 5 3" xfId="5728" xr:uid="{00000000-0005-0000-0000-0000E1200000}"/>
    <cellStyle name="Note 2 2 5 3 2" xfId="18389" xr:uid="{A2DA2B15-B08E-40F9-ACAE-FBE20561397A}"/>
    <cellStyle name="Note 2 2 5 4" xfId="9960" xr:uid="{EAB976E2-9794-49BF-963B-633F479802DF}"/>
    <cellStyle name="Note 2 2 5 5" xfId="14171" xr:uid="{A3129E37-9551-49F6-AB6E-2E4CEC482ECF}"/>
    <cellStyle name="Note 2 2 6" xfId="1835" xr:uid="{00000000-0005-0000-0000-0000E2200000}"/>
    <cellStyle name="Note 2 2 6 2" xfId="4064" xr:uid="{00000000-0005-0000-0000-0000E3200000}"/>
    <cellStyle name="Note 2 2 6 2 2" xfId="8286" xr:uid="{00000000-0005-0000-0000-0000E4200000}"/>
    <cellStyle name="Note 2 2 6 2 2 2" xfId="20947" xr:uid="{248A40E4-7B5C-4236-96B8-0F23ABC9E7A4}"/>
    <cellStyle name="Note 2 2 6 2 3" xfId="12518" xr:uid="{896C641B-9DAA-46B6-BC11-0F9E7488E216}"/>
    <cellStyle name="Note 2 2 6 2 4" xfId="16729" xr:uid="{0BBA124F-57C6-4EB4-8CEF-03AFCB93DC77}"/>
    <cellStyle name="Note 2 2 6 3" xfId="6141" xr:uid="{00000000-0005-0000-0000-0000E5200000}"/>
    <cellStyle name="Note 2 2 6 3 2" xfId="18802" xr:uid="{4A448594-D410-4CF4-97FB-0F6E98036177}"/>
    <cellStyle name="Note 2 2 6 4" xfId="10373" xr:uid="{004AA08B-3BB3-4737-A868-66584FAF3B1B}"/>
    <cellStyle name="Note 2 2 6 5" xfId="14584" xr:uid="{A78B43CA-D900-4654-AE87-30603DE99061}"/>
    <cellStyle name="Note 2 2 7" xfId="2248" xr:uid="{00000000-0005-0000-0000-0000E6200000}"/>
    <cellStyle name="Note 2 2 7 2" xfId="4477" xr:uid="{00000000-0005-0000-0000-0000E7200000}"/>
    <cellStyle name="Note 2 2 7 2 2" xfId="8699" xr:uid="{00000000-0005-0000-0000-0000E8200000}"/>
    <cellStyle name="Note 2 2 7 2 2 2" xfId="21360" xr:uid="{82349DDA-D50D-42F3-ACA1-499022E367AC}"/>
    <cellStyle name="Note 2 2 7 2 3" xfId="12931" xr:uid="{86489B18-E87B-4CF3-AEEE-0510C07CB315}"/>
    <cellStyle name="Note 2 2 7 2 4" xfId="17142" xr:uid="{BBB54EDD-2941-484D-B318-C03961CADCB2}"/>
    <cellStyle name="Note 2 2 7 3" xfId="6554" xr:uid="{00000000-0005-0000-0000-0000E9200000}"/>
    <cellStyle name="Note 2 2 7 3 2" xfId="19215" xr:uid="{30BBB9D7-6132-44DE-80A3-FDDCC1090F90}"/>
    <cellStyle name="Note 2 2 7 4" xfId="10786" xr:uid="{5D36F7CE-6266-47FF-9148-4DD714EC7602}"/>
    <cellStyle name="Note 2 2 7 5" xfId="14997" xr:uid="{639CF85F-B9D4-475F-A44B-2EAD4AE4EF0B}"/>
    <cellStyle name="Note 2 2 8" xfId="2684" xr:uid="{00000000-0005-0000-0000-0000EA200000}"/>
    <cellStyle name="Note 2 2 8 2" xfId="6967" xr:uid="{00000000-0005-0000-0000-0000EB200000}"/>
    <cellStyle name="Note 2 2 8 2 2" xfId="19628" xr:uid="{CB6B7F3D-6CA2-44C1-A5DD-D3C33875D961}"/>
    <cellStyle name="Note 2 2 8 3" xfId="11199" xr:uid="{C89B4DA7-57C7-4226-AF75-FE2AE9216C6B}"/>
    <cellStyle name="Note 2 2 8 4" xfId="15410" xr:uid="{DBE08E62-C2AF-4F07-BCC9-553B9B4DEEC3}"/>
    <cellStyle name="Note 2 2 9" xfId="2743" xr:uid="{00000000-0005-0000-0000-0000EC200000}"/>
    <cellStyle name="Note 2 3" xfId="549" xr:uid="{00000000-0005-0000-0000-0000ED200000}"/>
    <cellStyle name="Note 2 3 10" xfId="4906" xr:uid="{00000000-0005-0000-0000-0000EE200000}"/>
    <cellStyle name="Note 2 3 10 2" xfId="17567" xr:uid="{365761C9-1D4A-40FB-B52C-91AC80829CC8}"/>
    <cellStyle name="Note 2 3 11" xfId="9138" xr:uid="{AFCD9DB9-0C16-4A07-8A5A-6FA7AEC980F0}"/>
    <cellStyle name="Note 2 3 12" xfId="13349" xr:uid="{C3509B08-46FB-410B-AB36-B477DF8360E0}"/>
    <cellStyle name="Note 2 3 2" xfId="550" xr:uid="{00000000-0005-0000-0000-0000EF200000}"/>
    <cellStyle name="Note 2 3 2 10" xfId="9139" xr:uid="{79C6244B-FFE6-49AE-A76E-A01310A655D3}"/>
    <cellStyle name="Note 2 3 2 11" xfId="13350" xr:uid="{0323B06D-F451-4E70-AC1A-92F7450D4FB0}"/>
    <cellStyle name="Note 2 3 2 2" xfId="1011" xr:uid="{00000000-0005-0000-0000-0000F0200000}"/>
    <cellStyle name="Note 2 3 2 2 2" xfId="3243" xr:uid="{00000000-0005-0000-0000-0000F1200000}"/>
    <cellStyle name="Note 2 3 2 2 2 2" xfId="7465" xr:uid="{00000000-0005-0000-0000-0000F2200000}"/>
    <cellStyle name="Note 2 3 2 2 2 2 2" xfId="20126" xr:uid="{B0A25C20-3D42-477E-A54E-393136C14A52}"/>
    <cellStyle name="Note 2 3 2 2 2 3" xfId="11697" xr:uid="{E1607CB7-D5F6-4945-A25A-4C6CE64BDAE8}"/>
    <cellStyle name="Note 2 3 2 2 2 4" xfId="15908" xr:uid="{3B572111-92BD-4C51-A10D-3B44E78A22FC}"/>
    <cellStyle name="Note 2 3 2 2 3" xfId="5320" xr:uid="{00000000-0005-0000-0000-0000F3200000}"/>
    <cellStyle name="Note 2 3 2 2 3 2" xfId="17981" xr:uid="{9761BB22-5F31-4C04-BA1C-B7864F6714E8}"/>
    <cellStyle name="Note 2 3 2 2 4" xfId="9552" xr:uid="{27417539-82AA-47DB-9922-760199888320}"/>
    <cellStyle name="Note 2 3 2 2 5" xfId="13763" xr:uid="{0AF81158-A81B-4411-8644-972346B0A19A}"/>
    <cellStyle name="Note 2 3 2 3" xfId="1426" xr:uid="{00000000-0005-0000-0000-0000F4200000}"/>
    <cellStyle name="Note 2 3 2 3 2" xfId="3656" xr:uid="{00000000-0005-0000-0000-0000F5200000}"/>
    <cellStyle name="Note 2 3 2 3 2 2" xfId="7878" xr:uid="{00000000-0005-0000-0000-0000F6200000}"/>
    <cellStyle name="Note 2 3 2 3 2 2 2" xfId="20539" xr:uid="{4D90BDE5-F131-46A5-AFA0-61BBFDDBA1EC}"/>
    <cellStyle name="Note 2 3 2 3 2 3" xfId="12110" xr:uid="{27F5027C-0D9C-483D-9544-CB58ADA8E083}"/>
    <cellStyle name="Note 2 3 2 3 2 4" xfId="16321" xr:uid="{ED94B72A-33F9-468E-AFB8-4C0B6153CE0D}"/>
    <cellStyle name="Note 2 3 2 3 3" xfId="5733" xr:uid="{00000000-0005-0000-0000-0000F7200000}"/>
    <cellStyle name="Note 2 3 2 3 3 2" xfId="18394" xr:uid="{BC5980D7-C8A4-49BC-87CE-30EAAA522759}"/>
    <cellStyle name="Note 2 3 2 3 4" xfId="9965" xr:uid="{AD3DDC2E-4398-4329-BF86-B5DEDBC3D1E2}"/>
    <cellStyle name="Note 2 3 2 3 5" xfId="14176" xr:uid="{AC54BA86-E25D-4248-AC49-AEAE8269D2F2}"/>
    <cellStyle name="Note 2 3 2 4" xfId="1840" xr:uid="{00000000-0005-0000-0000-0000F8200000}"/>
    <cellStyle name="Note 2 3 2 4 2" xfId="4069" xr:uid="{00000000-0005-0000-0000-0000F9200000}"/>
    <cellStyle name="Note 2 3 2 4 2 2" xfId="8291" xr:uid="{00000000-0005-0000-0000-0000FA200000}"/>
    <cellStyle name="Note 2 3 2 4 2 2 2" xfId="20952" xr:uid="{9DA43D50-B8F0-4148-B961-A5D3C27290AD}"/>
    <cellStyle name="Note 2 3 2 4 2 3" xfId="12523" xr:uid="{DAA856F7-61CD-422D-AFC0-62B36A62832A}"/>
    <cellStyle name="Note 2 3 2 4 2 4" xfId="16734" xr:uid="{C19667B6-53B9-458D-8D34-359B2D291D6E}"/>
    <cellStyle name="Note 2 3 2 4 3" xfId="6146" xr:uid="{00000000-0005-0000-0000-0000FB200000}"/>
    <cellStyle name="Note 2 3 2 4 3 2" xfId="18807" xr:uid="{A834EA04-2C44-452B-8E80-017E9048248A}"/>
    <cellStyle name="Note 2 3 2 4 4" xfId="10378" xr:uid="{38036B3E-B779-4845-AAFB-10E5C8B3002E}"/>
    <cellStyle name="Note 2 3 2 4 5" xfId="14589" xr:uid="{F65AF39C-87A3-463F-A8EA-B4CE5972670D}"/>
    <cellStyle name="Note 2 3 2 5" xfId="2253" xr:uid="{00000000-0005-0000-0000-0000FC200000}"/>
    <cellStyle name="Note 2 3 2 5 2" xfId="4482" xr:uid="{00000000-0005-0000-0000-0000FD200000}"/>
    <cellStyle name="Note 2 3 2 5 2 2" xfId="8704" xr:uid="{00000000-0005-0000-0000-0000FE200000}"/>
    <cellStyle name="Note 2 3 2 5 2 2 2" xfId="21365" xr:uid="{BB4B836B-CCA4-4D50-B5E8-DDBEC4FFCF2C}"/>
    <cellStyle name="Note 2 3 2 5 2 3" xfId="12936" xr:uid="{9C9C8291-6695-426D-AA82-D7FB43575BDD}"/>
    <cellStyle name="Note 2 3 2 5 2 4" xfId="17147" xr:uid="{FACCEC91-4293-4E81-BFDD-021045E1C0BF}"/>
    <cellStyle name="Note 2 3 2 5 3" xfId="6559" xr:uid="{00000000-0005-0000-0000-0000FF200000}"/>
    <cellStyle name="Note 2 3 2 5 3 2" xfId="19220" xr:uid="{F54B70C3-D827-4A26-8F68-3237F449977C}"/>
    <cellStyle name="Note 2 3 2 5 4" xfId="10791" xr:uid="{7403DC99-7EDD-4E7A-AF85-CC3545D82F2B}"/>
    <cellStyle name="Note 2 3 2 5 5" xfId="15002" xr:uid="{FCE8310A-85ED-42AD-A7E9-F8CC24BD0518}"/>
    <cellStyle name="Note 2 3 2 6" xfId="2689" xr:uid="{00000000-0005-0000-0000-000000210000}"/>
    <cellStyle name="Note 2 3 2 6 2" xfId="6972" xr:uid="{00000000-0005-0000-0000-000001210000}"/>
    <cellStyle name="Note 2 3 2 6 2 2" xfId="19633" xr:uid="{BFFF56C9-5564-43D4-863F-6C1A8085674F}"/>
    <cellStyle name="Note 2 3 2 6 3" xfId="11204" xr:uid="{42F62825-C7DB-4B24-874F-057E4B8DF6A0}"/>
    <cellStyle name="Note 2 3 2 6 4" xfId="15415" xr:uid="{016B1C54-736E-4709-AF48-59A1CE8E85B2}"/>
    <cellStyle name="Note 2 3 2 7" xfId="2748" xr:uid="{00000000-0005-0000-0000-000002210000}"/>
    <cellStyle name="Note 2 3 2 8" xfId="2829" xr:uid="{00000000-0005-0000-0000-000003210000}"/>
    <cellStyle name="Note 2 3 2 8 2" xfId="7052" xr:uid="{00000000-0005-0000-0000-000004210000}"/>
    <cellStyle name="Note 2 3 2 8 2 2" xfId="19713" xr:uid="{5B096CF1-674B-4E01-96AF-3CDC11B8083D}"/>
    <cellStyle name="Note 2 3 2 8 3" xfId="11284" xr:uid="{4CF7853F-8AD7-46AE-9BFC-9B5F40A60664}"/>
    <cellStyle name="Note 2 3 2 8 4" xfId="15495" xr:uid="{A62B9108-A851-461B-A2F6-634E877105DD}"/>
    <cellStyle name="Note 2 3 2 9" xfId="4907" xr:uid="{00000000-0005-0000-0000-000005210000}"/>
    <cellStyle name="Note 2 3 2 9 2" xfId="17568" xr:uid="{87D2C929-C4C1-4F48-BDAD-98AA1B5FEF04}"/>
    <cellStyle name="Note 2 3 3" xfId="1010" xr:uid="{00000000-0005-0000-0000-000006210000}"/>
    <cellStyle name="Note 2 3 3 2" xfId="3242" xr:uid="{00000000-0005-0000-0000-000007210000}"/>
    <cellStyle name="Note 2 3 3 2 2" xfId="7464" xr:uid="{00000000-0005-0000-0000-000008210000}"/>
    <cellStyle name="Note 2 3 3 2 2 2" xfId="20125" xr:uid="{FA22E448-5FCE-4839-A284-2D7ACE89C037}"/>
    <cellStyle name="Note 2 3 3 2 3" xfId="11696" xr:uid="{FE5DAD01-7DBC-4142-8BD8-08A4D5FF871A}"/>
    <cellStyle name="Note 2 3 3 2 4" xfId="15907" xr:uid="{6C3CA68C-2B4A-451F-8C33-0E73B78E02DD}"/>
    <cellStyle name="Note 2 3 3 3" xfId="5319" xr:uid="{00000000-0005-0000-0000-000009210000}"/>
    <cellStyle name="Note 2 3 3 3 2" xfId="17980" xr:uid="{B7CCE08A-68BD-4A36-BE52-0785123CBEFA}"/>
    <cellStyle name="Note 2 3 3 4" xfId="9551" xr:uid="{AFA5EBBA-E016-4AD4-AAF2-12639C40ADAC}"/>
    <cellStyle name="Note 2 3 3 5" xfId="13762" xr:uid="{6C04B578-1DFC-4D94-8C6D-5B8A230E9F5E}"/>
    <cellStyle name="Note 2 3 4" xfId="1425" xr:uid="{00000000-0005-0000-0000-00000A210000}"/>
    <cellStyle name="Note 2 3 4 2" xfId="3655" xr:uid="{00000000-0005-0000-0000-00000B210000}"/>
    <cellStyle name="Note 2 3 4 2 2" xfId="7877" xr:uid="{00000000-0005-0000-0000-00000C210000}"/>
    <cellStyle name="Note 2 3 4 2 2 2" xfId="20538" xr:uid="{F98124EF-70F7-4876-966C-5D9037FE1311}"/>
    <cellStyle name="Note 2 3 4 2 3" xfId="12109" xr:uid="{8BAED48D-C205-4888-9C2E-231B3E456576}"/>
    <cellStyle name="Note 2 3 4 2 4" xfId="16320" xr:uid="{8B113C75-F686-4B46-B7BD-428F6AD3DB39}"/>
    <cellStyle name="Note 2 3 4 3" xfId="5732" xr:uid="{00000000-0005-0000-0000-00000D210000}"/>
    <cellStyle name="Note 2 3 4 3 2" xfId="18393" xr:uid="{504F4C72-0D64-46E9-B440-273CF6452F41}"/>
    <cellStyle name="Note 2 3 4 4" xfId="9964" xr:uid="{0248A920-DF87-40D8-B090-A235E6B6F8C6}"/>
    <cellStyle name="Note 2 3 4 5" xfId="14175" xr:uid="{6600F685-53B8-491D-87D7-E0B5A0722108}"/>
    <cellStyle name="Note 2 3 5" xfId="1839" xr:uid="{00000000-0005-0000-0000-00000E210000}"/>
    <cellStyle name="Note 2 3 5 2" xfId="4068" xr:uid="{00000000-0005-0000-0000-00000F210000}"/>
    <cellStyle name="Note 2 3 5 2 2" xfId="8290" xr:uid="{00000000-0005-0000-0000-000010210000}"/>
    <cellStyle name="Note 2 3 5 2 2 2" xfId="20951" xr:uid="{9C03D562-D57B-4294-9003-4362F2F34CE7}"/>
    <cellStyle name="Note 2 3 5 2 3" xfId="12522" xr:uid="{B997485E-CD58-4EAF-B435-D80BE7822B41}"/>
    <cellStyle name="Note 2 3 5 2 4" xfId="16733" xr:uid="{5861B8EC-059F-47A8-A7E0-DA113ECEE8AD}"/>
    <cellStyle name="Note 2 3 5 3" xfId="6145" xr:uid="{00000000-0005-0000-0000-000011210000}"/>
    <cellStyle name="Note 2 3 5 3 2" xfId="18806" xr:uid="{361BAB5B-7545-4A97-ABCF-72B8A54FE927}"/>
    <cellStyle name="Note 2 3 5 4" xfId="10377" xr:uid="{6D74DE41-38C3-444B-B716-7A6DA0C6AEF0}"/>
    <cellStyle name="Note 2 3 5 5" xfId="14588" xr:uid="{599D0C59-5093-4139-8755-DBCC69E9BC90}"/>
    <cellStyle name="Note 2 3 6" xfId="2252" xr:uid="{00000000-0005-0000-0000-000012210000}"/>
    <cellStyle name="Note 2 3 6 2" xfId="4481" xr:uid="{00000000-0005-0000-0000-000013210000}"/>
    <cellStyle name="Note 2 3 6 2 2" xfId="8703" xr:uid="{00000000-0005-0000-0000-000014210000}"/>
    <cellStyle name="Note 2 3 6 2 2 2" xfId="21364" xr:uid="{C99E5307-9CF0-453B-96AB-8345A0F10C16}"/>
    <cellStyle name="Note 2 3 6 2 3" xfId="12935" xr:uid="{4F8032D5-02B8-473F-87E6-A7132A1AB522}"/>
    <cellStyle name="Note 2 3 6 2 4" xfId="17146" xr:uid="{766ACB55-C77F-410B-AC74-BB874D2FDF3B}"/>
    <cellStyle name="Note 2 3 6 3" xfId="6558" xr:uid="{00000000-0005-0000-0000-000015210000}"/>
    <cellStyle name="Note 2 3 6 3 2" xfId="19219" xr:uid="{D07C2BC4-82F9-4468-A4A5-574884B59596}"/>
    <cellStyle name="Note 2 3 6 4" xfId="10790" xr:uid="{3EC896B4-C464-4F55-9D38-F85B2EB6B2BF}"/>
    <cellStyle name="Note 2 3 6 5" xfId="15001" xr:uid="{7F2934C3-D43B-4658-A0EA-A7358A5A9741}"/>
    <cellStyle name="Note 2 3 7" xfId="2688" xr:uid="{00000000-0005-0000-0000-000016210000}"/>
    <cellStyle name="Note 2 3 7 2" xfId="6971" xr:uid="{00000000-0005-0000-0000-000017210000}"/>
    <cellStyle name="Note 2 3 7 2 2" xfId="19632" xr:uid="{479785E5-CFD7-4D08-969E-E510AFA8B74C}"/>
    <cellStyle name="Note 2 3 7 3" xfId="11203" xr:uid="{0218075C-696F-4B31-B6DA-07FB1B1F6830}"/>
    <cellStyle name="Note 2 3 7 4" xfId="15414" xr:uid="{C8855340-8FDF-4966-BC48-0C151FECD0CF}"/>
    <cellStyle name="Note 2 3 8" xfId="2747" xr:uid="{00000000-0005-0000-0000-000018210000}"/>
    <cellStyle name="Note 2 3 9" xfId="2828" xr:uid="{00000000-0005-0000-0000-000019210000}"/>
    <cellStyle name="Note 2 3 9 2" xfId="7051" xr:uid="{00000000-0005-0000-0000-00001A210000}"/>
    <cellStyle name="Note 2 3 9 2 2" xfId="19712" xr:uid="{6DF48065-1278-4877-BABB-4351DDD093E0}"/>
    <cellStyle name="Note 2 3 9 3" xfId="11283" xr:uid="{86493B97-1DFA-44C8-9780-02536AA2ED39}"/>
    <cellStyle name="Note 2 3 9 4" xfId="15494" xr:uid="{1382D0A0-69B1-44BE-BA7A-A371A6468C50}"/>
    <cellStyle name="Note 2 4" xfId="551" xr:uid="{00000000-0005-0000-0000-00001B210000}"/>
    <cellStyle name="Note 2 4 10" xfId="9140" xr:uid="{1FD8CF6C-173A-432F-9567-45F88C57C20E}"/>
    <cellStyle name="Note 2 4 11" xfId="13351" xr:uid="{E3A2CBCE-EDC1-405E-B56C-A9E6E8C642E4}"/>
    <cellStyle name="Note 2 4 2" xfId="1012" xr:uid="{00000000-0005-0000-0000-00001C210000}"/>
    <cellStyle name="Note 2 4 2 2" xfId="3244" xr:uid="{00000000-0005-0000-0000-00001D210000}"/>
    <cellStyle name="Note 2 4 2 2 2" xfId="7466" xr:uid="{00000000-0005-0000-0000-00001E210000}"/>
    <cellStyle name="Note 2 4 2 2 2 2" xfId="20127" xr:uid="{9EA7E076-9ED9-4DEF-82E3-4A2544CC5811}"/>
    <cellStyle name="Note 2 4 2 2 3" xfId="11698" xr:uid="{24DAFE67-ADB1-4D4E-9163-68FFCD3D1510}"/>
    <cellStyle name="Note 2 4 2 2 4" xfId="15909" xr:uid="{41274C3D-31F3-48DE-98CC-80DC0CEBFCB8}"/>
    <cellStyle name="Note 2 4 2 3" xfId="5321" xr:uid="{00000000-0005-0000-0000-00001F210000}"/>
    <cellStyle name="Note 2 4 2 3 2" xfId="17982" xr:uid="{38627C35-33F3-4271-B41F-109EDC0F2D61}"/>
    <cellStyle name="Note 2 4 2 4" xfId="9553" xr:uid="{E2CFF779-B889-4D3B-BAA3-71577B806A8D}"/>
    <cellStyle name="Note 2 4 2 5" xfId="13764" xr:uid="{741B9489-DC4B-4004-A958-C55AAA113CE0}"/>
    <cellStyle name="Note 2 4 3" xfId="1427" xr:uid="{00000000-0005-0000-0000-000020210000}"/>
    <cellStyle name="Note 2 4 3 2" xfId="3657" xr:uid="{00000000-0005-0000-0000-000021210000}"/>
    <cellStyle name="Note 2 4 3 2 2" xfId="7879" xr:uid="{00000000-0005-0000-0000-000022210000}"/>
    <cellStyle name="Note 2 4 3 2 2 2" xfId="20540" xr:uid="{F8B7EF00-BE24-4139-BE02-FAE1D4CA8A1C}"/>
    <cellStyle name="Note 2 4 3 2 3" xfId="12111" xr:uid="{9F513438-BA3F-407D-9DD6-7B4FC5289515}"/>
    <cellStyle name="Note 2 4 3 2 4" xfId="16322" xr:uid="{B63C8AD1-A6BC-4BD6-A4F5-F12422803125}"/>
    <cellStyle name="Note 2 4 3 3" xfId="5734" xr:uid="{00000000-0005-0000-0000-000023210000}"/>
    <cellStyle name="Note 2 4 3 3 2" xfId="18395" xr:uid="{8EDDB674-BF99-4CD0-9681-2CE06EBB5CFF}"/>
    <cellStyle name="Note 2 4 3 4" xfId="9966" xr:uid="{444226B1-ED2C-44A8-9C52-F8C29550E898}"/>
    <cellStyle name="Note 2 4 3 5" xfId="14177" xr:uid="{B2362DBC-662E-445F-9000-FC8C35BB88B8}"/>
    <cellStyle name="Note 2 4 4" xfId="1841" xr:uid="{00000000-0005-0000-0000-000024210000}"/>
    <cellStyle name="Note 2 4 4 2" xfId="4070" xr:uid="{00000000-0005-0000-0000-000025210000}"/>
    <cellStyle name="Note 2 4 4 2 2" xfId="8292" xr:uid="{00000000-0005-0000-0000-000026210000}"/>
    <cellStyle name="Note 2 4 4 2 2 2" xfId="20953" xr:uid="{289244E4-3F6B-4459-B2DE-C3BD467072A6}"/>
    <cellStyle name="Note 2 4 4 2 3" xfId="12524" xr:uid="{B4FFC2C1-B237-4FF8-B390-622F5864B9D7}"/>
    <cellStyle name="Note 2 4 4 2 4" xfId="16735" xr:uid="{D5FC415B-0122-4BA6-A1F9-69C909DC6356}"/>
    <cellStyle name="Note 2 4 4 3" xfId="6147" xr:uid="{00000000-0005-0000-0000-000027210000}"/>
    <cellStyle name="Note 2 4 4 3 2" xfId="18808" xr:uid="{94F51174-EDC3-4F25-8746-E1F5DAF33157}"/>
    <cellStyle name="Note 2 4 4 4" xfId="10379" xr:uid="{32FCD26D-EDBB-4E8E-838A-A37DC9852263}"/>
    <cellStyle name="Note 2 4 4 5" xfId="14590" xr:uid="{0C6A9E55-35FD-43DD-AAB3-E10A7D96E34C}"/>
    <cellStyle name="Note 2 4 5" xfId="2254" xr:uid="{00000000-0005-0000-0000-000028210000}"/>
    <cellStyle name="Note 2 4 5 2" xfId="4483" xr:uid="{00000000-0005-0000-0000-000029210000}"/>
    <cellStyle name="Note 2 4 5 2 2" xfId="8705" xr:uid="{00000000-0005-0000-0000-00002A210000}"/>
    <cellStyle name="Note 2 4 5 2 2 2" xfId="21366" xr:uid="{826C3E07-A006-4D12-9A2B-414D708566EB}"/>
    <cellStyle name="Note 2 4 5 2 3" xfId="12937" xr:uid="{9581C69F-9805-47F1-8E81-DA0EF033BFE3}"/>
    <cellStyle name="Note 2 4 5 2 4" xfId="17148" xr:uid="{C99BAE8B-8E0A-49CC-8803-5FD97DDE9434}"/>
    <cellStyle name="Note 2 4 5 3" xfId="6560" xr:uid="{00000000-0005-0000-0000-00002B210000}"/>
    <cellStyle name="Note 2 4 5 3 2" xfId="19221" xr:uid="{E05D8A4C-94AE-4CF8-B9BC-B5B12D47A128}"/>
    <cellStyle name="Note 2 4 5 4" xfId="10792" xr:uid="{7BF69A0B-04F2-4E0F-AB3F-186AA4F97A74}"/>
    <cellStyle name="Note 2 4 5 5" xfId="15003" xr:uid="{BE00297A-7846-4DE5-A927-8C7B0A80AF91}"/>
    <cellStyle name="Note 2 4 6" xfId="2690" xr:uid="{00000000-0005-0000-0000-00002C210000}"/>
    <cellStyle name="Note 2 4 6 2" xfId="6973" xr:uid="{00000000-0005-0000-0000-00002D210000}"/>
    <cellStyle name="Note 2 4 6 2 2" xfId="19634" xr:uid="{824F04BA-76EE-46BE-A173-B4727B2007D5}"/>
    <cellStyle name="Note 2 4 6 3" xfId="11205" xr:uid="{328103DB-CAC2-4CE3-8C09-A07658955EC6}"/>
    <cellStyle name="Note 2 4 6 4" xfId="15416" xr:uid="{A394223B-20C4-47BC-9AFA-34DD8BE41703}"/>
    <cellStyle name="Note 2 4 7" xfId="2749" xr:uid="{00000000-0005-0000-0000-00002E210000}"/>
    <cellStyle name="Note 2 4 8" xfId="2830" xr:uid="{00000000-0005-0000-0000-00002F210000}"/>
    <cellStyle name="Note 2 4 8 2" xfId="7053" xr:uid="{00000000-0005-0000-0000-000030210000}"/>
    <cellStyle name="Note 2 4 8 2 2" xfId="19714" xr:uid="{E6F41C5E-05F8-4451-AD24-7BA18C282106}"/>
    <cellStyle name="Note 2 4 8 3" xfId="11285" xr:uid="{9FEDCDA4-C589-4290-9BBB-AAABBEF9A2E8}"/>
    <cellStyle name="Note 2 4 8 4" xfId="15496" xr:uid="{625871A4-1955-4D4E-A1DF-61B05974F96D}"/>
    <cellStyle name="Note 2 4 9" xfId="4908" xr:uid="{00000000-0005-0000-0000-000031210000}"/>
    <cellStyle name="Note 2 4 9 2" xfId="17569" xr:uid="{A50A5B79-154A-42B8-8BF8-FA1EE1AE4FEF}"/>
    <cellStyle name="Note 2 5" xfId="552" xr:uid="{00000000-0005-0000-0000-000032210000}"/>
    <cellStyle name="Note 2 5 10" xfId="9141" xr:uid="{97794754-E887-4F1F-8397-7C742CF90CF7}"/>
    <cellStyle name="Note 2 5 11" xfId="13352" xr:uid="{B294DCA2-6146-4BD2-91C8-E63420A24153}"/>
    <cellStyle name="Note 2 5 2" xfId="1013" xr:uid="{00000000-0005-0000-0000-000033210000}"/>
    <cellStyle name="Note 2 5 2 2" xfId="3245" xr:uid="{00000000-0005-0000-0000-000034210000}"/>
    <cellStyle name="Note 2 5 2 2 2" xfId="7467" xr:uid="{00000000-0005-0000-0000-000035210000}"/>
    <cellStyle name="Note 2 5 2 2 2 2" xfId="20128" xr:uid="{E19696FA-8138-40E2-A535-994F4BA8DEA8}"/>
    <cellStyle name="Note 2 5 2 2 3" xfId="11699" xr:uid="{0E60E6B8-B91F-406E-A947-165530A668E9}"/>
    <cellStyle name="Note 2 5 2 2 4" xfId="15910" xr:uid="{7DD0652F-FA64-4D51-BA48-AB6A95218D35}"/>
    <cellStyle name="Note 2 5 2 3" xfId="5322" xr:uid="{00000000-0005-0000-0000-000036210000}"/>
    <cellStyle name="Note 2 5 2 3 2" xfId="17983" xr:uid="{90B1B886-B0A3-4241-B32C-DD6908DF7F9A}"/>
    <cellStyle name="Note 2 5 2 4" xfId="9554" xr:uid="{EEA49ED9-D361-451D-BD1B-4F02830CC0BB}"/>
    <cellStyle name="Note 2 5 2 5" xfId="13765" xr:uid="{C83E9C7D-1047-4E52-94D3-1E3E5204A7C3}"/>
    <cellStyle name="Note 2 5 3" xfId="1428" xr:uid="{00000000-0005-0000-0000-000037210000}"/>
    <cellStyle name="Note 2 5 3 2" xfId="3658" xr:uid="{00000000-0005-0000-0000-000038210000}"/>
    <cellStyle name="Note 2 5 3 2 2" xfId="7880" xr:uid="{00000000-0005-0000-0000-000039210000}"/>
    <cellStyle name="Note 2 5 3 2 2 2" xfId="20541" xr:uid="{AD5205E3-DACA-45ED-AA5B-92601F4872D6}"/>
    <cellStyle name="Note 2 5 3 2 3" xfId="12112" xr:uid="{84AB1520-D3AB-4992-A4EF-9F7059569950}"/>
    <cellStyle name="Note 2 5 3 2 4" xfId="16323" xr:uid="{B4906243-098B-4CB1-BEAE-0F642F21C786}"/>
    <cellStyle name="Note 2 5 3 3" xfId="5735" xr:uid="{00000000-0005-0000-0000-00003A210000}"/>
    <cellStyle name="Note 2 5 3 3 2" xfId="18396" xr:uid="{BDFCD26D-A3EA-438D-94B3-913F0B305C3A}"/>
    <cellStyle name="Note 2 5 3 4" xfId="9967" xr:uid="{8787EA6C-1893-41B1-AB59-C47DD002FFB5}"/>
    <cellStyle name="Note 2 5 3 5" xfId="14178" xr:uid="{B927EC41-D40B-47B9-9F46-77781187F945}"/>
    <cellStyle name="Note 2 5 4" xfId="1842" xr:uid="{00000000-0005-0000-0000-00003B210000}"/>
    <cellStyle name="Note 2 5 4 2" xfId="4071" xr:uid="{00000000-0005-0000-0000-00003C210000}"/>
    <cellStyle name="Note 2 5 4 2 2" xfId="8293" xr:uid="{00000000-0005-0000-0000-00003D210000}"/>
    <cellStyle name="Note 2 5 4 2 2 2" xfId="20954" xr:uid="{E48CC715-8C1D-4C74-86A6-33331D2FFBDF}"/>
    <cellStyle name="Note 2 5 4 2 3" xfId="12525" xr:uid="{B79C60AA-486A-49BA-AD00-4958B1C62718}"/>
    <cellStyle name="Note 2 5 4 2 4" xfId="16736" xr:uid="{90C5890B-A462-49AC-BB4B-738499F844B1}"/>
    <cellStyle name="Note 2 5 4 3" xfId="6148" xr:uid="{00000000-0005-0000-0000-00003E210000}"/>
    <cellStyle name="Note 2 5 4 3 2" xfId="18809" xr:uid="{50F3B889-3C79-424A-B849-5C27C0FCA398}"/>
    <cellStyle name="Note 2 5 4 4" xfId="10380" xr:uid="{C4B534FF-939A-40B6-9336-225DCB5E8D95}"/>
    <cellStyle name="Note 2 5 4 5" xfId="14591" xr:uid="{1360B488-C9C5-4827-A01E-A9B90D8F9AF2}"/>
    <cellStyle name="Note 2 5 5" xfId="2255" xr:uid="{00000000-0005-0000-0000-00003F210000}"/>
    <cellStyle name="Note 2 5 5 2" xfId="4484" xr:uid="{00000000-0005-0000-0000-000040210000}"/>
    <cellStyle name="Note 2 5 5 2 2" xfId="8706" xr:uid="{00000000-0005-0000-0000-000041210000}"/>
    <cellStyle name="Note 2 5 5 2 2 2" xfId="21367" xr:uid="{22A6D1B1-9FA7-4B56-9FAC-BAC130874A68}"/>
    <cellStyle name="Note 2 5 5 2 3" xfId="12938" xr:uid="{0A5387AF-2801-4CFD-83B1-59A76461B254}"/>
    <cellStyle name="Note 2 5 5 2 4" xfId="17149" xr:uid="{0E416C0E-A5CD-40CB-8AEE-489393AA5C0E}"/>
    <cellStyle name="Note 2 5 5 3" xfId="6561" xr:uid="{00000000-0005-0000-0000-000042210000}"/>
    <cellStyle name="Note 2 5 5 3 2" xfId="19222" xr:uid="{76E32F05-56B3-4F48-9D4E-16D7FD06CD10}"/>
    <cellStyle name="Note 2 5 5 4" xfId="10793" xr:uid="{F2E5D31A-6DCC-4881-A1A5-ED3D52C8D1AF}"/>
    <cellStyle name="Note 2 5 5 5" xfId="15004" xr:uid="{04E8316C-FE90-4F87-BAFD-E73BD1F392BF}"/>
    <cellStyle name="Note 2 5 6" xfId="2691" xr:uid="{00000000-0005-0000-0000-000043210000}"/>
    <cellStyle name="Note 2 5 6 2" xfId="6974" xr:uid="{00000000-0005-0000-0000-000044210000}"/>
    <cellStyle name="Note 2 5 6 2 2" xfId="19635" xr:uid="{72D1A0CD-DD70-4518-9DAB-811445898BA9}"/>
    <cellStyle name="Note 2 5 6 3" xfId="11206" xr:uid="{49E68F3B-404B-40C5-878F-3B18E60AD70A}"/>
    <cellStyle name="Note 2 5 6 4" xfId="15417" xr:uid="{A0B018AE-2A59-4E6B-B3FF-277685BD529C}"/>
    <cellStyle name="Note 2 5 7" xfId="2750" xr:uid="{00000000-0005-0000-0000-000045210000}"/>
    <cellStyle name="Note 2 5 8" xfId="2831" xr:uid="{00000000-0005-0000-0000-000046210000}"/>
    <cellStyle name="Note 2 5 8 2" xfId="7054" xr:uid="{00000000-0005-0000-0000-000047210000}"/>
    <cellStyle name="Note 2 5 8 2 2" xfId="19715" xr:uid="{5109B7C5-DC36-4113-9E4F-AB471121F54B}"/>
    <cellStyle name="Note 2 5 8 3" xfId="11286" xr:uid="{D3187217-5B85-4659-AA7A-28B73C272F0F}"/>
    <cellStyle name="Note 2 5 8 4" xfId="15497" xr:uid="{3E04902C-660E-41E9-ADA7-321A8CA7D895}"/>
    <cellStyle name="Note 2 5 9" xfId="4909" xr:uid="{00000000-0005-0000-0000-000048210000}"/>
    <cellStyle name="Note 2 5 9 2" xfId="17570" xr:uid="{1ACBDB77-586D-4043-84EC-59F63BBC657A}"/>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9716" xr:uid="{60FAC496-9B14-4F2A-9215-380C2475EA0F}"/>
    <cellStyle name="Note 3 2 10 3" xfId="11287" xr:uid="{511A940F-D34D-4C6F-BABB-163AAFF3F539}"/>
    <cellStyle name="Note 3 2 10 4" xfId="15498" xr:uid="{5C839983-F905-478D-B592-A2616C5CE898}"/>
    <cellStyle name="Note 3 2 11" xfId="4910" xr:uid="{00000000-0005-0000-0000-00004D210000}"/>
    <cellStyle name="Note 3 2 11 2" xfId="17571" xr:uid="{2EC5BCEC-A40D-4021-BCD3-295D56507783}"/>
    <cellStyle name="Note 3 2 12" xfId="9142" xr:uid="{69B271DE-C33B-4414-9FF7-CC4B8C2433E1}"/>
    <cellStyle name="Note 3 2 13" xfId="13353" xr:uid="{A41242D1-22C8-494F-A8CE-B7BB52CE7C4F}"/>
    <cellStyle name="Note 3 2 2" xfId="555" xr:uid="{00000000-0005-0000-0000-00004E210000}"/>
    <cellStyle name="Note 3 2 2 10" xfId="4911" xr:uid="{00000000-0005-0000-0000-00004F210000}"/>
    <cellStyle name="Note 3 2 2 10 2" xfId="17572" xr:uid="{D8535CD4-48C7-46F5-A813-26533640975B}"/>
    <cellStyle name="Note 3 2 2 11" xfId="9143" xr:uid="{0BDCCA26-360B-49C9-B72A-7EA870C87B63}"/>
    <cellStyle name="Note 3 2 2 12" xfId="13354" xr:uid="{5C88CBA0-A384-4F5F-976E-F3AAC7D1F080}"/>
    <cellStyle name="Note 3 2 2 2" xfId="556" xr:uid="{00000000-0005-0000-0000-000050210000}"/>
    <cellStyle name="Note 3 2 2 2 10" xfId="9144" xr:uid="{B2D0B008-B4C8-4C7F-BBE3-5EECDD4F72A5}"/>
    <cellStyle name="Note 3 2 2 2 11" xfId="13355" xr:uid="{31CFA46C-A101-478A-89D9-6BD385C7D2F4}"/>
    <cellStyle name="Note 3 2 2 2 2" xfId="1016" xr:uid="{00000000-0005-0000-0000-000051210000}"/>
    <cellStyle name="Note 3 2 2 2 2 2" xfId="3248" xr:uid="{00000000-0005-0000-0000-000052210000}"/>
    <cellStyle name="Note 3 2 2 2 2 2 2" xfId="7470" xr:uid="{00000000-0005-0000-0000-000053210000}"/>
    <cellStyle name="Note 3 2 2 2 2 2 2 2" xfId="20131" xr:uid="{38D2D144-E3FD-40D7-91E1-BB15F5CE0277}"/>
    <cellStyle name="Note 3 2 2 2 2 2 3" xfId="11702" xr:uid="{644111E3-BA11-42B4-A2AD-FCD58280B0CB}"/>
    <cellStyle name="Note 3 2 2 2 2 2 4" xfId="15913" xr:uid="{7D954F27-9BB7-41D6-88B5-64DBD838E6B4}"/>
    <cellStyle name="Note 3 2 2 2 2 3" xfId="5325" xr:uid="{00000000-0005-0000-0000-000054210000}"/>
    <cellStyle name="Note 3 2 2 2 2 3 2" xfId="17986" xr:uid="{A44FE21B-11B6-40FA-B369-F4651985B682}"/>
    <cellStyle name="Note 3 2 2 2 2 4" xfId="9557" xr:uid="{0E797C43-0F0D-4921-83C0-6742921233F7}"/>
    <cellStyle name="Note 3 2 2 2 2 5" xfId="13768" xr:uid="{F440FE64-DD8F-482F-AE20-CE73B0543F4B}"/>
    <cellStyle name="Note 3 2 2 2 3" xfId="1431" xr:uid="{00000000-0005-0000-0000-000055210000}"/>
    <cellStyle name="Note 3 2 2 2 3 2" xfId="3661" xr:uid="{00000000-0005-0000-0000-000056210000}"/>
    <cellStyle name="Note 3 2 2 2 3 2 2" xfId="7883" xr:uid="{00000000-0005-0000-0000-000057210000}"/>
    <cellStyle name="Note 3 2 2 2 3 2 2 2" xfId="20544" xr:uid="{0539AB0F-3B36-4365-92A6-CADA4D0AA78C}"/>
    <cellStyle name="Note 3 2 2 2 3 2 3" xfId="12115" xr:uid="{9D07BA9B-6002-4456-8CAD-7E01F3412E2C}"/>
    <cellStyle name="Note 3 2 2 2 3 2 4" xfId="16326" xr:uid="{DC242898-57F1-418A-9C13-F6D522DC59DC}"/>
    <cellStyle name="Note 3 2 2 2 3 3" xfId="5738" xr:uid="{00000000-0005-0000-0000-000058210000}"/>
    <cellStyle name="Note 3 2 2 2 3 3 2" xfId="18399" xr:uid="{63D55FC4-FBC7-49A1-B71A-0A98A79B39B5}"/>
    <cellStyle name="Note 3 2 2 2 3 4" xfId="9970" xr:uid="{A1FE7261-81F2-4499-992A-E245966E130F}"/>
    <cellStyle name="Note 3 2 2 2 3 5" xfId="14181" xr:uid="{C5812F12-0B68-4C19-9276-9492E07F96C1}"/>
    <cellStyle name="Note 3 2 2 2 4" xfId="1845" xr:uid="{00000000-0005-0000-0000-000059210000}"/>
    <cellStyle name="Note 3 2 2 2 4 2" xfId="4074" xr:uid="{00000000-0005-0000-0000-00005A210000}"/>
    <cellStyle name="Note 3 2 2 2 4 2 2" xfId="8296" xr:uid="{00000000-0005-0000-0000-00005B210000}"/>
    <cellStyle name="Note 3 2 2 2 4 2 2 2" xfId="20957" xr:uid="{8F7335E0-5EE3-4595-BAC9-04353CA4ABF9}"/>
    <cellStyle name="Note 3 2 2 2 4 2 3" xfId="12528" xr:uid="{E9F01166-0A20-4A0A-8A87-41DBCD2A5D02}"/>
    <cellStyle name="Note 3 2 2 2 4 2 4" xfId="16739" xr:uid="{A0DF3E56-6116-43BD-A6F9-B9E515C6B28E}"/>
    <cellStyle name="Note 3 2 2 2 4 3" xfId="6151" xr:uid="{00000000-0005-0000-0000-00005C210000}"/>
    <cellStyle name="Note 3 2 2 2 4 3 2" xfId="18812" xr:uid="{9C8EC582-4D74-4F36-8FCE-425C9B310319}"/>
    <cellStyle name="Note 3 2 2 2 4 4" xfId="10383" xr:uid="{54294B4E-1404-4035-B8B4-1E1128EE0CC1}"/>
    <cellStyle name="Note 3 2 2 2 4 5" xfId="14594" xr:uid="{45233780-CAC6-4EED-92FB-03B2820DBBD7}"/>
    <cellStyle name="Note 3 2 2 2 5" xfId="2258" xr:uid="{00000000-0005-0000-0000-00005D210000}"/>
    <cellStyle name="Note 3 2 2 2 5 2" xfId="4487" xr:uid="{00000000-0005-0000-0000-00005E210000}"/>
    <cellStyle name="Note 3 2 2 2 5 2 2" xfId="8709" xr:uid="{00000000-0005-0000-0000-00005F210000}"/>
    <cellStyle name="Note 3 2 2 2 5 2 2 2" xfId="21370" xr:uid="{05EFB88D-EC75-4D44-8940-21C3B868E2A2}"/>
    <cellStyle name="Note 3 2 2 2 5 2 3" xfId="12941" xr:uid="{C7F46A59-60D8-4811-8112-5D6293210153}"/>
    <cellStyle name="Note 3 2 2 2 5 2 4" xfId="17152" xr:uid="{D4EA5913-E536-4073-AF85-9E7FE3A67EE8}"/>
    <cellStyle name="Note 3 2 2 2 5 3" xfId="6564" xr:uid="{00000000-0005-0000-0000-000060210000}"/>
    <cellStyle name="Note 3 2 2 2 5 3 2" xfId="19225" xr:uid="{40E76D0F-110F-458C-B1A8-B43B126EE2EA}"/>
    <cellStyle name="Note 3 2 2 2 5 4" xfId="10796" xr:uid="{EEB1878C-682C-4AD9-8406-6B173889E1F5}"/>
    <cellStyle name="Note 3 2 2 2 5 5" xfId="15007" xr:uid="{4DC8D890-9011-485E-94CF-E46A581EBEB5}"/>
    <cellStyle name="Note 3 2 2 2 6" xfId="2694" xr:uid="{00000000-0005-0000-0000-000061210000}"/>
    <cellStyle name="Note 3 2 2 2 6 2" xfId="6977" xr:uid="{00000000-0005-0000-0000-000062210000}"/>
    <cellStyle name="Note 3 2 2 2 6 2 2" xfId="19638" xr:uid="{A4AD3FB4-517C-4DED-9C8B-F45CB62F7E73}"/>
    <cellStyle name="Note 3 2 2 2 6 3" xfId="11209" xr:uid="{103D2BEA-4ABA-4A2A-BCA4-6AFAC05BC024}"/>
    <cellStyle name="Note 3 2 2 2 6 4" xfId="15420" xr:uid="{68A0F524-315A-4ED1-8BD5-67BD8A58A1D9}"/>
    <cellStyle name="Note 3 2 2 2 7" xfId="2753" xr:uid="{00000000-0005-0000-0000-000063210000}"/>
    <cellStyle name="Note 3 2 2 2 8" xfId="2834" xr:uid="{00000000-0005-0000-0000-000064210000}"/>
    <cellStyle name="Note 3 2 2 2 8 2" xfId="7057" xr:uid="{00000000-0005-0000-0000-000065210000}"/>
    <cellStyle name="Note 3 2 2 2 8 2 2" xfId="19718" xr:uid="{DFFF2DFF-6111-43B1-ABA6-45C2943F62BF}"/>
    <cellStyle name="Note 3 2 2 2 8 3" xfId="11289" xr:uid="{9F98DBD8-7853-4B91-A705-2155609824F3}"/>
    <cellStyle name="Note 3 2 2 2 8 4" xfId="15500" xr:uid="{11534ED4-300A-4D5A-B83E-A151E8227054}"/>
    <cellStyle name="Note 3 2 2 2 9" xfId="4912" xr:uid="{00000000-0005-0000-0000-000066210000}"/>
    <cellStyle name="Note 3 2 2 2 9 2" xfId="17573" xr:uid="{23C23CB0-20B7-46E6-B1C8-A1662DC23CC0}"/>
    <cellStyle name="Note 3 2 2 3" xfId="1015" xr:uid="{00000000-0005-0000-0000-000067210000}"/>
    <cellStyle name="Note 3 2 2 3 2" xfId="3247" xr:uid="{00000000-0005-0000-0000-000068210000}"/>
    <cellStyle name="Note 3 2 2 3 2 2" xfId="7469" xr:uid="{00000000-0005-0000-0000-000069210000}"/>
    <cellStyle name="Note 3 2 2 3 2 2 2" xfId="20130" xr:uid="{5D7F47BF-C825-47FF-83FE-7C7E7221F0DD}"/>
    <cellStyle name="Note 3 2 2 3 2 3" xfId="11701" xr:uid="{A3EAADD4-685D-4F95-BA34-81339B466A9F}"/>
    <cellStyle name="Note 3 2 2 3 2 4" xfId="15912" xr:uid="{08A9F2A8-4FAD-4BD6-B4A2-DD752F9D7194}"/>
    <cellStyle name="Note 3 2 2 3 3" xfId="5324" xr:uid="{00000000-0005-0000-0000-00006A210000}"/>
    <cellStyle name="Note 3 2 2 3 3 2" xfId="17985" xr:uid="{E4EB790F-BC3A-40ED-A638-A5F3A89424B7}"/>
    <cellStyle name="Note 3 2 2 3 4" xfId="9556" xr:uid="{554C1028-4126-498B-BBC2-D4624D32EDA5}"/>
    <cellStyle name="Note 3 2 2 3 5" xfId="13767" xr:uid="{51AFFC7A-5ADB-4A15-9630-06FBB2771F22}"/>
    <cellStyle name="Note 3 2 2 4" xfId="1430" xr:uid="{00000000-0005-0000-0000-00006B210000}"/>
    <cellStyle name="Note 3 2 2 4 2" xfId="3660" xr:uid="{00000000-0005-0000-0000-00006C210000}"/>
    <cellStyle name="Note 3 2 2 4 2 2" xfId="7882" xr:uid="{00000000-0005-0000-0000-00006D210000}"/>
    <cellStyle name="Note 3 2 2 4 2 2 2" xfId="20543" xr:uid="{E3458561-6C22-431A-A7E1-D684EBF2865F}"/>
    <cellStyle name="Note 3 2 2 4 2 3" xfId="12114" xr:uid="{1948908F-F983-456B-A9F7-97F0AC4698C1}"/>
    <cellStyle name="Note 3 2 2 4 2 4" xfId="16325" xr:uid="{C961C88D-A6FB-4472-8C1E-D8D5B36B5453}"/>
    <cellStyle name="Note 3 2 2 4 3" xfId="5737" xr:uid="{00000000-0005-0000-0000-00006E210000}"/>
    <cellStyle name="Note 3 2 2 4 3 2" xfId="18398" xr:uid="{24092889-A67C-4061-8029-17DF493C2E54}"/>
    <cellStyle name="Note 3 2 2 4 4" xfId="9969" xr:uid="{CCF14EE5-1F09-48E2-94BF-E384D9F55064}"/>
    <cellStyle name="Note 3 2 2 4 5" xfId="14180" xr:uid="{44B94A37-6386-41FA-83EC-D8FE66D34AFF}"/>
    <cellStyle name="Note 3 2 2 5" xfId="1844" xr:uid="{00000000-0005-0000-0000-00006F210000}"/>
    <cellStyle name="Note 3 2 2 5 2" xfId="4073" xr:uid="{00000000-0005-0000-0000-000070210000}"/>
    <cellStyle name="Note 3 2 2 5 2 2" xfId="8295" xr:uid="{00000000-0005-0000-0000-000071210000}"/>
    <cellStyle name="Note 3 2 2 5 2 2 2" xfId="20956" xr:uid="{3AE4723F-0B9D-476A-A6F8-4BA41010208D}"/>
    <cellStyle name="Note 3 2 2 5 2 3" xfId="12527" xr:uid="{E00A3B75-2039-4897-95B3-461FA2BFFBBD}"/>
    <cellStyle name="Note 3 2 2 5 2 4" xfId="16738" xr:uid="{7F0B7D70-BC6F-46F4-B4E0-607283777D2C}"/>
    <cellStyle name="Note 3 2 2 5 3" xfId="6150" xr:uid="{00000000-0005-0000-0000-000072210000}"/>
    <cellStyle name="Note 3 2 2 5 3 2" xfId="18811" xr:uid="{EB77F22B-CF2A-45C7-ABD9-6FA6E21AC3F5}"/>
    <cellStyle name="Note 3 2 2 5 4" xfId="10382" xr:uid="{EBBB95BC-F2AB-47A2-ABDE-ED1AEF8E0C09}"/>
    <cellStyle name="Note 3 2 2 5 5" xfId="14593" xr:uid="{C9723A26-5193-4331-8646-0A86CF81FA45}"/>
    <cellStyle name="Note 3 2 2 6" xfId="2257" xr:uid="{00000000-0005-0000-0000-000073210000}"/>
    <cellStyle name="Note 3 2 2 6 2" xfId="4486" xr:uid="{00000000-0005-0000-0000-000074210000}"/>
    <cellStyle name="Note 3 2 2 6 2 2" xfId="8708" xr:uid="{00000000-0005-0000-0000-000075210000}"/>
    <cellStyle name="Note 3 2 2 6 2 2 2" xfId="21369" xr:uid="{7CF6520D-C752-46D3-8205-EC915ED03166}"/>
    <cellStyle name="Note 3 2 2 6 2 3" xfId="12940" xr:uid="{791CA8B5-E6F1-4DF7-947A-383DEE2589E5}"/>
    <cellStyle name="Note 3 2 2 6 2 4" xfId="17151" xr:uid="{B61A4E15-307F-4562-A1F3-1C2A58CAE93C}"/>
    <cellStyle name="Note 3 2 2 6 3" xfId="6563" xr:uid="{00000000-0005-0000-0000-000076210000}"/>
    <cellStyle name="Note 3 2 2 6 3 2" xfId="19224" xr:uid="{B732E6E5-5621-4AB4-9851-96C60AD83598}"/>
    <cellStyle name="Note 3 2 2 6 4" xfId="10795" xr:uid="{BDBA9269-C4A7-437D-8EFC-F25947162020}"/>
    <cellStyle name="Note 3 2 2 6 5" xfId="15006" xr:uid="{35FD86F7-8DB1-48BD-9731-31C6A36D731C}"/>
    <cellStyle name="Note 3 2 2 7" xfId="2693" xr:uid="{00000000-0005-0000-0000-000077210000}"/>
    <cellStyle name="Note 3 2 2 7 2" xfId="6976" xr:uid="{00000000-0005-0000-0000-000078210000}"/>
    <cellStyle name="Note 3 2 2 7 2 2" xfId="19637" xr:uid="{09612491-4933-47A7-9639-45FF2BC94868}"/>
    <cellStyle name="Note 3 2 2 7 3" xfId="11208" xr:uid="{8247DFBA-B405-4156-9FD9-8463F810717B}"/>
    <cellStyle name="Note 3 2 2 7 4" xfId="15419" xr:uid="{E9CBBF03-CCFC-4ED3-9E4A-AD833B4E5460}"/>
    <cellStyle name="Note 3 2 2 8" xfId="2752" xr:uid="{00000000-0005-0000-0000-000079210000}"/>
    <cellStyle name="Note 3 2 2 9" xfId="2833" xr:uid="{00000000-0005-0000-0000-00007A210000}"/>
    <cellStyle name="Note 3 2 2 9 2" xfId="7056" xr:uid="{00000000-0005-0000-0000-00007B210000}"/>
    <cellStyle name="Note 3 2 2 9 2 2" xfId="19717" xr:uid="{67273ACB-09F3-44A7-B23F-63D890E8A813}"/>
    <cellStyle name="Note 3 2 2 9 3" xfId="11288" xr:uid="{70040B13-99E4-49D4-9F11-F5466E6F49D1}"/>
    <cellStyle name="Note 3 2 2 9 4" xfId="15499" xr:uid="{E899BCCD-C87E-4088-A135-D27064C94AAD}"/>
    <cellStyle name="Note 3 2 3" xfId="557" xr:uid="{00000000-0005-0000-0000-00007C210000}"/>
    <cellStyle name="Note 3 2 3 10" xfId="9145" xr:uid="{F8B98AA2-8426-46D8-B22B-BBB1F2CD2280}"/>
    <cellStyle name="Note 3 2 3 11" xfId="13356" xr:uid="{6A43400D-825F-488F-9293-21DF31DCB792}"/>
    <cellStyle name="Note 3 2 3 2" xfId="1017" xr:uid="{00000000-0005-0000-0000-00007D210000}"/>
    <cellStyle name="Note 3 2 3 2 2" xfId="3249" xr:uid="{00000000-0005-0000-0000-00007E210000}"/>
    <cellStyle name="Note 3 2 3 2 2 2" xfId="7471" xr:uid="{00000000-0005-0000-0000-00007F210000}"/>
    <cellStyle name="Note 3 2 3 2 2 2 2" xfId="20132" xr:uid="{B1E0B7F8-32AC-4356-B475-4263713EC688}"/>
    <cellStyle name="Note 3 2 3 2 2 3" xfId="11703" xr:uid="{8B492E64-B917-4A1A-9213-4041984DCD88}"/>
    <cellStyle name="Note 3 2 3 2 2 4" xfId="15914" xr:uid="{74A994F5-0D87-4C18-9809-DC7AA45EA0E5}"/>
    <cellStyle name="Note 3 2 3 2 3" xfId="5326" xr:uid="{00000000-0005-0000-0000-000080210000}"/>
    <cellStyle name="Note 3 2 3 2 3 2" xfId="17987" xr:uid="{0E218B6C-E8F3-4EB2-91F7-299273F7F4DF}"/>
    <cellStyle name="Note 3 2 3 2 4" xfId="9558" xr:uid="{053C2CF9-18C5-457B-8A20-7D1B61A11BFF}"/>
    <cellStyle name="Note 3 2 3 2 5" xfId="13769" xr:uid="{AB5EB0DE-D956-4646-A501-F8F492EE6FF3}"/>
    <cellStyle name="Note 3 2 3 3" xfId="1432" xr:uid="{00000000-0005-0000-0000-000081210000}"/>
    <cellStyle name="Note 3 2 3 3 2" xfId="3662" xr:uid="{00000000-0005-0000-0000-000082210000}"/>
    <cellStyle name="Note 3 2 3 3 2 2" xfId="7884" xr:uid="{00000000-0005-0000-0000-000083210000}"/>
    <cellStyle name="Note 3 2 3 3 2 2 2" xfId="20545" xr:uid="{B5A1690A-5FC5-443F-BC47-E3405BE41EBE}"/>
    <cellStyle name="Note 3 2 3 3 2 3" xfId="12116" xr:uid="{CC09108D-E80D-4D6B-A069-08C493667D66}"/>
    <cellStyle name="Note 3 2 3 3 2 4" xfId="16327" xr:uid="{14D215F6-AF85-468C-A9E6-B9FAC21F47CB}"/>
    <cellStyle name="Note 3 2 3 3 3" xfId="5739" xr:uid="{00000000-0005-0000-0000-000084210000}"/>
    <cellStyle name="Note 3 2 3 3 3 2" xfId="18400" xr:uid="{DEAD0EBD-F819-45C2-8CF4-55674ED0DEA9}"/>
    <cellStyle name="Note 3 2 3 3 4" xfId="9971" xr:uid="{633D0A30-B5D9-402E-A6FF-F6BCA566CAAE}"/>
    <cellStyle name="Note 3 2 3 3 5" xfId="14182" xr:uid="{2E5707EA-D19B-4024-85C7-7560AA95C143}"/>
    <cellStyle name="Note 3 2 3 4" xfId="1846" xr:uid="{00000000-0005-0000-0000-000085210000}"/>
    <cellStyle name="Note 3 2 3 4 2" xfId="4075" xr:uid="{00000000-0005-0000-0000-000086210000}"/>
    <cellStyle name="Note 3 2 3 4 2 2" xfId="8297" xr:uid="{00000000-0005-0000-0000-000087210000}"/>
    <cellStyle name="Note 3 2 3 4 2 2 2" xfId="20958" xr:uid="{EC7360A6-D68B-4AEA-A92E-9D20DE839FAC}"/>
    <cellStyle name="Note 3 2 3 4 2 3" xfId="12529" xr:uid="{87FD0615-2A9F-468F-ABAC-27F1583B229C}"/>
    <cellStyle name="Note 3 2 3 4 2 4" xfId="16740" xr:uid="{0F2ACE34-322A-47D6-B86B-0A3ABA303844}"/>
    <cellStyle name="Note 3 2 3 4 3" xfId="6152" xr:uid="{00000000-0005-0000-0000-000088210000}"/>
    <cellStyle name="Note 3 2 3 4 3 2" xfId="18813" xr:uid="{BF82D907-7271-4300-85BA-183CAE5F8E63}"/>
    <cellStyle name="Note 3 2 3 4 4" xfId="10384" xr:uid="{05710123-B557-4C7F-8DD5-EEBA9FF1BD53}"/>
    <cellStyle name="Note 3 2 3 4 5" xfId="14595" xr:uid="{2E2FE47A-444C-477C-99AD-F2D3144FC13C}"/>
    <cellStyle name="Note 3 2 3 5" xfId="2259" xr:uid="{00000000-0005-0000-0000-000089210000}"/>
    <cellStyle name="Note 3 2 3 5 2" xfId="4488" xr:uid="{00000000-0005-0000-0000-00008A210000}"/>
    <cellStyle name="Note 3 2 3 5 2 2" xfId="8710" xr:uid="{00000000-0005-0000-0000-00008B210000}"/>
    <cellStyle name="Note 3 2 3 5 2 2 2" xfId="21371" xr:uid="{36A74B66-8ACB-4E49-A2D1-D0EA7D352F54}"/>
    <cellStyle name="Note 3 2 3 5 2 3" xfId="12942" xr:uid="{6D178A77-73A0-4BA5-A4E4-0277893575FF}"/>
    <cellStyle name="Note 3 2 3 5 2 4" xfId="17153" xr:uid="{5CE3CF1A-C473-4AE0-9B63-FA91E6620BEB}"/>
    <cellStyle name="Note 3 2 3 5 3" xfId="6565" xr:uid="{00000000-0005-0000-0000-00008C210000}"/>
    <cellStyle name="Note 3 2 3 5 3 2" xfId="19226" xr:uid="{C34D2C08-4156-4DD7-A4BF-FDDE3AFF93DB}"/>
    <cellStyle name="Note 3 2 3 5 4" xfId="10797" xr:uid="{12EF7084-97A9-4F24-AC68-33F8465E2F80}"/>
    <cellStyle name="Note 3 2 3 5 5" xfId="15008" xr:uid="{2DF6BFBC-3572-4E07-959A-B000D5A41958}"/>
    <cellStyle name="Note 3 2 3 6" xfId="2695" xr:uid="{00000000-0005-0000-0000-00008D210000}"/>
    <cellStyle name="Note 3 2 3 6 2" xfId="6978" xr:uid="{00000000-0005-0000-0000-00008E210000}"/>
    <cellStyle name="Note 3 2 3 6 2 2" xfId="19639" xr:uid="{F6E608C3-157C-4B10-BF9A-8988882DB8A6}"/>
    <cellStyle name="Note 3 2 3 6 3" xfId="11210" xr:uid="{9EDF1C04-F006-4C29-88F0-2027369F191B}"/>
    <cellStyle name="Note 3 2 3 6 4" xfId="15421" xr:uid="{4638232A-313E-4CCF-ACF4-CD899FDA7E31}"/>
    <cellStyle name="Note 3 2 3 7" xfId="2754" xr:uid="{00000000-0005-0000-0000-00008F210000}"/>
    <cellStyle name="Note 3 2 3 8" xfId="2835" xr:uid="{00000000-0005-0000-0000-000090210000}"/>
    <cellStyle name="Note 3 2 3 8 2" xfId="7058" xr:uid="{00000000-0005-0000-0000-000091210000}"/>
    <cellStyle name="Note 3 2 3 8 2 2" xfId="19719" xr:uid="{72B5F07D-B774-4B52-97DB-D5A60B728510}"/>
    <cellStyle name="Note 3 2 3 8 3" xfId="11290" xr:uid="{60F94FDF-0357-4682-BF12-25BD101A179D}"/>
    <cellStyle name="Note 3 2 3 8 4" xfId="15501" xr:uid="{D54F7A2C-9C55-433F-A5D7-FA18F105FCDC}"/>
    <cellStyle name="Note 3 2 3 9" xfId="4913" xr:uid="{00000000-0005-0000-0000-000092210000}"/>
    <cellStyle name="Note 3 2 3 9 2" xfId="17574" xr:uid="{DEBBC358-FCC2-40FC-B3D4-02A63075A77D}"/>
    <cellStyle name="Note 3 2 4" xfId="1014" xr:uid="{00000000-0005-0000-0000-000093210000}"/>
    <cellStyle name="Note 3 2 4 2" xfId="3246" xr:uid="{00000000-0005-0000-0000-000094210000}"/>
    <cellStyle name="Note 3 2 4 2 2" xfId="7468" xr:uid="{00000000-0005-0000-0000-000095210000}"/>
    <cellStyle name="Note 3 2 4 2 2 2" xfId="20129" xr:uid="{47411B45-4D5B-4B58-97F9-D9A07A2FD6A4}"/>
    <cellStyle name="Note 3 2 4 2 3" xfId="11700" xr:uid="{3BFBE380-9FD3-4FEB-90C1-0998DDB87D80}"/>
    <cellStyle name="Note 3 2 4 2 4" xfId="15911" xr:uid="{AA58DAF6-E5BA-4D92-A15D-9415B0556378}"/>
    <cellStyle name="Note 3 2 4 3" xfId="5323" xr:uid="{00000000-0005-0000-0000-000096210000}"/>
    <cellStyle name="Note 3 2 4 3 2" xfId="17984" xr:uid="{796F47A5-94C5-4EAD-AB1E-2A6CC6E19778}"/>
    <cellStyle name="Note 3 2 4 4" xfId="9555" xr:uid="{44E95C82-BBB9-49BD-96A2-EED1E622ED18}"/>
    <cellStyle name="Note 3 2 4 5" xfId="13766" xr:uid="{B69799C9-815B-4DAD-A3F9-FE5FBD8E8360}"/>
    <cellStyle name="Note 3 2 5" xfId="1429" xr:uid="{00000000-0005-0000-0000-000097210000}"/>
    <cellStyle name="Note 3 2 5 2" xfId="3659" xr:uid="{00000000-0005-0000-0000-000098210000}"/>
    <cellStyle name="Note 3 2 5 2 2" xfId="7881" xr:uid="{00000000-0005-0000-0000-000099210000}"/>
    <cellStyle name="Note 3 2 5 2 2 2" xfId="20542" xr:uid="{22924375-2ADF-4B47-A334-71F6011A85B1}"/>
    <cellStyle name="Note 3 2 5 2 3" xfId="12113" xr:uid="{CD173392-C801-4C58-96F2-33197FAE8B3C}"/>
    <cellStyle name="Note 3 2 5 2 4" xfId="16324" xr:uid="{01E0CAE1-3762-4CCE-8D22-2619EDF411EB}"/>
    <cellStyle name="Note 3 2 5 3" xfId="5736" xr:uid="{00000000-0005-0000-0000-00009A210000}"/>
    <cellStyle name="Note 3 2 5 3 2" xfId="18397" xr:uid="{A4E35196-D42A-4887-A8E0-AA2E7151B5D1}"/>
    <cellStyle name="Note 3 2 5 4" xfId="9968" xr:uid="{E6A202B7-8B1D-4B3A-B4F5-3D0664C6E220}"/>
    <cellStyle name="Note 3 2 5 5" xfId="14179" xr:uid="{7CE7B682-1A47-41D9-A78B-6427EAEAFF0D}"/>
    <cellStyle name="Note 3 2 6" xfId="1843" xr:uid="{00000000-0005-0000-0000-00009B210000}"/>
    <cellStyle name="Note 3 2 6 2" xfId="4072" xr:uid="{00000000-0005-0000-0000-00009C210000}"/>
    <cellStyle name="Note 3 2 6 2 2" xfId="8294" xr:uid="{00000000-0005-0000-0000-00009D210000}"/>
    <cellStyle name="Note 3 2 6 2 2 2" xfId="20955" xr:uid="{1C402C17-14F1-4C78-8B96-B2632B6D9F62}"/>
    <cellStyle name="Note 3 2 6 2 3" xfId="12526" xr:uid="{88E96EED-EBDE-4B7B-BFE4-FD840D677CAA}"/>
    <cellStyle name="Note 3 2 6 2 4" xfId="16737" xr:uid="{B105EAC0-6663-4891-862E-E174DB91278C}"/>
    <cellStyle name="Note 3 2 6 3" xfId="6149" xr:uid="{00000000-0005-0000-0000-00009E210000}"/>
    <cellStyle name="Note 3 2 6 3 2" xfId="18810" xr:uid="{5E917096-362A-46C3-97E5-E9EC2823E038}"/>
    <cellStyle name="Note 3 2 6 4" xfId="10381" xr:uid="{17B342C0-1EC0-4746-8CD4-207168DBCF38}"/>
    <cellStyle name="Note 3 2 6 5" xfId="14592" xr:uid="{8BA81789-BFED-4643-950C-FB79BB49FF5F}"/>
    <cellStyle name="Note 3 2 7" xfId="2256" xr:uid="{00000000-0005-0000-0000-00009F210000}"/>
    <cellStyle name="Note 3 2 7 2" xfId="4485" xr:uid="{00000000-0005-0000-0000-0000A0210000}"/>
    <cellStyle name="Note 3 2 7 2 2" xfId="8707" xr:uid="{00000000-0005-0000-0000-0000A1210000}"/>
    <cellStyle name="Note 3 2 7 2 2 2" xfId="21368" xr:uid="{7C3AB662-565E-42A1-BB3D-BC32B8C8C2F7}"/>
    <cellStyle name="Note 3 2 7 2 3" xfId="12939" xr:uid="{CDA97246-DBBF-4F92-830B-BE7DB35B8B52}"/>
    <cellStyle name="Note 3 2 7 2 4" xfId="17150" xr:uid="{704D1F1E-6C6E-4170-8CEF-19C040897DDD}"/>
    <cellStyle name="Note 3 2 7 3" xfId="6562" xr:uid="{00000000-0005-0000-0000-0000A2210000}"/>
    <cellStyle name="Note 3 2 7 3 2" xfId="19223" xr:uid="{C406D752-5FBB-4FFC-92CA-498E6DD1D2DA}"/>
    <cellStyle name="Note 3 2 7 4" xfId="10794" xr:uid="{90549D6F-C72E-4773-9451-ADBB429A121E}"/>
    <cellStyle name="Note 3 2 7 5" xfId="15005" xr:uid="{1E38F883-E8FE-4283-B319-7AB8638EE348}"/>
    <cellStyle name="Note 3 2 8" xfId="2692" xr:uid="{00000000-0005-0000-0000-0000A3210000}"/>
    <cellStyle name="Note 3 2 8 2" xfId="6975" xr:uid="{00000000-0005-0000-0000-0000A4210000}"/>
    <cellStyle name="Note 3 2 8 2 2" xfId="19636" xr:uid="{F2A15167-4C4D-4B03-BA68-6D54C326990F}"/>
    <cellStyle name="Note 3 2 8 3" xfId="11207" xr:uid="{43A3A503-BD83-4CE7-9AAE-9EBFB5D92639}"/>
    <cellStyle name="Note 3 2 8 4" xfId="15418" xr:uid="{E2165BD2-2159-4063-8538-AB35840D6A14}"/>
    <cellStyle name="Note 3 2 9" xfId="2751" xr:uid="{00000000-0005-0000-0000-0000A5210000}"/>
    <cellStyle name="Note 3 3" xfId="558" xr:uid="{00000000-0005-0000-0000-0000A6210000}"/>
    <cellStyle name="Note 3 3 10" xfId="4914" xr:uid="{00000000-0005-0000-0000-0000A7210000}"/>
    <cellStyle name="Note 3 3 10 2" xfId="17575" xr:uid="{18CDA5F8-590F-404D-9BBB-27DAAC981923}"/>
    <cellStyle name="Note 3 3 11" xfId="9146" xr:uid="{86C78D1D-5709-4AAC-BDA6-B0A7AAD8F9A8}"/>
    <cellStyle name="Note 3 3 12" xfId="13357" xr:uid="{2BC2613C-0085-4A91-A7F0-8C5ADFA706BD}"/>
    <cellStyle name="Note 3 3 2" xfId="559" xr:uid="{00000000-0005-0000-0000-0000A8210000}"/>
    <cellStyle name="Note 3 3 2 10" xfId="9147" xr:uid="{229755B2-7597-48D8-A741-A1AD0EFB08D4}"/>
    <cellStyle name="Note 3 3 2 11" xfId="13358" xr:uid="{119FABB3-BD43-4375-A337-0474BCEAA58E}"/>
    <cellStyle name="Note 3 3 2 2" xfId="1019" xr:uid="{00000000-0005-0000-0000-0000A9210000}"/>
    <cellStyle name="Note 3 3 2 2 2" xfId="3251" xr:uid="{00000000-0005-0000-0000-0000AA210000}"/>
    <cellStyle name="Note 3 3 2 2 2 2" xfId="7473" xr:uid="{00000000-0005-0000-0000-0000AB210000}"/>
    <cellStyle name="Note 3 3 2 2 2 2 2" xfId="20134" xr:uid="{03E4A2FB-1072-4749-9311-D9017BC3BD76}"/>
    <cellStyle name="Note 3 3 2 2 2 3" xfId="11705" xr:uid="{6E33D8D1-43A9-4F7F-B1D4-46C1CA1ECA65}"/>
    <cellStyle name="Note 3 3 2 2 2 4" xfId="15916" xr:uid="{00083072-11AF-4C75-8B52-EF1064FC2617}"/>
    <cellStyle name="Note 3 3 2 2 3" xfId="5328" xr:uid="{00000000-0005-0000-0000-0000AC210000}"/>
    <cellStyle name="Note 3 3 2 2 3 2" xfId="17989" xr:uid="{6E725A53-9BB2-4989-899B-DD87EF283ACB}"/>
    <cellStyle name="Note 3 3 2 2 4" xfId="9560" xr:uid="{5B264878-C6F1-4DF4-A342-4FC54B413B15}"/>
    <cellStyle name="Note 3 3 2 2 5" xfId="13771" xr:uid="{3CE5C28D-26FA-498A-A816-58A6E835A4FD}"/>
    <cellStyle name="Note 3 3 2 3" xfId="1434" xr:uid="{00000000-0005-0000-0000-0000AD210000}"/>
    <cellStyle name="Note 3 3 2 3 2" xfId="3664" xr:uid="{00000000-0005-0000-0000-0000AE210000}"/>
    <cellStyle name="Note 3 3 2 3 2 2" xfId="7886" xr:uid="{00000000-0005-0000-0000-0000AF210000}"/>
    <cellStyle name="Note 3 3 2 3 2 2 2" xfId="20547" xr:uid="{ECE426C1-23D9-46A5-8ECA-16D4414601B5}"/>
    <cellStyle name="Note 3 3 2 3 2 3" xfId="12118" xr:uid="{50C2C543-1B4A-497F-AC30-32A43CD9D914}"/>
    <cellStyle name="Note 3 3 2 3 2 4" xfId="16329" xr:uid="{329CF159-FAEC-4424-B5DF-37AF20F8092A}"/>
    <cellStyle name="Note 3 3 2 3 3" xfId="5741" xr:uid="{00000000-0005-0000-0000-0000B0210000}"/>
    <cellStyle name="Note 3 3 2 3 3 2" xfId="18402" xr:uid="{01C4F1F9-08D6-4EBF-B4A8-2B4A8FCABCE1}"/>
    <cellStyle name="Note 3 3 2 3 4" xfId="9973" xr:uid="{484EA4D9-D282-4F1D-974E-0395C86BE45B}"/>
    <cellStyle name="Note 3 3 2 3 5" xfId="14184" xr:uid="{45783BC1-9E54-407D-A409-CEA5412BD0D2}"/>
    <cellStyle name="Note 3 3 2 4" xfId="1848" xr:uid="{00000000-0005-0000-0000-0000B1210000}"/>
    <cellStyle name="Note 3 3 2 4 2" xfId="4077" xr:uid="{00000000-0005-0000-0000-0000B2210000}"/>
    <cellStyle name="Note 3 3 2 4 2 2" xfId="8299" xr:uid="{00000000-0005-0000-0000-0000B3210000}"/>
    <cellStyle name="Note 3 3 2 4 2 2 2" xfId="20960" xr:uid="{801C36E3-9D6F-4160-B017-1E17534D2FCE}"/>
    <cellStyle name="Note 3 3 2 4 2 3" xfId="12531" xr:uid="{CA2191CF-5EFE-4CDC-A396-E6F79B6617F0}"/>
    <cellStyle name="Note 3 3 2 4 2 4" xfId="16742" xr:uid="{608490A0-2CA7-4302-90E8-1EAE0A93CA13}"/>
    <cellStyle name="Note 3 3 2 4 3" xfId="6154" xr:uid="{00000000-0005-0000-0000-0000B4210000}"/>
    <cellStyle name="Note 3 3 2 4 3 2" xfId="18815" xr:uid="{D5E64C18-0B07-4A38-ABC5-C825DA2A4251}"/>
    <cellStyle name="Note 3 3 2 4 4" xfId="10386" xr:uid="{D16E9A08-11C9-4CC2-8F58-B9DCC463C0FA}"/>
    <cellStyle name="Note 3 3 2 4 5" xfId="14597" xr:uid="{1BB1F581-9A3E-4A61-92C7-CBBE8A95320A}"/>
    <cellStyle name="Note 3 3 2 5" xfId="2261" xr:uid="{00000000-0005-0000-0000-0000B5210000}"/>
    <cellStyle name="Note 3 3 2 5 2" xfId="4490" xr:uid="{00000000-0005-0000-0000-0000B6210000}"/>
    <cellStyle name="Note 3 3 2 5 2 2" xfId="8712" xr:uid="{00000000-0005-0000-0000-0000B7210000}"/>
    <cellStyle name="Note 3 3 2 5 2 2 2" xfId="21373" xr:uid="{43DDCC0D-22D4-4B5E-AE6F-15D19CCDF969}"/>
    <cellStyle name="Note 3 3 2 5 2 3" xfId="12944" xr:uid="{6F3178D4-6FAA-4BF8-A298-2231C0188447}"/>
    <cellStyle name="Note 3 3 2 5 2 4" xfId="17155" xr:uid="{72D3507D-AF56-4152-8CDB-6340834C8869}"/>
    <cellStyle name="Note 3 3 2 5 3" xfId="6567" xr:uid="{00000000-0005-0000-0000-0000B8210000}"/>
    <cellStyle name="Note 3 3 2 5 3 2" xfId="19228" xr:uid="{E715D52A-DD5A-4DFF-9EF7-4309062728F0}"/>
    <cellStyle name="Note 3 3 2 5 4" xfId="10799" xr:uid="{E3E56C03-A885-42BB-90E7-BFD27436AC36}"/>
    <cellStyle name="Note 3 3 2 5 5" xfId="15010" xr:uid="{38E94645-3CA3-41AA-8EDE-066E4E95A80D}"/>
    <cellStyle name="Note 3 3 2 6" xfId="2697" xr:uid="{00000000-0005-0000-0000-0000B9210000}"/>
    <cellStyle name="Note 3 3 2 6 2" xfId="6980" xr:uid="{00000000-0005-0000-0000-0000BA210000}"/>
    <cellStyle name="Note 3 3 2 6 2 2" xfId="19641" xr:uid="{DDBA82CE-3399-4A27-BB06-3D1C179B5FAE}"/>
    <cellStyle name="Note 3 3 2 6 3" xfId="11212" xr:uid="{684C6E56-D484-4AC9-8717-323756F73A2F}"/>
    <cellStyle name="Note 3 3 2 6 4" xfId="15423" xr:uid="{6ED335DD-7C4D-4DFF-A09E-53DCB1C04B67}"/>
    <cellStyle name="Note 3 3 2 7" xfId="2756" xr:uid="{00000000-0005-0000-0000-0000BB210000}"/>
    <cellStyle name="Note 3 3 2 8" xfId="2837" xr:uid="{00000000-0005-0000-0000-0000BC210000}"/>
    <cellStyle name="Note 3 3 2 8 2" xfId="7060" xr:uid="{00000000-0005-0000-0000-0000BD210000}"/>
    <cellStyle name="Note 3 3 2 8 2 2" xfId="19721" xr:uid="{9ED0E72A-56A4-4978-8F9D-99685C639019}"/>
    <cellStyle name="Note 3 3 2 8 3" xfId="11292" xr:uid="{966277F0-1968-4BCC-AC9B-D5894FC02C23}"/>
    <cellStyle name="Note 3 3 2 8 4" xfId="15503" xr:uid="{AE8795A0-161A-4F2B-BB5F-B3439290365A}"/>
    <cellStyle name="Note 3 3 2 9" xfId="4915" xr:uid="{00000000-0005-0000-0000-0000BE210000}"/>
    <cellStyle name="Note 3 3 2 9 2" xfId="17576" xr:uid="{7FF749CE-9E48-4DA8-87B7-AEC54DD5575E}"/>
    <cellStyle name="Note 3 3 3" xfId="1018" xr:uid="{00000000-0005-0000-0000-0000BF210000}"/>
    <cellStyle name="Note 3 3 3 2" xfId="3250" xr:uid="{00000000-0005-0000-0000-0000C0210000}"/>
    <cellStyle name="Note 3 3 3 2 2" xfId="7472" xr:uid="{00000000-0005-0000-0000-0000C1210000}"/>
    <cellStyle name="Note 3 3 3 2 2 2" xfId="20133" xr:uid="{284CD472-E024-4530-A195-7579ED2C179B}"/>
    <cellStyle name="Note 3 3 3 2 3" xfId="11704" xr:uid="{FA90390B-0BBF-4D8A-864C-A6B62B6D0164}"/>
    <cellStyle name="Note 3 3 3 2 4" xfId="15915" xr:uid="{B6CF25AE-B996-4EEF-9912-092E9F18D147}"/>
    <cellStyle name="Note 3 3 3 3" xfId="5327" xr:uid="{00000000-0005-0000-0000-0000C2210000}"/>
    <cellStyle name="Note 3 3 3 3 2" xfId="17988" xr:uid="{0B70605F-357C-460A-A39C-FDC565940254}"/>
    <cellStyle name="Note 3 3 3 4" xfId="9559" xr:uid="{70163A2D-D707-46FE-923E-4C5556401DDE}"/>
    <cellStyle name="Note 3 3 3 5" xfId="13770" xr:uid="{AEAA42F5-1B05-44FA-B2F6-07769A048F66}"/>
    <cellStyle name="Note 3 3 4" xfId="1433" xr:uid="{00000000-0005-0000-0000-0000C3210000}"/>
    <cellStyle name="Note 3 3 4 2" xfId="3663" xr:uid="{00000000-0005-0000-0000-0000C4210000}"/>
    <cellStyle name="Note 3 3 4 2 2" xfId="7885" xr:uid="{00000000-0005-0000-0000-0000C5210000}"/>
    <cellStyle name="Note 3 3 4 2 2 2" xfId="20546" xr:uid="{5E93ABAF-7455-4970-B0E9-0CE75E21A112}"/>
    <cellStyle name="Note 3 3 4 2 3" xfId="12117" xr:uid="{2C42347E-A3A5-4CF4-891D-CA6E2C6369C9}"/>
    <cellStyle name="Note 3 3 4 2 4" xfId="16328" xr:uid="{758EB477-9A1F-4EB0-8128-6CFAC6BA1CFC}"/>
    <cellStyle name="Note 3 3 4 3" xfId="5740" xr:uid="{00000000-0005-0000-0000-0000C6210000}"/>
    <cellStyle name="Note 3 3 4 3 2" xfId="18401" xr:uid="{23518386-2E21-4216-AA24-459E78A43C66}"/>
    <cellStyle name="Note 3 3 4 4" xfId="9972" xr:uid="{5061F497-0469-4BAA-87C9-048AAECCBB97}"/>
    <cellStyle name="Note 3 3 4 5" xfId="14183" xr:uid="{83FF3DCC-AE7F-4953-8066-B5583AEBDF03}"/>
    <cellStyle name="Note 3 3 5" xfId="1847" xr:uid="{00000000-0005-0000-0000-0000C7210000}"/>
    <cellStyle name="Note 3 3 5 2" xfId="4076" xr:uid="{00000000-0005-0000-0000-0000C8210000}"/>
    <cellStyle name="Note 3 3 5 2 2" xfId="8298" xr:uid="{00000000-0005-0000-0000-0000C9210000}"/>
    <cellStyle name="Note 3 3 5 2 2 2" xfId="20959" xr:uid="{2C59A36F-DFDD-4EF1-A309-F8C249E09FF1}"/>
    <cellStyle name="Note 3 3 5 2 3" xfId="12530" xr:uid="{33B2E371-56EA-4D04-8A00-C3C30643BE0B}"/>
    <cellStyle name="Note 3 3 5 2 4" xfId="16741" xr:uid="{56D51BC9-F876-4F41-B10C-92DCBC149AF3}"/>
    <cellStyle name="Note 3 3 5 3" xfId="6153" xr:uid="{00000000-0005-0000-0000-0000CA210000}"/>
    <cellStyle name="Note 3 3 5 3 2" xfId="18814" xr:uid="{91CD9A59-1E87-4E36-8FF5-FE646CDD1F2E}"/>
    <cellStyle name="Note 3 3 5 4" xfId="10385" xr:uid="{308215E4-6F0C-4AD2-91A0-D8A2905CC3A4}"/>
    <cellStyle name="Note 3 3 5 5" xfId="14596" xr:uid="{525614B7-1092-4B29-8F7D-978F707007FD}"/>
    <cellStyle name="Note 3 3 6" xfId="2260" xr:uid="{00000000-0005-0000-0000-0000CB210000}"/>
    <cellStyle name="Note 3 3 6 2" xfId="4489" xr:uid="{00000000-0005-0000-0000-0000CC210000}"/>
    <cellStyle name="Note 3 3 6 2 2" xfId="8711" xr:uid="{00000000-0005-0000-0000-0000CD210000}"/>
    <cellStyle name="Note 3 3 6 2 2 2" xfId="21372" xr:uid="{68C02248-814C-405F-AB1E-77BDA253C2FB}"/>
    <cellStyle name="Note 3 3 6 2 3" xfId="12943" xr:uid="{6F943D7E-A1B1-4910-852D-2C8230238F65}"/>
    <cellStyle name="Note 3 3 6 2 4" xfId="17154" xr:uid="{D876FC98-EF4B-435F-9810-2E82657F1D1C}"/>
    <cellStyle name="Note 3 3 6 3" xfId="6566" xr:uid="{00000000-0005-0000-0000-0000CE210000}"/>
    <cellStyle name="Note 3 3 6 3 2" xfId="19227" xr:uid="{96259007-FF70-41FF-A7F3-7F0FD799FECC}"/>
    <cellStyle name="Note 3 3 6 4" xfId="10798" xr:uid="{D6FD79C3-654E-489B-9C5F-E2F3F37B766F}"/>
    <cellStyle name="Note 3 3 6 5" xfId="15009" xr:uid="{0FF01CA6-61E4-4AA7-B142-941380F87EDB}"/>
    <cellStyle name="Note 3 3 7" xfId="2696" xr:uid="{00000000-0005-0000-0000-0000CF210000}"/>
    <cellStyle name="Note 3 3 7 2" xfId="6979" xr:uid="{00000000-0005-0000-0000-0000D0210000}"/>
    <cellStyle name="Note 3 3 7 2 2" xfId="19640" xr:uid="{0856D025-2D15-4914-AD44-E552D4EBE261}"/>
    <cellStyle name="Note 3 3 7 3" xfId="11211" xr:uid="{57669121-6B1F-470A-919C-D5B0C93B4EF4}"/>
    <cellStyle name="Note 3 3 7 4" xfId="15422" xr:uid="{6BC1DD53-573E-4F82-A989-BC09DF52563B}"/>
    <cellStyle name="Note 3 3 8" xfId="2755" xr:uid="{00000000-0005-0000-0000-0000D1210000}"/>
    <cellStyle name="Note 3 3 9" xfId="2836" xr:uid="{00000000-0005-0000-0000-0000D2210000}"/>
    <cellStyle name="Note 3 3 9 2" xfId="7059" xr:uid="{00000000-0005-0000-0000-0000D3210000}"/>
    <cellStyle name="Note 3 3 9 2 2" xfId="19720" xr:uid="{0D9EA396-9992-42C6-B63C-213670E5B2E7}"/>
    <cellStyle name="Note 3 3 9 3" xfId="11291" xr:uid="{51DC4550-9BEC-472C-B6AE-482D8A63CBCB}"/>
    <cellStyle name="Note 3 3 9 4" xfId="15502" xr:uid="{01F3A4B2-3D02-448F-A229-F0DC59FBE4B1}"/>
    <cellStyle name="Note 3 4" xfId="560" xr:uid="{00000000-0005-0000-0000-0000D4210000}"/>
    <cellStyle name="Note 3 4 10" xfId="9148" xr:uid="{B5FEE814-A883-4EB8-859B-6E386E9BC611}"/>
    <cellStyle name="Note 3 4 11" xfId="13359" xr:uid="{05903182-8B62-432C-82E2-28825C400F2A}"/>
    <cellStyle name="Note 3 4 2" xfId="1020" xr:uid="{00000000-0005-0000-0000-0000D5210000}"/>
    <cellStyle name="Note 3 4 2 2" xfId="3252" xr:uid="{00000000-0005-0000-0000-0000D6210000}"/>
    <cellStyle name="Note 3 4 2 2 2" xfId="7474" xr:uid="{00000000-0005-0000-0000-0000D7210000}"/>
    <cellStyle name="Note 3 4 2 2 2 2" xfId="20135" xr:uid="{E35F7BC9-D2F8-4493-AB1A-E0FEE0A34EE0}"/>
    <cellStyle name="Note 3 4 2 2 3" xfId="11706" xr:uid="{95B4D19A-A54E-4EB6-A120-E56659631FCE}"/>
    <cellStyle name="Note 3 4 2 2 4" xfId="15917" xr:uid="{F42F5717-2B62-4794-9D6A-5768809053F4}"/>
    <cellStyle name="Note 3 4 2 3" xfId="5329" xr:uid="{00000000-0005-0000-0000-0000D8210000}"/>
    <cellStyle name="Note 3 4 2 3 2" xfId="17990" xr:uid="{0E8B1221-57F8-4984-8ADF-D96F896A4A02}"/>
    <cellStyle name="Note 3 4 2 4" xfId="9561" xr:uid="{CBBAC747-32ED-478F-A51D-063D6E3DE4E6}"/>
    <cellStyle name="Note 3 4 2 5" xfId="13772" xr:uid="{132D7B91-31B7-421C-AC79-BDD9CE25C30F}"/>
    <cellStyle name="Note 3 4 3" xfId="1435" xr:uid="{00000000-0005-0000-0000-0000D9210000}"/>
    <cellStyle name="Note 3 4 3 2" xfId="3665" xr:uid="{00000000-0005-0000-0000-0000DA210000}"/>
    <cellStyle name="Note 3 4 3 2 2" xfId="7887" xr:uid="{00000000-0005-0000-0000-0000DB210000}"/>
    <cellStyle name="Note 3 4 3 2 2 2" xfId="20548" xr:uid="{51D6CEF9-7A44-47BC-88C1-2704CC26F16E}"/>
    <cellStyle name="Note 3 4 3 2 3" xfId="12119" xr:uid="{B3785A75-89E3-4602-8B5B-356D40418FA4}"/>
    <cellStyle name="Note 3 4 3 2 4" xfId="16330" xr:uid="{6FED0B5E-329F-4AA5-A9F8-045532A05476}"/>
    <cellStyle name="Note 3 4 3 3" xfId="5742" xr:uid="{00000000-0005-0000-0000-0000DC210000}"/>
    <cellStyle name="Note 3 4 3 3 2" xfId="18403" xr:uid="{EB526322-6ECF-4C53-A4C7-3815003BAA24}"/>
    <cellStyle name="Note 3 4 3 4" xfId="9974" xr:uid="{B63CA2E4-E1F5-4D40-8FA0-D6B9995F077A}"/>
    <cellStyle name="Note 3 4 3 5" xfId="14185" xr:uid="{432335F1-960A-456C-BFD5-6430A61E0962}"/>
    <cellStyle name="Note 3 4 4" xfId="1849" xr:uid="{00000000-0005-0000-0000-0000DD210000}"/>
    <cellStyle name="Note 3 4 4 2" xfId="4078" xr:uid="{00000000-0005-0000-0000-0000DE210000}"/>
    <cellStyle name="Note 3 4 4 2 2" xfId="8300" xr:uid="{00000000-0005-0000-0000-0000DF210000}"/>
    <cellStyle name="Note 3 4 4 2 2 2" xfId="20961" xr:uid="{DC5654F7-579F-45AD-BE1A-784398D8517B}"/>
    <cellStyle name="Note 3 4 4 2 3" xfId="12532" xr:uid="{DBE6FA6C-6016-44CC-9721-45B2B2800040}"/>
    <cellStyle name="Note 3 4 4 2 4" xfId="16743" xr:uid="{EA85E906-D9A0-4EB3-B21A-D025F4DD3C36}"/>
    <cellStyle name="Note 3 4 4 3" xfId="6155" xr:uid="{00000000-0005-0000-0000-0000E0210000}"/>
    <cellStyle name="Note 3 4 4 3 2" xfId="18816" xr:uid="{7483599E-ED8B-457E-94D7-6CC0CB640114}"/>
    <cellStyle name="Note 3 4 4 4" xfId="10387" xr:uid="{28BB4AAE-A0FA-4C29-B40F-7B7B5AD02332}"/>
    <cellStyle name="Note 3 4 4 5" xfId="14598" xr:uid="{85331493-C018-4208-91D6-8A2B0D68F1B7}"/>
    <cellStyle name="Note 3 4 5" xfId="2262" xr:uid="{00000000-0005-0000-0000-0000E1210000}"/>
    <cellStyle name="Note 3 4 5 2" xfId="4491" xr:uid="{00000000-0005-0000-0000-0000E2210000}"/>
    <cellStyle name="Note 3 4 5 2 2" xfId="8713" xr:uid="{00000000-0005-0000-0000-0000E3210000}"/>
    <cellStyle name="Note 3 4 5 2 2 2" xfId="21374" xr:uid="{13CCACDD-EDFE-4A2D-BEBF-19F6DA2221EF}"/>
    <cellStyle name="Note 3 4 5 2 3" xfId="12945" xr:uid="{EF3612FB-03C0-4979-A432-DAEB525CA1BE}"/>
    <cellStyle name="Note 3 4 5 2 4" xfId="17156" xr:uid="{226A1C51-F4A5-4270-8A30-AAB93DCCDB7A}"/>
    <cellStyle name="Note 3 4 5 3" xfId="6568" xr:uid="{00000000-0005-0000-0000-0000E4210000}"/>
    <cellStyle name="Note 3 4 5 3 2" xfId="19229" xr:uid="{C55EDAAA-A67A-4D80-A914-B06CAF0B867C}"/>
    <cellStyle name="Note 3 4 5 4" xfId="10800" xr:uid="{9F523CBF-3EB6-46AE-84DF-F5973ACC2044}"/>
    <cellStyle name="Note 3 4 5 5" xfId="15011" xr:uid="{294D3626-BB78-4231-AA7C-5F412F0F1EF6}"/>
    <cellStyle name="Note 3 4 6" xfId="2698" xr:uid="{00000000-0005-0000-0000-0000E5210000}"/>
    <cellStyle name="Note 3 4 6 2" xfId="6981" xr:uid="{00000000-0005-0000-0000-0000E6210000}"/>
    <cellStyle name="Note 3 4 6 2 2" xfId="19642" xr:uid="{0C7091B9-CDBB-4D34-9ADA-B27F3819C9E6}"/>
    <cellStyle name="Note 3 4 6 3" xfId="11213" xr:uid="{B288EF70-3340-4AB9-9D29-3B9ADEA402E5}"/>
    <cellStyle name="Note 3 4 6 4" xfId="15424" xr:uid="{EE51D946-96CC-4946-91AF-82B7CCF642CE}"/>
    <cellStyle name="Note 3 4 7" xfId="2757" xr:uid="{00000000-0005-0000-0000-0000E7210000}"/>
    <cellStyle name="Note 3 4 8" xfId="2838" xr:uid="{00000000-0005-0000-0000-0000E8210000}"/>
    <cellStyle name="Note 3 4 8 2" xfId="7061" xr:uid="{00000000-0005-0000-0000-0000E9210000}"/>
    <cellStyle name="Note 3 4 8 2 2" xfId="19722" xr:uid="{A93323DA-7183-453F-82E4-09CE79F717B6}"/>
    <cellStyle name="Note 3 4 8 3" xfId="11293" xr:uid="{78197FF2-B117-4C0E-BEBF-6113A8E2D364}"/>
    <cellStyle name="Note 3 4 8 4" xfId="15504" xr:uid="{B19DC805-AA9F-47DE-A1ED-025FF8BDA40F}"/>
    <cellStyle name="Note 3 4 9" xfId="4916" xr:uid="{00000000-0005-0000-0000-0000EA210000}"/>
    <cellStyle name="Note 3 4 9 2" xfId="17577" xr:uid="{2B8415D5-D46A-447A-86A9-A8B2D03A3B79}"/>
    <cellStyle name="Note 3 5" xfId="561" xr:uid="{00000000-0005-0000-0000-0000EB210000}"/>
    <cellStyle name="Note 3 5 10" xfId="9149" xr:uid="{3780C238-99CC-4DD8-8473-383AA3ADB969}"/>
    <cellStyle name="Note 3 5 11" xfId="13360" xr:uid="{449BA642-D561-440C-886B-E105F57A2086}"/>
    <cellStyle name="Note 3 5 2" xfId="1021" xr:uid="{00000000-0005-0000-0000-0000EC210000}"/>
    <cellStyle name="Note 3 5 2 2" xfId="3253" xr:uid="{00000000-0005-0000-0000-0000ED210000}"/>
    <cellStyle name="Note 3 5 2 2 2" xfId="7475" xr:uid="{00000000-0005-0000-0000-0000EE210000}"/>
    <cellStyle name="Note 3 5 2 2 2 2" xfId="20136" xr:uid="{C4EEF1D7-F77B-49AA-839F-763903AB419C}"/>
    <cellStyle name="Note 3 5 2 2 3" xfId="11707" xr:uid="{A70950A3-860B-48D6-99EB-5FA056B3D7FD}"/>
    <cellStyle name="Note 3 5 2 2 4" xfId="15918" xr:uid="{B66AF4EA-ECEB-4EA6-9475-B2BBF62BA135}"/>
    <cellStyle name="Note 3 5 2 3" xfId="5330" xr:uid="{00000000-0005-0000-0000-0000EF210000}"/>
    <cellStyle name="Note 3 5 2 3 2" xfId="17991" xr:uid="{06AC2FC1-912F-4682-8C5B-FAF0F688D637}"/>
    <cellStyle name="Note 3 5 2 4" xfId="9562" xr:uid="{0E544831-B6F9-497D-BB05-279ADD26398F}"/>
    <cellStyle name="Note 3 5 2 5" xfId="13773" xr:uid="{AFC90867-8996-4667-8B70-D73F517AF0BB}"/>
    <cellStyle name="Note 3 5 3" xfId="1436" xr:uid="{00000000-0005-0000-0000-0000F0210000}"/>
    <cellStyle name="Note 3 5 3 2" xfId="3666" xr:uid="{00000000-0005-0000-0000-0000F1210000}"/>
    <cellStyle name="Note 3 5 3 2 2" xfId="7888" xr:uid="{00000000-0005-0000-0000-0000F2210000}"/>
    <cellStyle name="Note 3 5 3 2 2 2" xfId="20549" xr:uid="{79238967-E7BA-4F29-A0F9-EB5EFC9BC950}"/>
    <cellStyle name="Note 3 5 3 2 3" xfId="12120" xr:uid="{EF1D997A-C334-4EC7-A1A7-071539032FE3}"/>
    <cellStyle name="Note 3 5 3 2 4" xfId="16331" xr:uid="{6EB9479A-7C09-49F9-8C42-A68A4F6BDE56}"/>
    <cellStyle name="Note 3 5 3 3" xfId="5743" xr:uid="{00000000-0005-0000-0000-0000F3210000}"/>
    <cellStyle name="Note 3 5 3 3 2" xfId="18404" xr:uid="{A83026F8-CEC6-4F34-82C4-7E3C8B284161}"/>
    <cellStyle name="Note 3 5 3 4" xfId="9975" xr:uid="{78662126-BDE4-4BEB-971B-62AFFFC1506B}"/>
    <cellStyle name="Note 3 5 3 5" xfId="14186" xr:uid="{8AFDC9C7-51EA-4957-A7C9-861345B4346E}"/>
    <cellStyle name="Note 3 5 4" xfId="1850" xr:uid="{00000000-0005-0000-0000-0000F4210000}"/>
    <cellStyle name="Note 3 5 4 2" xfId="4079" xr:uid="{00000000-0005-0000-0000-0000F5210000}"/>
    <cellStyle name="Note 3 5 4 2 2" xfId="8301" xr:uid="{00000000-0005-0000-0000-0000F6210000}"/>
    <cellStyle name="Note 3 5 4 2 2 2" xfId="20962" xr:uid="{DB01E3A7-DFC4-48D1-84ED-01950128237C}"/>
    <cellStyle name="Note 3 5 4 2 3" xfId="12533" xr:uid="{2083D582-87F8-44DA-8CD7-A9C35FAA14AF}"/>
    <cellStyle name="Note 3 5 4 2 4" xfId="16744" xr:uid="{FE6539D8-DFE7-4852-AADD-834C9006CAAE}"/>
    <cellStyle name="Note 3 5 4 3" xfId="6156" xr:uid="{00000000-0005-0000-0000-0000F7210000}"/>
    <cellStyle name="Note 3 5 4 3 2" xfId="18817" xr:uid="{F519B773-951D-4F94-84A3-C7CFC5D8A124}"/>
    <cellStyle name="Note 3 5 4 4" xfId="10388" xr:uid="{EC3FAADC-FB1F-4AF2-86A9-E3E5A518B681}"/>
    <cellStyle name="Note 3 5 4 5" xfId="14599" xr:uid="{95F32F3B-8828-45D8-B4B1-84B23E088844}"/>
    <cellStyle name="Note 3 5 5" xfId="2263" xr:uid="{00000000-0005-0000-0000-0000F8210000}"/>
    <cellStyle name="Note 3 5 5 2" xfId="4492" xr:uid="{00000000-0005-0000-0000-0000F9210000}"/>
    <cellStyle name="Note 3 5 5 2 2" xfId="8714" xr:uid="{00000000-0005-0000-0000-0000FA210000}"/>
    <cellStyle name="Note 3 5 5 2 2 2" xfId="21375" xr:uid="{A57D6078-D631-4C8F-ADFB-72FC69764A6A}"/>
    <cellStyle name="Note 3 5 5 2 3" xfId="12946" xr:uid="{3B21FEF4-1A98-4F03-BB36-9DAD6C8F9EC6}"/>
    <cellStyle name="Note 3 5 5 2 4" xfId="17157" xr:uid="{CC887562-1A50-42D8-A481-ECC87C8A6B29}"/>
    <cellStyle name="Note 3 5 5 3" xfId="6569" xr:uid="{00000000-0005-0000-0000-0000FB210000}"/>
    <cellStyle name="Note 3 5 5 3 2" xfId="19230" xr:uid="{389D2219-AD4C-4C79-9F21-D59855571E7D}"/>
    <cellStyle name="Note 3 5 5 4" xfId="10801" xr:uid="{772851FC-DCD0-4780-9F5F-70C6116BC1C2}"/>
    <cellStyle name="Note 3 5 5 5" xfId="15012" xr:uid="{3764809F-34AC-4229-A1BA-29F0485400F4}"/>
    <cellStyle name="Note 3 5 6" xfId="2699" xr:uid="{00000000-0005-0000-0000-0000FC210000}"/>
    <cellStyle name="Note 3 5 6 2" xfId="6982" xr:uid="{00000000-0005-0000-0000-0000FD210000}"/>
    <cellStyle name="Note 3 5 6 2 2" xfId="19643" xr:uid="{684509F6-4E21-4576-B165-94BB852AD766}"/>
    <cellStyle name="Note 3 5 6 3" xfId="11214" xr:uid="{DEA1AFFD-E3CE-4471-B151-A532D5F98DCE}"/>
    <cellStyle name="Note 3 5 6 4" xfId="15425" xr:uid="{4A41A579-71DB-4B55-9B2F-73F8A12FE4E6}"/>
    <cellStyle name="Note 3 5 7" xfId="2758" xr:uid="{00000000-0005-0000-0000-0000FE210000}"/>
    <cellStyle name="Note 3 5 8" xfId="2839" xr:uid="{00000000-0005-0000-0000-0000FF210000}"/>
    <cellStyle name="Note 3 5 8 2" xfId="7062" xr:uid="{00000000-0005-0000-0000-000000220000}"/>
    <cellStyle name="Note 3 5 8 2 2" xfId="19723" xr:uid="{E19D66BC-FDBB-44D4-B844-A250793665E7}"/>
    <cellStyle name="Note 3 5 8 3" xfId="11294" xr:uid="{8ACDF1C3-5BF4-44D9-8962-0BF96B6CF167}"/>
    <cellStyle name="Note 3 5 8 4" xfId="15505" xr:uid="{F47EB0FB-22BA-4274-B254-E4C16F59EAA0}"/>
    <cellStyle name="Note 3 5 9" xfId="4917" xr:uid="{00000000-0005-0000-0000-000001220000}"/>
    <cellStyle name="Note 3 5 9 2" xfId="17578" xr:uid="{176B467C-013B-4A01-83F0-FD7F7328DC0F}"/>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7161" xr:uid="{A3929F18-C6ED-4EA5-9C44-59F221CF1022}"/>
    <cellStyle name="Percent 4" xfId="4502" xr:uid="{00000000-0005-0000-0000-000007220000}"/>
    <cellStyle name="Percent 4 2" xfId="8717" xr:uid="{00000000-0005-0000-0000-000008220000}"/>
    <cellStyle name="Percent 4 2 2" xfId="21378" xr:uid="{73449BC7-AFCA-4129-9446-09A80BEF7951}"/>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3" xfId="21387" xr:uid="{1CA45E88-AB12-48CC-801D-F4082B923E57}"/>
    <cellStyle name="Percent 4 3 2 3" xfId="21384" xr:uid="{BD5301B0-9616-4566-9554-8AFB00DFBC98}"/>
    <cellStyle name="Percent 4 3 3" xfId="21381" xr:uid="{381CC663-4EB4-4D2A-A941-2782175B74D8}"/>
    <cellStyle name="Percent 4 4" xfId="17164" xr:uid="{231C993B-AB96-4F97-983A-D4C56EBEF096}"/>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13" formatCode="0%"/>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0" dataCellStyle="Percent">
      <calculatedColumnFormula>IF(Cdlac[[#This Row],[Quantity]]&gt;0,IF(Cdlac[[#This Row],[Federal]],30%,IF(AND(OR(NOT($G$38),$G$38=""),$G$43),40%,Cdlac[[#This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1" xr3:uid="{DB79DEA5-8C58-4800-B67F-14CBEB0E0B62}" name="Preservation Rent" dataDxfId="111" dataCellStyle="Normal 15"/>
    <tableColumn id="9" xr3:uid="{E7AC364D-B07B-4A38-B74E-DAE64921E290}" name="Fair Market Rent" dataDxfId="110" dataCellStyle="Normal 15">
      <calculatedColumnFormula array="1">IF(Cdlac[[#This Row],[Quantity]]&gt;0,INDEX(HudFmrs,$P$18,Cdlac[[#This Row],[Bedrooms]]+1),"")</calculatedColumnFormula>
    </tableColumn>
    <tableColumn id="10" xr3:uid="{630C504C-0251-4207-88FB-451973BE380A}" name="Delta" dataDxfId="109"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8" dataCellStyle="Normal 15">
      <calculatedColumnFormula>IF(Cdlac[[#This Row],[Quantity]]&gt;0,AND(Application!AK718&lt;&gt;"N/A",Application!AK718&lt;&gt;"")*Cdlac[[#This Row],[Quantity]],"")</calculatedColumnFormula>
    </tableColumn>
    <tableColumn id="4" xr3:uid="{5D52F6BE-992B-4621-8785-ED1E8B62A78F}" name="Federal" dataDxfId="107"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9" t="s">
        <v>551</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59" t="s">
        <v>2036</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56"/>
    </row>
    <row r="8" spans="1:38" ht="13">
      <c r="A8" s="205"/>
      <c r="B8" s="205"/>
      <c r="C8" s="206"/>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56"/>
    </row>
    <row r="9" spans="1:38" ht="13">
      <c r="A9" s="205"/>
      <c r="B9" s="205"/>
      <c r="C9" s="206"/>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59" t="s">
        <v>2037</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56"/>
    </row>
    <row r="12" spans="1:38" ht="13">
      <c r="A12" s="205"/>
      <c r="B12" s="205"/>
      <c r="C12" s="206"/>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56"/>
    </row>
    <row r="13" spans="1:38" ht="13">
      <c r="A13" s="205"/>
      <c r="B13" s="205"/>
      <c r="C13" s="206"/>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59" t="s">
        <v>2607</v>
      </c>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56"/>
    </row>
    <row r="16" spans="1:38" ht="13.15" customHeight="1">
      <c r="A16" s="205"/>
      <c r="B16" s="205"/>
      <c r="C16" s="206"/>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56"/>
    </row>
    <row r="17" spans="1:38" ht="13">
      <c r="A17" s="205"/>
      <c r="B17" s="205"/>
      <c r="C17" s="206"/>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456"/>
    </row>
    <row r="18" spans="1:38" ht="13">
      <c r="A18" s="205"/>
      <c r="B18" s="205"/>
      <c r="C18" s="206"/>
      <c r="D18" s="520" t="s">
        <v>2606</v>
      </c>
      <c r="E18" s="442"/>
      <c r="G18" s="442"/>
      <c r="H18" s="442"/>
      <c r="I18" s="442"/>
      <c r="J18" s="1272" t="s">
        <v>2605</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59" t="s">
        <v>2038</v>
      </c>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05"/>
    </row>
    <row r="21" spans="1:38" ht="13">
      <c r="A21" s="205"/>
      <c r="B21" s="205"/>
      <c r="C21" s="206"/>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05"/>
    </row>
    <row r="22" spans="1:38" ht="13">
      <c r="A22" s="205"/>
      <c r="B22" s="205"/>
      <c r="C22" s="206"/>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05"/>
    </row>
    <row r="23" spans="1:38" ht="13.15" customHeight="1">
      <c r="A23" s="205"/>
      <c r="B23" s="205"/>
      <c r="C23" s="206"/>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05"/>
    </row>
    <row r="24" spans="1:38" ht="13">
      <c r="A24" s="205"/>
      <c r="B24" s="205"/>
      <c r="C24" s="206"/>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05"/>
    </row>
    <row r="25" spans="1:38" ht="13">
      <c r="A25" s="205"/>
      <c r="B25" s="205"/>
      <c r="C25" s="206"/>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05"/>
    </row>
    <row r="26" spans="1:38" ht="13">
      <c r="A26" s="205"/>
      <c r="B26" s="205"/>
      <c r="C26" s="206"/>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05"/>
    </row>
    <row r="27" spans="1:38" ht="13">
      <c r="A27" s="205"/>
      <c r="B27" s="205"/>
      <c r="C27" s="206"/>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05"/>
    </row>
    <row r="28" spans="1:38" ht="13">
      <c r="A28" s="205"/>
      <c r="B28" s="205"/>
      <c r="C28" s="206"/>
      <c r="D28" s="1259"/>
      <c r="E28" s="1259"/>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59" t="s">
        <v>2039</v>
      </c>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05"/>
    </row>
    <row r="31" spans="1:38" ht="13">
      <c r="A31" s="205"/>
      <c r="B31" s="205"/>
      <c r="C31" s="206"/>
      <c r="D31" s="456"/>
      <c r="E31" s="1260" t="s">
        <v>2521</v>
      </c>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205"/>
    </row>
    <row r="32" spans="1:38" ht="13">
      <c r="A32" s="4"/>
      <c r="C32" s="2"/>
    </row>
    <row r="33" spans="1:38">
      <c r="A33" s="4"/>
      <c r="D33" s="1271" t="s">
        <v>2143</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ht="13">
      <c r="A35" s="4"/>
      <c r="D35" s="120"/>
      <c r="E35" s="1266" t="s">
        <v>2046</v>
      </c>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ht="13">
      <c r="A36" s="4"/>
      <c r="D36" s="120"/>
      <c r="E36" s="1266" t="s">
        <v>2047</v>
      </c>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59" customFormat="1" ht="13.15" customHeight="1">
      <c r="A40" s="4"/>
      <c r="B40"/>
      <c r="C40" s="2"/>
      <c r="D40" s="4"/>
      <c r="E40" s="4" t="s">
        <v>654</v>
      </c>
      <c r="F40" s="1259" t="s">
        <v>1164</v>
      </c>
    </row>
    <row r="41" spans="1:38" s="1259" customFormat="1" ht="13.15" customHeight="1">
      <c r="A41" s="4"/>
      <c r="B41"/>
      <c r="C41" s="2"/>
      <c r="D41" s="4"/>
      <c r="E41" s="4"/>
    </row>
    <row r="42" spans="1:38" ht="13">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5" t="s">
        <v>1246</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ht="13">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15"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ht="13">
      <c r="A46" s="4"/>
      <c r="C46" s="2"/>
      <c r="D46" s="4"/>
      <c r="E46" s="4"/>
      <c r="F46" s="118" t="s">
        <v>688</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59" t="s">
        <v>2041</v>
      </c>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row>
    <row r="49" spans="1:38" ht="13">
      <c r="A49" s="4"/>
      <c r="C49" s="2"/>
      <c r="D49" s="4"/>
      <c r="E49" s="4"/>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row>
    <row r="50" spans="1:38" ht="13">
      <c r="A50" s="4"/>
      <c r="C50" s="2"/>
      <c r="D50" s="4"/>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688</v>
      </c>
      <c r="G54" s="1264" t="s">
        <v>1191</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4" t="s">
        <v>576</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510</v>
      </c>
      <c r="G57" s="1264" t="s">
        <v>2042</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ht="13">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ht="13">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59" t="s">
        <v>1166</v>
      </c>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row>
    <row r="65" spans="1:37" ht="13">
      <c r="A65" s="4"/>
      <c r="C65" s="2"/>
      <c r="D65" s="4"/>
      <c r="E65" s="4"/>
      <c r="G65" s="1259"/>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row>
    <row r="66" spans="1:37" ht="13">
      <c r="A66" s="4"/>
      <c r="C66" s="2"/>
      <c r="D66" s="4"/>
      <c r="E66" s="4"/>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15" customHeight="1">
      <c r="A67" s="4"/>
      <c r="C67" s="2"/>
      <c r="D67" s="4"/>
      <c r="E67" s="4"/>
      <c r="F67" t="s">
        <v>510</v>
      </c>
      <c r="G67" s="1259" t="s">
        <v>1167</v>
      </c>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ht="13">
      <c r="A68" s="4"/>
      <c r="C68" s="2"/>
      <c r="D68" s="4"/>
      <c r="E68" s="4"/>
      <c r="F68" s="27"/>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ht="1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688</v>
      </c>
      <c r="G70" s="1259" t="s">
        <v>1168</v>
      </c>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ht="13">
      <c r="A71" s="4"/>
      <c r="C71" s="2"/>
      <c r="D71" s="4"/>
      <c r="E71" s="4"/>
      <c r="F71" s="8"/>
      <c r="G71" s="1259"/>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row>
    <row r="72" spans="1:37" ht="13">
      <c r="A72" s="4"/>
      <c r="C72" s="2"/>
      <c r="D72" s="4"/>
      <c r="E72" s="4"/>
      <c r="F72" s="8" t="s">
        <v>510</v>
      </c>
      <c r="G72" s="1259" t="s">
        <v>1169</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ht="13">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865</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59" t="s">
        <v>1170</v>
      </c>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row>
    <row r="81" spans="1:37" ht="13">
      <c r="A81" s="4"/>
      <c r="C81" s="2"/>
      <c r="D81" s="4"/>
      <c r="E81" s="4"/>
      <c r="F81" s="4"/>
      <c r="G81" s="1259"/>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row>
    <row r="82" spans="1:37" ht="13">
      <c r="A82" s="4"/>
      <c r="C82" s="2"/>
      <c r="D82" s="4"/>
      <c r="E82" s="4"/>
      <c r="F82" s="4"/>
      <c r="G82" s="125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59" t="s">
        <v>1171</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ht="13">
      <c r="A85" s="4"/>
      <c r="C85" s="2"/>
      <c r="D85" s="4"/>
      <c r="E85" s="4"/>
      <c r="F85" s="4"/>
      <c r="G85" s="1259"/>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row>
    <row r="86" spans="1:37" ht="13">
      <c r="A86" s="4"/>
      <c r="C86" s="2"/>
      <c r="D86" s="4"/>
      <c r="E86" s="4"/>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62" t="s">
        <v>1172</v>
      </c>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
      <c r="A89" s="4"/>
      <c r="C89" s="2"/>
      <c r="D89" s="4"/>
      <c r="E89" s="4"/>
      <c r="G89" s="1262"/>
      <c r="H89" s="1262"/>
      <c r="I89" s="1262"/>
      <c r="J89" s="1262"/>
      <c r="K89" s="1262"/>
      <c r="L89" s="1262"/>
      <c r="M89" s="1262"/>
      <c r="N89" s="1262"/>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row>
    <row r="90" spans="1:37" ht="13">
      <c r="A90" s="4"/>
      <c r="C90" s="2"/>
      <c r="D90" s="4"/>
      <c r="E90" s="4"/>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59" t="s">
        <v>1173</v>
      </c>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row>
    <row r="93" spans="1:37" ht="13">
      <c r="A93" s="4"/>
      <c r="C93" s="2"/>
      <c r="D93" s="4"/>
      <c r="E93" s="4"/>
      <c r="G93" s="1259"/>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row>
    <row r="94" spans="1:37" ht="13">
      <c r="A94" s="4"/>
      <c r="C94" s="2"/>
      <c r="D94" s="4"/>
      <c r="E94" s="4" t="s">
        <v>904</v>
      </c>
      <c r="F94" s="205" t="s">
        <v>905</v>
      </c>
      <c r="G94" s="205"/>
      <c r="L94" s="4"/>
      <c r="M94" s="4"/>
      <c r="P94" s="4"/>
      <c r="Q94" s="4"/>
      <c r="R94" s="4"/>
      <c r="S94" s="4"/>
      <c r="T94" s="4"/>
      <c r="U94" s="4"/>
      <c r="V94" s="4"/>
      <c r="W94" s="4"/>
      <c r="X94" s="4"/>
      <c r="Y94" s="4"/>
      <c r="Z94" s="4"/>
      <c r="AA94" s="4"/>
      <c r="AB94" s="4"/>
    </row>
    <row r="95" spans="1:37" ht="13">
      <c r="A95" s="4"/>
      <c r="C95" s="2"/>
      <c r="D95" s="4"/>
      <c r="E95" s="4"/>
      <c r="G95" s="1259" t="s">
        <v>1174</v>
      </c>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ht="13">
      <c r="A96" s="4"/>
      <c r="C96" s="2"/>
      <c r="D96" s="4"/>
      <c r="E96" s="4"/>
      <c r="G96" s="1259"/>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row>
    <row r="97" spans="1:38" ht="13">
      <c r="A97" s="4"/>
      <c r="C97" s="2"/>
      <c r="D97" s="4"/>
      <c r="E97" s="4"/>
      <c r="G97" s="1259"/>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ht="13">
      <c r="A98" s="4"/>
      <c r="D98" s="99"/>
      <c r="E98" s="1263" t="s">
        <v>1175</v>
      </c>
      <c r="F98" s="1263"/>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ht="13">
      <c r="A99" s="4"/>
      <c r="D99" s="99"/>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582</v>
      </c>
      <c r="F116" s="98" t="s">
        <v>922</v>
      </c>
    </row>
    <row r="117" spans="2:10" ht="13">
      <c r="F117" s="4" t="s">
        <v>1015</v>
      </c>
      <c r="G117" s="4"/>
    </row>
    <row r="118" spans="2:10" ht="13">
      <c r="F118" s="99" t="s">
        <v>1187</v>
      </c>
      <c r="G118" s="99"/>
    </row>
    <row r="119" spans="2:10" ht="13">
      <c r="G119" s="99"/>
    </row>
    <row r="120" spans="2:10">
      <c r="E120" s="4" t="s">
        <v>764</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578</v>
      </c>
    </row>
    <row r="128" spans="2:10">
      <c r="E128" s="4" t="s">
        <v>923</v>
      </c>
      <c r="F128" s="4"/>
    </row>
    <row r="129" spans="4:37"/>
    <row r="130" spans="4:37" ht="13">
      <c r="D130" s="2" t="s">
        <v>575</v>
      </c>
      <c r="E130" s="2" t="s">
        <v>725</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515</v>
      </c>
      <c r="E135" s="2" t="s">
        <v>518</v>
      </c>
      <c r="F135" s="2"/>
    </row>
    <row r="136" spans="4:37">
      <c r="E136" s="3" t="s">
        <v>1213</v>
      </c>
      <c r="F136" s="4"/>
    </row>
    <row r="137" spans="4:37">
      <c r="F137" s="4"/>
    </row>
    <row r="138" spans="4:37" ht="13">
      <c r="D138" s="2" t="s">
        <v>303</v>
      </c>
      <c r="E138" s="2" t="s">
        <v>2043</v>
      </c>
      <c r="F138" s="2"/>
      <c r="G138" s="2"/>
      <c r="H138" s="2"/>
    </row>
    <row r="139" spans="4:37">
      <c r="E139" t="s">
        <v>112</v>
      </c>
      <c r="F139" t="s">
        <v>52</v>
      </c>
    </row>
    <row r="140" spans="4:37">
      <c r="E140" t="s">
        <v>113</v>
      </c>
      <c r="F140" t="s">
        <v>467</v>
      </c>
    </row>
    <row r="141" spans="4:37"/>
    <row r="142" spans="4:37" ht="13">
      <c r="D142" s="2" t="s">
        <v>429</v>
      </c>
      <c r="E142" s="2" t="s">
        <v>2044</v>
      </c>
    </row>
    <row r="143" spans="4:37">
      <c r="E143" s="205" t="s">
        <v>2045</v>
      </c>
      <c r="F143" s="205"/>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925</v>
      </c>
      <c r="F150" s="4"/>
    </row>
    <row r="151" spans="3:7"/>
    <row r="152" spans="3:7" ht="13">
      <c r="D152" s="2" t="s">
        <v>575</v>
      </c>
      <c r="E152" s="2" t="s">
        <v>554</v>
      </c>
    </row>
    <row r="153" spans="3:7">
      <c r="E153" s="4" t="s">
        <v>926</v>
      </c>
    </row>
    <row r="154" spans="3:7">
      <c r="E154" s="4" t="s">
        <v>924</v>
      </c>
      <c r="G154" s="4"/>
    </row>
    <row r="155" spans="3:7"/>
    <row r="156" spans="3:7" ht="13">
      <c r="D156" s="2" t="s">
        <v>515</v>
      </c>
      <c r="E156" s="2" t="s">
        <v>534</v>
      </c>
    </row>
    <row r="157" spans="3:7">
      <c r="E157" t="s">
        <v>112</v>
      </c>
      <c r="F157" s="4" t="s">
        <v>927</v>
      </c>
    </row>
    <row r="158" spans="3:7">
      <c r="E158" s="4" t="s">
        <v>113</v>
      </c>
      <c r="F158" s="4" t="s">
        <v>928</v>
      </c>
    </row>
    <row r="159" spans="3:7">
      <c r="E159" s="4" t="s">
        <v>119</v>
      </c>
      <c r="F159" t="s">
        <v>726</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710</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1016</v>
      </c>
      <c r="G191" s="4"/>
      <c r="H191" s="4"/>
      <c r="I191" s="4"/>
    </row>
    <row r="192" spans="2:19" ht="13">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936</v>
      </c>
      <c r="I203" s="4"/>
      <c r="J203" s="4"/>
      <c r="M203" s="4"/>
      <c r="N203" s="4"/>
      <c r="O203" s="4"/>
      <c r="P203" s="4"/>
      <c r="Q203" s="4"/>
      <c r="R203" s="4"/>
      <c r="S203" s="4"/>
      <c r="T203" s="4"/>
      <c r="U203" s="4"/>
      <c r="V203" s="4"/>
      <c r="W203" s="4"/>
      <c r="X203" s="4"/>
      <c r="Y203" s="4"/>
    </row>
    <row r="204" spans="2:37" ht="13">
      <c r="B204" s="4"/>
      <c r="C204" s="4"/>
      <c r="D204" s="2"/>
      <c r="E204" s="4" t="s">
        <v>582</v>
      </c>
      <c r="F204" s="4" t="s">
        <v>937</v>
      </c>
      <c r="M204" s="4"/>
      <c r="N204" s="4"/>
      <c r="O204" s="4"/>
      <c r="P204" s="4"/>
      <c r="Q204" s="4"/>
      <c r="R204" s="4"/>
      <c r="S204" s="4"/>
    </row>
    <row r="205" spans="2:37" ht="13">
      <c r="B205" s="4"/>
      <c r="C205" s="4"/>
      <c r="D205" s="2"/>
      <c r="F205" t="s">
        <v>654</v>
      </c>
      <c r="G205" s="1259" t="s">
        <v>1176</v>
      </c>
      <c r="H205" s="1259"/>
      <c r="I205" s="1259"/>
      <c r="J205" s="1259"/>
      <c r="K205" s="1259"/>
      <c r="L205" s="1259"/>
      <c r="M205" s="1259"/>
      <c r="N205" s="1259"/>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row>
    <row r="206" spans="2:37" ht="13">
      <c r="B206" s="4"/>
      <c r="C206" s="4"/>
      <c r="D206" s="2"/>
      <c r="G206" s="1259"/>
      <c r="H206" s="1259"/>
      <c r="I206" s="1259"/>
      <c r="J206" s="1259"/>
      <c r="K206" s="1259"/>
      <c r="L206" s="1259"/>
      <c r="M206" s="1259"/>
      <c r="N206" s="1259"/>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941</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5" t="s">
        <v>654</v>
      </c>
      <c r="G253" s="205" t="s">
        <v>812</v>
      </c>
      <c r="I253" s="3"/>
      <c r="K253" s="3"/>
      <c r="L253" s="3"/>
      <c r="M253" s="3"/>
      <c r="N253" s="3"/>
      <c r="O253" s="3"/>
      <c r="Q253" s="4"/>
      <c r="R253" s="4"/>
      <c r="S253" s="4"/>
      <c r="T253" s="4"/>
      <c r="U253" s="4"/>
    </row>
    <row r="254" spans="2:21" ht="13">
      <c r="B254" s="2"/>
      <c r="C254" s="2"/>
      <c r="E254" s="4"/>
      <c r="F254" s="205"/>
      <c r="G254" s="205" t="s">
        <v>813</v>
      </c>
      <c r="I254" s="3"/>
      <c r="K254" s="3"/>
      <c r="L254" s="3"/>
      <c r="M254" s="3"/>
      <c r="N254" s="3"/>
      <c r="O254" s="3"/>
      <c r="P254" s="3"/>
    </row>
    <row r="255" spans="2:21" ht="13">
      <c r="B255" s="2"/>
      <c r="C255" s="2"/>
      <c r="E255" s="4"/>
      <c r="F255" s="205" t="s">
        <v>348</v>
      </c>
      <c r="G255" s="205" t="s">
        <v>944</v>
      </c>
      <c r="I255" s="4"/>
      <c r="K255" s="4"/>
      <c r="L255" s="4"/>
      <c r="M255" s="4"/>
      <c r="N255" s="4"/>
      <c r="O255" s="4"/>
      <c r="P255" s="3"/>
    </row>
    <row r="256" spans="2:21" ht="13">
      <c r="B256" s="2"/>
      <c r="C256" s="2"/>
      <c r="E256" s="4"/>
      <c r="F256" s="205"/>
      <c r="G256" s="205"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5"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50"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949</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59" t="s">
        <v>1155</v>
      </c>
      <c r="G336" s="1259"/>
      <c r="H336" s="1259"/>
      <c r="I336" s="1259"/>
      <c r="J336" s="1259"/>
      <c r="K336" s="1259"/>
      <c r="L336" s="1259"/>
      <c r="M336" s="1259"/>
      <c r="N336" s="1259"/>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row>
    <row r="337" spans="2:37" ht="13">
      <c r="B337" s="2"/>
      <c r="E337" s="4"/>
      <c r="F337" s="1259"/>
      <c r="G337" s="1259"/>
      <c r="H337" s="1259"/>
      <c r="I337" s="1259"/>
      <c r="J337" s="1259"/>
      <c r="K337" s="1259"/>
      <c r="L337" s="1259"/>
      <c r="M337" s="1259"/>
      <c r="N337" s="1259"/>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row>
    <row r="338" spans="2:37" ht="13">
      <c r="B338" s="2"/>
      <c r="E338" s="4"/>
      <c r="F338" s="1259"/>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15" customHeight="1">
      <c r="B341" s="2"/>
      <c r="E341" s="1264" t="s">
        <v>1235</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ht="13">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ht="13">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3" t="s">
        <v>112</v>
      </c>
      <c r="F346" s="1259" t="s">
        <v>1237</v>
      </c>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row>
    <row r="347" spans="2:37" ht="13">
      <c r="B347" s="2"/>
      <c r="E347" s="3"/>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row>
    <row r="348" spans="2:37" ht="13">
      <c r="B348" s="2"/>
      <c r="E348" s="3"/>
      <c r="F348" s="1259"/>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ht="13">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ht="13">
      <c r="B350" s="2"/>
      <c r="E350" s="3" t="s">
        <v>113</v>
      </c>
      <c r="F350" s="1259" t="s">
        <v>1236</v>
      </c>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ht="13">
      <c r="B351" s="2"/>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ht="13">
      <c r="B352" s="2"/>
      <c r="F352" s="1259"/>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7" t="s">
        <v>1226</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ht="13">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8" customFormat="1" ht="13">
      <c r="A367"/>
      <c r="B367" s="2"/>
      <c r="C367"/>
      <c r="D367"/>
      <c r="E367" s="1265" t="s">
        <v>1258</v>
      </c>
    </row>
    <row r="368" spans="1:38" s="1268"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1259</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59" t="s">
        <v>1269</v>
      </c>
      <c r="G386" s="1259"/>
      <c r="H386" s="1259"/>
      <c r="I386" s="1259"/>
      <c r="J386" s="1259"/>
      <c r="K386" s="1259"/>
      <c r="L386" s="1259"/>
      <c r="M386" s="1259"/>
      <c r="N386" s="1259"/>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row>
    <row r="387" spans="1:38" ht="13">
      <c r="B387" s="2"/>
      <c r="E387" s="3"/>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row>
    <row r="388" spans="1:38" ht="13">
      <c r="B388" s="2"/>
      <c r="E388" s="3"/>
      <c r="F388" s="1259"/>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view="pageBreakPreview" topLeftCell="A59" zoomScale="60" zoomScaleNormal="100" workbookViewId="0">
      <selection activeCell="G77" sqref="G77"/>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70" t="s">
        <v>1585</v>
      </c>
      <c r="B1" s="2670"/>
      <c r="C1" s="2670"/>
      <c r="D1" s="2670"/>
      <c r="E1" s="2670"/>
      <c r="F1" s="2670"/>
      <c r="G1" s="2670"/>
      <c r="H1" s="2670"/>
      <c r="I1" s="2670"/>
      <c r="J1" s="2670"/>
    </row>
    <row r="2" spans="1:13" ht="15" customHeight="1" thickBot="1">
      <c r="A2" s="1047"/>
      <c r="B2" s="1047"/>
      <c r="I2" s="1048"/>
      <c r="K2" s="1049"/>
    </row>
    <row r="3" spans="1:13" s="1052" customFormat="1" ht="20.149999999999999" customHeight="1">
      <c r="A3" s="1102"/>
      <c r="B3" s="1103"/>
      <c r="C3" s="1104"/>
      <c r="D3" s="1109"/>
      <c r="E3" s="1104"/>
      <c r="F3" s="1105" t="s">
        <v>1991</v>
      </c>
      <c r="G3" s="1104"/>
      <c r="H3" s="1106">
        <f>E18</f>
        <v>68177782</v>
      </c>
      <c r="I3" s="1107"/>
    </row>
    <row r="4" spans="1:13" s="1052" customFormat="1" ht="20.149999999999999" customHeight="1">
      <c r="B4" s="1096"/>
      <c r="D4" s="1110"/>
      <c r="F4" s="1094" t="s">
        <v>1993</v>
      </c>
      <c r="G4" s="1093" t="s">
        <v>1992</v>
      </c>
      <c r="H4" s="1095">
        <f>I18</f>
        <v>46042587.898937911</v>
      </c>
      <c r="I4" s="1097"/>
      <c r="K4" s="1056"/>
    </row>
    <row r="5" spans="1:13" s="1052" customFormat="1" ht="20.149999999999999" customHeight="1" thickBot="1">
      <c r="B5" s="1098"/>
      <c r="C5" s="1099"/>
      <c r="D5" s="1111"/>
      <c r="E5" s="1100"/>
      <c r="F5" s="1111" t="s">
        <v>1942</v>
      </c>
      <c r="G5" s="1112"/>
      <c r="H5" s="1108">
        <f>IFERROR(H3/H4,0)</f>
        <v>1.4807547775039964</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73" t="s">
        <v>1940</v>
      </c>
      <c r="C8" s="2674"/>
      <c r="D8" s="2674"/>
      <c r="E8" s="2675"/>
      <c r="G8" s="2650" t="s">
        <v>1941</v>
      </c>
      <c r="H8" s="2651"/>
      <c r="I8" s="2652"/>
      <c r="K8" s="1058"/>
    </row>
    <row r="9" spans="1:13" ht="15" customHeight="1">
      <c r="A9" s="1047"/>
      <c r="B9" s="2671" t="s">
        <v>1974</v>
      </c>
      <c r="C9" s="2671"/>
      <c r="D9" s="2671"/>
      <c r="E9" s="1060">
        <f>G33</f>
        <v>13507499.999999998</v>
      </c>
      <c r="G9" s="2663" t="s">
        <v>1972</v>
      </c>
      <c r="H9" s="2663"/>
      <c r="I9" s="1061">
        <f>Application!AM554</f>
        <v>54869173</v>
      </c>
      <c r="K9" s="1062"/>
      <c r="M9" s="1063"/>
    </row>
    <row r="10" spans="1:13" ht="15" customHeight="1" thickBot="1">
      <c r="A10" s="1047"/>
      <c r="B10" s="2671" t="s">
        <v>1975</v>
      </c>
      <c r="C10" s="2671"/>
      <c r="D10" s="2671"/>
      <c r="E10" s="1061">
        <f>G47</f>
        <v>26565732</v>
      </c>
      <c r="G10" s="2677" t="s">
        <v>1943</v>
      </c>
      <c r="H10" s="2677"/>
      <c r="I10" s="1142">
        <f>'Basis &amp; Credits'!AB78</f>
        <v>0</v>
      </c>
      <c r="M10" s="1063"/>
    </row>
    <row r="11" spans="1:13" ht="15" customHeight="1">
      <c r="A11" s="1047"/>
      <c r="B11" s="2664" t="s">
        <v>2266</v>
      </c>
      <c r="C11" s="2665"/>
      <c r="D11" s="2666"/>
      <c r="E11" s="1061">
        <f>SUM(E12,E13)</f>
        <v>1900000</v>
      </c>
      <c r="G11" s="2662" t="s">
        <v>1983</v>
      </c>
      <c r="H11" s="2662"/>
      <c r="I11" s="1141">
        <f>I9+I10</f>
        <v>54869173</v>
      </c>
      <c r="M11" s="1063"/>
    </row>
    <row r="12" spans="1:13" ht="15" customHeight="1">
      <c r="A12" s="1064"/>
      <c r="B12" s="2672" t="s">
        <v>2268</v>
      </c>
      <c r="C12" s="2672"/>
      <c r="D12" s="2672"/>
      <c r="E12" s="1167">
        <f>G56</f>
        <v>0</v>
      </c>
      <c r="M12" s="1063"/>
    </row>
    <row r="13" spans="1:13" ht="15" customHeight="1">
      <c r="A13" s="1050"/>
      <c r="B13" s="2672" t="s">
        <v>2269</v>
      </c>
      <c r="C13" s="2672"/>
      <c r="D13" s="2672"/>
      <c r="E13" s="1167">
        <f>G65</f>
        <v>1900000</v>
      </c>
      <c r="G13" s="2650" t="s">
        <v>2007</v>
      </c>
      <c r="H13" s="2651"/>
      <c r="I13" s="2652"/>
      <c r="M13" s="1063"/>
    </row>
    <row r="14" spans="1:13" ht="15" customHeight="1">
      <c r="A14" s="1050"/>
      <c r="B14" s="2664" t="s">
        <v>2267</v>
      </c>
      <c r="C14" s="2665"/>
      <c r="D14" s="2666"/>
      <c r="E14" s="1169">
        <f>MAX(E15,E16)+E17</f>
        <v>26204549.999999996</v>
      </c>
      <c r="G14" s="2663" t="s">
        <v>139</v>
      </c>
      <c r="H14" s="2663"/>
      <c r="I14" s="1065">
        <f>15%*(AND(G120="Yes",G122&lt;&gt;""))</f>
        <v>0</v>
      </c>
      <c r="M14" s="1063"/>
    </row>
    <row r="15" spans="1:13" ht="15" customHeight="1">
      <c r="A15" s="1050"/>
      <c r="B15" s="2647" t="s">
        <v>2273</v>
      </c>
      <c r="C15" s="2648"/>
      <c r="D15" s="2649"/>
      <c r="E15" s="1167">
        <f>G80</f>
        <v>0</v>
      </c>
      <c r="G15" s="1139" t="s">
        <v>1984</v>
      </c>
      <c r="H15" s="1139"/>
      <c r="I15" s="1065">
        <f>IF(Application!AJ1032&gt;0,10%,IF(Application!AJ1036&gt;0,5%,0))</f>
        <v>0.1</v>
      </c>
      <c r="M15" s="1063"/>
    </row>
    <row r="16" spans="1:13" ht="15" customHeight="1">
      <c r="A16" s="1050"/>
      <c r="B16" s="2647" t="s">
        <v>2272</v>
      </c>
      <c r="C16" s="2648"/>
      <c r="D16" s="2649"/>
      <c r="E16" s="1167">
        <f>G90</f>
        <v>5403000</v>
      </c>
      <c r="G16" s="2663" t="s">
        <v>1985</v>
      </c>
      <c r="H16" s="2663"/>
      <c r="I16" s="1065">
        <f>G132</f>
        <v>6.0866013071895424E-2</v>
      </c>
    </row>
    <row r="17" spans="1:21" ht="15" customHeight="1" thickBot="1">
      <c r="A17" s="1050"/>
      <c r="B17" s="2647" t="s">
        <v>2271</v>
      </c>
      <c r="C17" s="2648"/>
      <c r="D17" s="2649"/>
      <c r="E17" s="1167">
        <f>G115</f>
        <v>20801549.999999996</v>
      </c>
      <c r="G17" s="2663" t="s">
        <v>2281</v>
      </c>
      <c r="H17" s="2663"/>
      <c r="I17" s="1065">
        <f>IF(AND(G139="Yes",OR(G136,G137)),IF(G143&gt;15%,15%,G143),0)</f>
        <v>0</v>
      </c>
    </row>
    <row r="18" spans="1:21" ht="15" customHeight="1">
      <c r="A18" s="1047"/>
      <c r="B18" s="2676" t="s">
        <v>1939</v>
      </c>
      <c r="C18" s="2676"/>
      <c r="D18" s="2676"/>
      <c r="E18" s="1113">
        <f>SUM(E9:E11,E14)</f>
        <v>68177782</v>
      </c>
      <c r="G18" s="1140" t="s">
        <v>1973</v>
      </c>
      <c r="H18" s="1140"/>
      <c r="I18" s="1114">
        <f>I11-((I11*I14)+(I11*I15)+(I11*I16)+(I11*I17))</f>
        <v>46042587.898937911</v>
      </c>
      <c r="M18" s="1066">
        <f>SUM(Cdlac[Quantity])</f>
        <v>239</v>
      </c>
      <c r="O18" s="1086" t="s">
        <v>583</v>
      </c>
      <c r="P18" s="1045">
        <f>MATCH(Application!T189,Application!CB160:CB217,0)</f>
        <v>19</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385</v>
      </c>
    </row>
    <row r="20" spans="1:21" ht="15" customHeight="1">
      <c r="B20" s="1067" t="str">
        <f>B9</f>
        <v>A. Unit Production Benefit</v>
      </c>
      <c r="C20" s="1068"/>
      <c r="D20" s="1068"/>
      <c r="E20" s="1068"/>
      <c r="F20" s="1068"/>
      <c r="G20" s="1068"/>
      <c r="H20" s="1068"/>
      <c r="I20" s="1069"/>
      <c r="L20" s="1045">
        <f>IFERROR(MIN(4,MATCH(Application!B718,UnitSizes,0)-1),"")</f>
        <v>0</v>
      </c>
      <c r="M20" s="1066">
        <f>Application!G718</f>
        <v>9</v>
      </c>
      <c r="N20" s="1072">
        <f>Application!AC718</f>
        <v>0.3</v>
      </c>
      <c r="O20" s="1072">
        <f>IF(Cdlac[[#This Row],[Quantity]]&gt;0,IF(Cdlac[[#This Row],[Federal]],30%,IF(AND(OR(NOT($G$38),$G$38=""),$G$43),40%,Cdlac[[#This Row],[iAMI]])),"")</f>
        <v>0.3</v>
      </c>
      <c r="P20" s="1066" cm="1">
        <f t="array" ref="P20">IF(Cdlac[[#This Row],[Quantity]]&gt;0,INDEX(TcacRents,$P$18,Cdlac[[#This Row],[Bedrooms]]+1)*Cdlac[[#This Row],[AMI]],"")</f>
        <v>727.8</v>
      </c>
      <c r="Q20" s="1166"/>
      <c r="R20" s="1066" cm="1">
        <f t="array" ref="R20">IF(Cdlac[[#This Row],[Quantity]]&gt;0,INDEX(HudFmrs,$P$18,Cdlac[[#This Row],[Bedrooms]]+1),"")</f>
        <v>1777</v>
      </c>
      <c r="S20" s="1066">
        <f>IF(Cdlac[[#This Row],[Quantity]]&gt;0,MAX(0,Cdlac[[#This Row],[Fair Market Rent]]-IF(AND($G$37,$G$38,$G$38&lt;&gt;"",NOT(Cdlac[[#This Row],[Federal]]),Cdlac[[#This Row],[Preservation Rent]]&lt;&gt;""),Cdlac[[#This Row],[Preservation Rent]],Cdlac[[#This Row],[Restricted Rent]])),"")</f>
        <v>1049.2</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0</v>
      </c>
      <c r="M21" s="1066">
        <f>Application!G719</f>
        <v>12</v>
      </c>
      <c r="N21" s="1072">
        <f>Application!AC719</f>
        <v>0.8</v>
      </c>
      <c r="O21" s="1072">
        <f>IF(Cdlac[[#This Row],[Quantity]]&gt;0,IF(Cdlac[[#This Row],[Federal]],30%,IF(AND(OR(NOT($G$38),$G$38=""),$G$43),40%,Cdlac[[#This Row],[iAMI]])),"")</f>
        <v>0.8</v>
      </c>
      <c r="P21" s="1066" cm="1">
        <f t="array" ref="P21">IF(Cdlac[[#This Row],[Quantity]]&gt;0,INDEX(TcacRents,$P$18,Cdlac[[#This Row],[Bedrooms]]+1)*Cdlac[[#This Row],[AMI]],"")</f>
        <v>1940.8000000000002</v>
      </c>
      <c r="Q21" s="1166"/>
      <c r="R21" s="1066" cm="1">
        <f t="array" ref="R21">IF(Cdlac[[#This Row],[Quantity]]&gt;0,INDEX(HudFmrs,$P$18,Cdlac[[#This Row],[Bedrooms]]+1),"")</f>
        <v>1777</v>
      </c>
      <c r="S21" s="1066">
        <f>IF(Cdlac[[#This Row],[Quantity]]&gt;0,MAX(0,Cdlac[[#This Row],[Fair Market Rent]]-IF(AND($G$37,$G$38,$G$38&lt;&gt;"",NOT(Cdlac[[#This Row],[Federal]]),Cdlac[[#This Row],[Preservation Rent]]&lt;&gt;""),Cdlac[[#This Row],[Preservation Rent]],Cdlac[[#This Row],[Restricted Rent]])),"")</f>
        <v>0</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54" t="s">
        <v>1987</v>
      </c>
      <c r="D22" s="2654" t="s">
        <v>1988</v>
      </c>
      <c r="E22" s="2654" t="s">
        <v>1989</v>
      </c>
      <c r="F22" s="2654" t="s">
        <v>1990</v>
      </c>
      <c r="G22" s="2654" t="s">
        <v>1986</v>
      </c>
      <c r="H22" s="1071"/>
      <c r="I22" s="1070"/>
      <c r="L22" s="1045">
        <f>IFERROR(MIN(4,MATCH(Application!B720,UnitSizes,0)-1),"")</f>
        <v>1</v>
      </c>
      <c r="M22" s="1066">
        <f>Application!G720</f>
        <v>60</v>
      </c>
      <c r="N22" s="1072">
        <f>Application!AC720</f>
        <v>0.3</v>
      </c>
      <c r="O22" s="1072">
        <f>IF(Cdlac[[#This Row],[Quantity]]&gt;0,IF(Cdlac[[#This Row],[Federal]],30%,IF(AND(OR(NOT($G$38),$G$38=""),$G$43),40%,Cdlac[[#This Row],[iAMI]])),"")</f>
        <v>0.3</v>
      </c>
      <c r="P22" s="1066" cm="1">
        <f t="array" ref="P22">IF(Cdlac[[#This Row],[Quantity]]&gt;0,INDEX(TcacRents,$P$18,Cdlac[[#This Row],[Bedrooms]]+1)*Cdlac[[#This Row],[AMI]],"")</f>
        <v>780</v>
      </c>
      <c r="Q22" s="1166"/>
      <c r="R22" s="1066" cm="1">
        <f t="array" ref="R22">IF(Cdlac[[#This Row],[Quantity]]&gt;0,INDEX(HudFmrs,$P$18,Cdlac[[#This Row],[Bedrooms]]+1),"")</f>
        <v>2006</v>
      </c>
      <c r="S22" s="1066">
        <f>IF(Cdlac[[#This Row],[Quantity]]&gt;0,MAX(0,Cdlac[[#This Row],[Fair Market Rent]]-IF(AND($G$37,$G$38,$G$38&lt;&gt;"",NOT(Cdlac[[#This Row],[Federal]]),Cdlac[[#This Row],[Preservation Rent]]&lt;&gt;""),Cdlac[[#This Row],[Preservation Rent]],Cdlac[[#This Row],[Restricted Rent]])),"")</f>
        <v>1226</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55"/>
      <c r="D23" s="2655"/>
      <c r="E23" s="2655"/>
      <c r="F23" s="2655"/>
      <c r="G23" s="2655"/>
      <c r="H23" s="1071"/>
      <c r="I23" s="1070"/>
      <c r="L23" s="1045">
        <f>IFERROR(MIN(4,MATCH(Application!B721,UnitSizes,0)-1),"")</f>
        <v>1</v>
      </c>
      <c r="M23" s="1066">
        <f>Application!G721</f>
        <v>73</v>
      </c>
      <c r="N23" s="1072">
        <f>Application!AC721</f>
        <v>0.8</v>
      </c>
      <c r="O23" s="1072">
        <f>IF(Cdlac[[#This Row],[Quantity]]&gt;0,IF(Cdlac[[#This Row],[Federal]],30%,IF(AND(OR(NOT($G$38),$G$38=""),$G$43),40%,Cdlac[[#This Row],[iAMI]])),"")</f>
        <v>0.8</v>
      </c>
      <c r="P23" s="1066" cm="1">
        <f t="array" ref="P23">IF(Cdlac[[#This Row],[Quantity]]&gt;0,INDEX(TcacRents,$P$18,Cdlac[[#This Row],[Bedrooms]]+1)*Cdlac[[#This Row],[AMI]],"")</f>
        <v>2080</v>
      </c>
      <c r="Q23" s="1166"/>
      <c r="R23" s="1066" cm="1">
        <f t="array" ref="R23">IF(Cdlac[[#This Row],[Quantity]]&gt;0,INDEX(HudFmrs,$P$18,Cdlac[[#This Row],[Bedrooms]]+1),"")</f>
        <v>2006</v>
      </c>
      <c r="S23" s="1066">
        <f>IF(Cdlac[[#This Row],[Quantity]]&gt;0,MAX(0,Cdlac[[#This Row],[Fair Market Rent]]-IF(AND($G$37,$G$38,$G$38&lt;&gt;"",NOT(Cdlac[[#This Row],[Federal]]),Cdlac[[#This Row],[Preservation Rent]]&lt;&gt;""),Cdlac[[#This Row],[Preservation Rent]],Cdlac[[#This Row],[Restricted Rent]])),"")</f>
        <v>0</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21</v>
      </c>
      <c r="F24" s="1073">
        <f>E24</f>
        <v>21</v>
      </c>
      <c r="G24" s="1073">
        <f>D24*F24</f>
        <v>18.900000000000002</v>
      </c>
      <c r="L24" s="1045">
        <f>IFERROR(MIN(4,MATCH(Application!B722,UnitSizes,0)-1),"")</f>
        <v>2</v>
      </c>
      <c r="M24" s="1066">
        <f>Application!G722</f>
        <v>13</v>
      </c>
      <c r="N24" s="1072">
        <f>Application!AC722</f>
        <v>0.3</v>
      </c>
      <c r="O24" s="1072">
        <f>IF(Cdlac[[#This Row],[Quantity]]&gt;0,IF(Cdlac[[#This Row],[Federal]],30%,IF(AND(OR(NOT($G$38),$G$38=""),$G$43),40%,Cdlac[[#This Row],[iAMI]])),"")</f>
        <v>0.3</v>
      </c>
      <c r="P24" s="1066" cm="1">
        <f t="array" ref="P24">IF(Cdlac[[#This Row],[Quantity]]&gt;0,INDEX(TcacRents,$P$18,Cdlac[[#This Row],[Bedrooms]]+1)*Cdlac[[#This Row],[AMI]],"")</f>
        <v>936</v>
      </c>
      <c r="Q24" s="1166"/>
      <c r="R24" s="1066" cm="1">
        <f t="array" ref="R24">IF(Cdlac[[#This Row],[Quantity]]&gt;0,INDEX(HudFmrs,$P$18,Cdlac[[#This Row],[Bedrooms]]+1),"")</f>
        <v>2544</v>
      </c>
      <c r="S24" s="1066">
        <f>IF(Cdlac[[#This Row],[Quantity]]&gt;0,MAX(0,Cdlac[[#This Row],[Fair Market Rent]]-IF(AND($G$37,$G$38,$G$38&lt;&gt;"",NOT(Cdlac[[#This Row],[Federal]]),Cdlac[[#This Row],[Preservation Rent]]&lt;&gt;""),Cdlac[[#This Row],[Preservation Rent]],Cdlac[[#This Row],[Restricted Rent]])),"")</f>
        <v>1608</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133</v>
      </c>
      <c r="F25" s="1073">
        <f>E25</f>
        <v>133</v>
      </c>
      <c r="G25" s="1073">
        <f>D25*F25</f>
        <v>133</v>
      </c>
      <c r="L25" s="1045">
        <f>IFERROR(MIN(4,MATCH(Application!B723,UnitSizes,0)-1),"")</f>
        <v>2</v>
      </c>
      <c r="M25" s="1066">
        <f>Application!G723</f>
        <v>1</v>
      </c>
      <c r="N25" s="1072">
        <f>Application!AC723</f>
        <v>0.5</v>
      </c>
      <c r="O25" s="1072">
        <f>IF(Cdlac[[#This Row],[Quantity]]&gt;0,IF(Cdlac[[#This Row],[Federal]],30%,IF(AND(OR(NOT($G$38),$G$38=""),$G$43),40%,Cdlac[[#This Row],[iAMI]])),"")</f>
        <v>0.5</v>
      </c>
      <c r="P25" s="1066" cm="1">
        <f t="array" ref="P25">IF(Cdlac[[#This Row],[Quantity]]&gt;0,INDEX(TcacRents,$P$18,Cdlac[[#This Row],[Bedrooms]]+1)*Cdlac[[#This Row],[AMI]],"")</f>
        <v>1560</v>
      </c>
      <c r="Q25" s="1166"/>
      <c r="R25" s="1066" cm="1">
        <f t="array" ref="R25">IF(Cdlac[[#This Row],[Quantity]]&gt;0,INDEX(HudFmrs,$P$18,Cdlac[[#This Row],[Bedrooms]]+1),"")</f>
        <v>2544</v>
      </c>
      <c r="S25" s="1066">
        <f>IF(Cdlac[[#This Row],[Quantity]]&gt;0,MAX(0,Cdlac[[#This Row],[Fair Market Rent]]-IF(AND($G$37,$G$38,$G$38&lt;&gt;"",NOT(Cdlac[[#This Row],[Federal]]),Cdlac[[#This Row],[Preservation Rent]]&lt;&gt;""),Cdlac[[#This Row],[Preservation Rent]],Cdlac[[#This Row],[Restricted Rent]])),"")</f>
        <v>984</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37</v>
      </c>
      <c r="F26" s="1076">
        <f>SUM(E26:E28)-SUM(F27:F28)</f>
        <v>37</v>
      </c>
      <c r="G26" s="1073">
        <f>D26*F26</f>
        <v>46.25</v>
      </c>
      <c r="H26" s="1075"/>
      <c r="I26" s="1075"/>
      <c r="L26" s="1045">
        <f>IFERROR(MIN(4,MATCH(Application!B724,UnitSizes,0)-1),"")</f>
        <v>2</v>
      </c>
      <c r="M26" s="1066">
        <f>Application!G724</f>
        <v>23</v>
      </c>
      <c r="N26" s="1072">
        <f>Application!AC724</f>
        <v>0.8</v>
      </c>
      <c r="O26" s="1072">
        <f>IF(Cdlac[[#This Row],[Quantity]]&gt;0,IF(Cdlac[[#This Row],[Federal]],30%,IF(AND(OR(NOT($G$38),$G$38=""),$G$43),40%,Cdlac[[#This Row],[iAMI]])),"")</f>
        <v>0.8</v>
      </c>
      <c r="P26" s="1066" cm="1">
        <f t="array" ref="P26">IF(Cdlac[[#This Row],[Quantity]]&gt;0,INDEX(TcacRents,$P$18,Cdlac[[#This Row],[Bedrooms]]+1)*Cdlac[[#This Row],[AMI]],"")</f>
        <v>2496</v>
      </c>
      <c r="Q26" s="1166"/>
      <c r="R26" s="1066" cm="1">
        <f t="array" ref="R26">IF(Cdlac[[#This Row],[Quantity]]&gt;0,INDEX(HudFmrs,$P$18,Cdlac[[#This Row],[Bedrooms]]+1),"")</f>
        <v>2544</v>
      </c>
      <c r="S26" s="1066">
        <f>IF(Cdlac[[#This Row],[Quantity]]&gt;0,MAX(0,Cdlac[[#This Row],[Fair Market Rent]]-IF(AND($G$37,$G$38,$G$38&lt;&gt;"",NOT(Cdlac[[#This Row],[Federal]]),Cdlac[[#This Row],[Preservation Rent]]&lt;&gt;""),Cdlac[[#This Row],[Preservation Rent]],Cdlac[[#This Row],[Restricted Rent]])),"")</f>
        <v>48</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48</v>
      </c>
      <c r="F27" s="1076">
        <f>MIN(E27,ROUNDDOWN(E29*30%,0))</f>
        <v>48</v>
      </c>
      <c r="G27" s="1073">
        <f>D27*F27</f>
        <v>72</v>
      </c>
      <c r="H27" s="1075"/>
      <c r="I27" s="1075"/>
      <c r="L27" s="1045">
        <f>IFERROR(MIN(4,MATCH(Application!B725,UnitSizes,0)-1),"")</f>
        <v>3</v>
      </c>
      <c r="M27" s="1066">
        <f>Application!G725</f>
        <v>13</v>
      </c>
      <c r="N27" s="1072">
        <f>Application!AC725</f>
        <v>0.3</v>
      </c>
      <c r="O27" s="1072">
        <f>IF(Cdlac[[#This Row],[Quantity]]&gt;0,IF(Cdlac[[#This Row],[Federal]],30%,IF(AND(OR(NOT($G$38),$G$38=""),$G$43),40%,Cdlac[[#This Row],[iAMI]])),"")</f>
        <v>0.3</v>
      </c>
      <c r="P27" s="1066" cm="1">
        <f t="array" ref="P27">IF(Cdlac[[#This Row],[Quantity]]&gt;0,INDEX(TcacRents,$P$18,Cdlac[[#This Row],[Bedrooms]]+1)*Cdlac[[#This Row],[AMI]],"")</f>
        <v>1081.8</v>
      </c>
      <c r="Q27" s="1166"/>
      <c r="R27" s="1066" cm="1">
        <f t="array" ref="R27">IF(Cdlac[[#This Row],[Quantity]]&gt;0,INDEX(HudFmrs,$P$18,Cdlac[[#This Row],[Bedrooms]]+1),"")</f>
        <v>3263</v>
      </c>
      <c r="S27" s="1066">
        <f>IF(Cdlac[[#This Row],[Quantity]]&gt;0,MAX(0,Cdlac[[#This Row],[Fair Market Rent]]-IF(AND($G$37,$G$38,$G$38&lt;&gt;"",NOT(Cdlac[[#This Row],[Federal]]),Cdlac[[#This Row],[Preservation Rent]]&lt;&gt;""),Cdlac[[#This Row],[Preservation Rent]],Cdlac[[#This Row],[Restricted Rent]])),"")</f>
        <v>2181.1999999999998</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3</v>
      </c>
      <c r="M28" s="1066">
        <f>Application!G726</f>
        <v>35</v>
      </c>
      <c r="N28" s="1072">
        <f>Application!AC726</f>
        <v>0.8</v>
      </c>
      <c r="O28" s="1072">
        <f>IF(Cdlac[[#This Row],[Quantity]]&gt;0,IF(Cdlac[[#This Row],[Federal]],30%,IF(AND(OR(NOT($G$38),$G$38=""),$G$43),40%,Cdlac[[#This Row],[iAMI]])),"")</f>
        <v>0.8</v>
      </c>
      <c r="P28" s="1066" cm="1">
        <f t="array" ref="P28">IF(Cdlac[[#This Row],[Quantity]]&gt;0,INDEX(TcacRents,$P$18,Cdlac[[#This Row],[Bedrooms]]+1)*Cdlac[[#This Row],[AMI]],"")</f>
        <v>2884.8</v>
      </c>
      <c r="Q28" s="1166"/>
      <c r="R28" s="1066" cm="1">
        <f t="array" ref="R28">IF(Cdlac[[#This Row],[Quantity]]&gt;0,INDEX(HudFmrs,$P$18,Cdlac[[#This Row],[Bedrooms]]+1),"")</f>
        <v>3263</v>
      </c>
      <c r="S28" s="1066">
        <f>IF(Cdlac[[#This Row],[Quantity]]&gt;0,MAX(0,Cdlac[[#This Row],[Fair Market Rent]]-IF(AND($G$37,$G$38,$G$38&lt;&gt;"",NOT(Cdlac[[#This Row],[Federal]]),Cdlac[[#This Row],[Preservation Rent]]&lt;&gt;""),Cdlac[[#This Row],[Preservation Rent]],Cdlac[[#This Row],[Restricted Rent]])),"")</f>
        <v>378.19999999999982</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56" t="s">
        <v>1586</v>
      </c>
      <c r="D29" s="2657"/>
      <c r="E29" s="1091">
        <f>SUM(E24:E28)</f>
        <v>239</v>
      </c>
      <c r="F29" s="1091">
        <f>SUM(F24:F28)</f>
        <v>239</v>
      </c>
      <c r="G29" s="1092">
        <f>SUMPRODUCT(D24:D28,F24:F28)</f>
        <v>270.14999999999998</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270.14999999999998</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13507499.999999998</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59" t="str">
        <f>IF(AND(G37,G38,G38&lt;&gt;""),"Enter the average rent charged for each unit type over the last three years, as documented with rent rolls or property audits, in cells Q20:Q44","")</f>
        <v/>
      </c>
      <c r="D39" s="2659"/>
      <c r="E39" s="2659"/>
      <c r="F39" s="2659"/>
      <c r="G39" s="2659"/>
      <c r="H39" s="2659"/>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59"/>
      <c r="D40" s="2659"/>
      <c r="E40" s="2659"/>
      <c r="F40" s="2659"/>
      <c r="G40" s="2659"/>
      <c r="H40" s="2659"/>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59"/>
      <c r="D41" s="2659"/>
      <c r="E41" s="2659"/>
      <c r="F41" s="2659"/>
      <c r="G41" s="2659"/>
      <c r="H41" s="2659"/>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0.60000000000000009</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147587.4</v>
      </c>
    </row>
    <row r="46" spans="1:21" ht="15" customHeight="1">
      <c r="E46" s="1119" t="s">
        <v>2006</v>
      </c>
      <c r="F46" s="1115" t="s">
        <v>1994</v>
      </c>
      <c r="G46" s="1123">
        <f>12*15</f>
        <v>180</v>
      </c>
    </row>
    <row r="47" spans="1:21" ht="15" customHeight="1">
      <c r="E47" s="1124" t="s">
        <v>1944</v>
      </c>
      <c r="F47" s="1047"/>
      <c r="G47" s="1125">
        <f>G45*G46</f>
        <v>26565732</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119</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95</v>
      </c>
    </row>
    <row r="61" spans="2:9" ht="15" customHeight="1">
      <c r="E61" s="1119" t="s">
        <v>1996</v>
      </c>
      <c r="G61" s="1080">
        <f>ROUNDDOWN(E29*50%,0)</f>
        <v>119</v>
      </c>
    </row>
    <row r="62" spans="2:9" ht="15" customHeight="1">
      <c r="E62" s="1119"/>
      <c r="G62" s="1080"/>
    </row>
    <row r="63" spans="2:9" ht="15" customHeight="1">
      <c r="E63" s="1119" t="s">
        <v>1955</v>
      </c>
      <c r="G63" s="1116">
        <f>MIN(G60:G61)</f>
        <v>95</v>
      </c>
    </row>
    <row r="64" spans="2:9" ht="15" customHeight="1">
      <c r="E64" s="1119" t="s">
        <v>1945</v>
      </c>
      <c r="F64" s="1115" t="s">
        <v>1994</v>
      </c>
      <c r="G64" s="1126">
        <v>20000</v>
      </c>
    </row>
    <row r="65" spans="2:14" ht="15" customHeight="1">
      <c r="E65" s="1120" t="s">
        <v>1977</v>
      </c>
      <c r="F65" s="1047"/>
      <c r="G65" s="1125">
        <f>G63*G64</f>
        <v>1900000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546</v>
      </c>
    </row>
    <row r="70" spans="2:14" ht="15" customHeight="1">
      <c r="C70" s="1078" t="s">
        <v>1982</v>
      </c>
      <c r="G70" s="1082" t="str">
        <f>IF(Application!D211="Large Family","Yes","No")</f>
        <v>No</v>
      </c>
    </row>
    <row r="71" spans="2:14" ht="15" customHeight="1" thickBot="1">
      <c r="C71" s="1078" t="s">
        <v>1968</v>
      </c>
      <c r="G71" s="1044" t="s">
        <v>670</v>
      </c>
    </row>
    <row r="72" spans="2:14" ht="15" customHeight="1">
      <c r="C72" s="1078" t="s">
        <v>1969</v>
      </c>
      <c r="G72" s="1045" t="str">
        <f>Application!T193</f>
        <v>Low Resource</v>
      </c>
      <c r="L72" s="2667" t="s">
        <v>1970</v>
      </c>
      <c r="M72" s="2668"/>
      <c r="N72" s="1133">
        <v>30000</v>
      </c>
    </row>
    <row r="73" spans="2:14" ht="15" customHeight="1">
      <c r="C73" s="2669" t="s">
        <v>2265</v>
      </c>
      <c r="D73" s="2669"/>
      <c r="E73" s="2669"/>
      <c r="F73" s="2669"/>
      <c r="G73" s="1044" t="s">
        <v>670</v>
      </c>
      <c r="L73" s="2678" t="s">
        <v>1938</v>
      </c>
      <c r="M73" s="2679"/>
      <c r="N73" s="1134">
        <v>20000</v>
      </c>
    </row>
    <row r="74" spans="2:14" ht="15" customHeight="1" thickBot="1">
      <c r="C74" s="2669"/>
      <c r="D74" s="2669"/>
      <c r="E74" s="2669"/>
      <c r="F74" s="2669"/>
      <c r="L74" s="2680" t="s">
        <v>1971</v>
      </c>
      <c r="M74" s="2681"/>
      <c r="N74" s="1135">
        <v>10000</v>
      </c>
    </row>
    <row r="75" spans="2:14" ht="15" customHeight="1">
      <c r="C75" s="1078"/>
    </row>
    <row r="76" spans="2:14" ht="15" customHeight="1">
      <c r="E76" s="1086" t="s">
        <v>2001</v>
      </c>
      <c r="G76" s="1080" t="b">
        <f>OR(AND(COUNTIFS(G70:G71,"Yes")&gt;=1,G69="Yes"),G73="Yes")</f>
        <v>0</v>
      </c>
    </row>
    <row r="77" spans="2:14" ht="15" customHeight="1">
      <c r="E77" s="1086"/>
      <c r="G77" s="1080"/>
    </row>
    <row r="78" spans="2:14" ht="15" customHeight="1">
      <c r="E78" s="1086" t="s">
        <v>1945</v>
      </c>
      <c r="G78" s="1079">
        <f>IFERROR(IF($G$73="Yes",30000,INDEX(N72:N74,MATCH(LEFT(G72,17),L72:L74,0))),0)</f>
        <v>0</v>
      </c>
    </row>
    <row r="79" spans="2:14" ht="15" customHeight="1">
      <c r="E79" s="1086" t="str">
        <f>E96</f>
        <v>Bedroom-Adjusted Low-Income Units</v>
      </c>
      <c r="F79" s="1115" t="s">
        <v>1994</v>
      </c>
      <c r="G79" s="1116">
        <f>G29</f>
        <v>270.14999999999998</v>
      </c>
    </row>
    <row r="80" spans="2:14" ht="15" customHeight="1">
      <c r="D80" s="1047"/>
      <c r="E80" s="1120" t="s">
        <v>2270</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546</v>
      </c>
    </row>
    <row r="85" spans="2:9" ht="15" customHeight="1">
      <c r="F85" s="1118"/>
    </row>
    <row r="86" spans="2:9" ht="15" customHeight="1">
      <c r="E86" s="1086" t="s">
        <v>2001</v>
      </c>
      <c r="G86" s="1080" t="b">
        <f>G84="Yes"</f>
        <v>1</v>
      </c>
    </row>
    <row r="87" spans="2:9" ht="15" customHeight="1"/>
    <row r="88" spans="2:9" ht="15" customHeight="1">
      <c r="E88" s="1086" t="str">
        <f>E96</f>
        <v>Bedroom-Adjusted Low-Income Units</v>
      </c>
      <c r="G88" s="1116">
        <f>G29</f>
        <v>270.14999999999998</v>
      </c>
    </row>
    <row r="89" spans="2:9" ht="15" customHeight="1">
      <c r="E89" s="1086" t="s">
        <v>1945</v>
      </c>
      <c r="F89" s="1115" t="s">
        <v>1994</v>
      </c>
      <c r="G89" s="1051">
        <v>20000</v>
      </c>
    </row>
    <row r="90" spans="2:9" ht="15" customHeight="1">
      <c r="E90" s="1120" t="s">
        <v>2274</v>
      </c>
      <c r="F90" s="1047"/>
      <c r="G90" s="1125">
        <f>G86*G89*G88</f>
        <v>5403000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7</v>
      </c>
    </row>
    <row r="95" spans="2:9" ht="15" customHeight="1">
      <c r="E95" s="1086" t="s">
        <v>1945</v>
      </c>
      <c r="F95" s="1115" t="s">
        <v>1994</v>
      </c>
      <c r="G95" s="1077">
        <v>4000</v>
      </c>
    </row>
    <row r="96" spans="2:9" ht="15" customHeight="1" thickBot="1">
      <c r="E96" s="1086" t="s">
        <v>1998</v>
      </c>
      <c r="F96" s="1115" t="s">
        <v>1994</v>
      </c>
      <c r="G96" s="1128">
        <f>G29</f>
        <v>270.14999999999998</v>
      </c>
    </row>
    <row r="97" spans="2:14" ht="15" customHeight="1">
      <c r="E97" s="1120" t="s">
        <v>1962</v>
      </c>
      <c r="F97" s="1047"/>
      <c r="G97" s="1125">
        <f>G94*G95*G96</f>
        <v>7564199.9999999991</v>
      </c>
      <c r="L97" s="1129" t="str">
        <f>'Points System'!H638</f>
        <v>(i)</v>
      </c>
      <c r="M97" s="2686" t="s">
        <v>1405</v>
      </c>
      <c r="N97" s="2687"/>
    </row>
    <row r="98" spans="2:14" ht="15" customHeight="1">
      <c r="C98" s="1078"/>
      <c r="G98" s="1116"/>
      <c r="L98" s="1130" t="str">
        <f>'Points System'!H650</f>
        <v>(i)</v>
      </c>
      <c r="M98" s="2682" t="s">
        <v>1957</v>
      </c>
      <c r="N98" s="2683"/>
    </row>
    <row r="99" spans="2:14" ht="15" customHeight="1">
      <c r="E99" s="1086" t="s">
        <v>1999</v>
      </c>
      <c r="G99" s="1128">
        <f>COUNTIFS(L97:L104,"(i)")</f>
        <v>6</v>
      </c>
      <c r="L99" s="1130" t="str">
        <f>'Points System'!H685</f>
        <v>(i)</v>
      </c>
      <c r="M99" s="2682" t="s">
        <v>1958</v>
      </c>
      <c r="N99" s="2683"/>
    </row>
    <row r="100" spans="2:14" ht="15" customHeight="1">
      <c r="E100" s="1086" t="s">
        <v>1945</v>
      </c>
      <c r="F100" s="1115" t="s">
        <v>1994</v>
      </c>
      <c r="G100" s="1126">
        <v>4000</v>
      </c>
      <c r="L100" s="1130" t="str">
        <f>IF(OR('Points System'!H709="(ii)",'Points System'!H709="(i)"),"(i)","N/A")</f>
        <v>(i)</v>
      </c>
      <c r="M100" s="2682" t="s">
        <v>1959</v>
      </c>
      <c r="N100" s="2683"/>
    </row>
    <row r="101" spans="2:14" ht="15" customHeight="1">
      <c r="E101" s="1120" t="s">
        <v>1963</v>
      </c>
      <c r="F101" s="1047"/>
      <c r="G101" s="1125">
        <f>G96*G99*G100</f>
        <v>6483599.9999999991</v>
      </c>
      <c r="L101" s="1131" t="str">
        <f>'Points System'!H723</f>
        <v>N/A</v>
      </c>
      <c r="M101" s="2682" t="s">
        <v>1431</v>
      </c>
      <c r="N101" s="2683"/>
    </row>
    <row r="102" spans="2:14" ht="15" customHeight="1">
      <c r="L102" s="1130" t="str">
        <f>'Points System'!H735</f>
        <v>N/A</v>
      </c>
      <c r="M102" s="2682" t="s">
        <v>1960</v>
      </c>
      <c r="N102" s="2683"/>
    </row>
    <row r="103" spans="2:14" ht="15" customHeight="1">
      <c r="C103" s="1081" t="s">
        <v>1965</v>
      </c>
      <c r="L103" s="1130" t="str">
        <f>'Points System'!H751</f>
        <v>(i)</v>
      </c>
      <c r="M103" s="2682" t="s">
        <v>1961</v>
      </c>
      <c r="N103" s="2683"/>
    </row>
    <row r="104" spans="2:14" ht="15" customHeight="1" thickBot="1">
      <c r="C104" s="1078" t="s">
        <v>1966</v>
      </c>
      <c r="G104" s="1044"/>
      <c r="L104" s="1132" t="str">
        <f>'Points System'!H763</f>
        <v>(i)</v>
      </c>
      <c r="M104" s="2684" t="s">
        <v>1434</v>
      </c>
      <c r="N104" s="2685"/>
    </row>
    <row r="105" spans="2:14" ht="15" customHeight="1">
      <c r="C105" s="1078" t="s">
        <v>1967</v>
      </c>
      <c r="G105" s="1044"/>
    </row>
    <row r="106" spans="2:14" ht="15" customHeight="1">
      <c r="C106" s="1078" t="s">
        <v>2141</v>
      </c>
      <c r="G106" s="1044" t="s">
        <v>546</v>
      </c>
    </row>
    <row r="107" spans="2:14" ht="15" customHeight="1">
      <c r="C107" s="1078" t="s">
        <v>2142</v>
      </c>
      <c r="G107" s="1044"/>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270.14999999999998</v>
      </c>
    </row>
    <row r="112" spans="2:14" ht="15" customHeight="1">
      <c r="E112" s="1086" t="s">
        <v>1945</v>
      </c>
      <c r="F112" s="1115" t="s">
        <v>1994</v>
      </c>
      <c r="G112" s="1126">
        <v>25000</v>
      </c>
    </row>
    <row r="113" spans="2:9" ht="15" customHeight="1">
      <c r="E113" s="1120" t="s">
        <v>1964</v>
      </c>
      <c r="F113" s="1047"/>
      <c r="G113" s="1125">
        <f>G109*G112*G96</f>
        <v>6753749.9999999991</v>
      </c>
    </row>
    <row r="114" spans="2:9" ht="15" customHeight="1">
      <c r="C114" s="1078"/>
      <c r="E114" s="1078"/>
    </row>
    <row r="115" spans="2:9" ht="15" customHeight="1">
      <c r="E115" s="1120" t="s">
        <v>2275</v>
      </c>
      <c r="G115" s="1125">
        <f>G113+G101+G97</f>
        <v>20801549.999999996</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58" t="s">
        <v>2230</v>
      </c>
      <c r="D119" s="2658"/>
      <c r="E119" s="2658"/>
      <c r="F119" s="2658"/>
    </row>
    <row r="120" spans="2:9" ht="15" customHeight="1">
      <c r="C120" s="2658"/>
      <c r="D120" s="2658"/>
      <c r="E120" s="2658"/>
      <c r="F120" s="2658"/>
      <c r="G120" s="1044"/>
    </row>
    <row r="121" spans="2:9" ht="15" customHeight="1"/>
    <row r="122" spans="2:9" ht="15" customHeight="1">
      <c r="C122" s="1045" t="s">
        <v>2232</v>
      </c>
      <c r="G122" s="2660"/>
      <c r="H122" s="2660"/>
    </row>
    <row r="123" spans="2:9" ht="15" customHeight="1">
      <c r="G123" s="2660"/>
      <c r="H123" s="2660"/>
    </row>
    <row r="124" spans="2:9" ht="15" customHeight="1">
      <c r="G124" s="2661"/>
      <c r="H124" s="2661"/>
    </row>
    <row r="125" spans="2:9" ht="15" customHeight="1">
      <c r="G125" s="1162"/>
      <c r="H125" s="1162"/>
    </row>
    <row r="126" spans="2:9" ht="15" customHeight="1">
      <c r="B126" s="1067" t="s">
        <v>2003</v>
      </c>
      <c r="C126" s="1068"/>
      <c r="D126" s="1068"/>
      <c r="E126" s="1068"/>
      <c r="F126" s="1068"/>
      <c r="G126" s="1068"/>
      <c r="H126" s="1068"/>
      <c r="I126" s="1069"/>
    </row>
    <row r="128" spans="2:9">
      <c r="E128" s="1086" t="s">
        <v>583</v>
      </c>
      <c r="G128" s="1045" t="str">
        <f>IF(Application!T189="","",Application!T189)</f>
        <v>Los Angeles</v>
      </c>
    </row>
    <row r="129" spans="2:9">
      <c r="E129" s="1086"/>
      <c r="G129" s="1079"/>
    </row>
    <row r="130" spans="2:9">
      <c r="E130" s="1086" t="str">
        <f>"2-Bedroom "&amp;G128&amp;" County Basis Limit"</f>
        <v>2-Bedroom Los Angeles County Basis Limit</v>
      </c>
      <c r="G130" s="1079">
        <f>Application!R988</f>
        <v>608800</v>
      </c>
    </row>
    <row r="131" spans="2:9">
      <c r="E131" s="1086" t="s">
        <v>2002</v>
      </c>
      <c r="G131" s="1079">
        <f>MEDIAN((Application!CU160:CU217))</f>
        <v>489600</v>
      </c>
    </row>
    <row r="132" spans="2:9">
      <c r="D132" s="1047"/>
      <c r="E132" s="1120" t="s">
        <v>2004</v>
      </c>
      <c r="F132" s="1136"/>
      <c r="G132" s="1137">
        <f>((G130-G131)/G131)*0.25</f>
        <v>6.0866013071895424E-2</v>
      </c>
      <c r="H132" s="1043"/>
      <c r="I132" s="1043"/>
    </row>
    <row r="133" spans="2:9">
      <c r="D133" s="1046"/>
      <c r="E133" s="1046"/>
    </row>
    <row r="134" spans="2:9">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0</v>
      </c>
    </row>
    <row r="138" spans="2:9">
      <c r="C138" s="2653" t="s">
        <v>2278</v>
      </c>
      <c r="D138" s="2653"/>
      <c r="E138" s="2653"/>
      <c r="F138" s="2653"/>
    </row>
    <row r="139" spans="2:9">
      <c r="B139" s="1046"/>
      <c r="C139" s="2653"/>
      <c r="D139" s="2653"/>
      <c r="E139" s="2653"/>
      <c r="F139" s="2653"/>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8230375.9499999993</v>
      </c>
    </row>
  </sheetData>
  <sheetProtection algorithmName="SHA-512" hashValue="Id3LrsuOrZRBhHLTIFQMM5Ky40RDCDGi6cc3bVlJaFrmlW2lTQrJQOjaXLkOZU6T3VfD57NxwERe0B3V1UdmtA==" saltValue="32FuILV5qZk3amugm/Yhbg=="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6" type="noConversion"/>
  <conditionalFormatting sqref="G38">
    <cfRule type="expression" dxfId="5" priority="1">
      <formula>NOT($G$37)</formula>
    </cfRule>
  </conditionalFormatting>
  <conditionalFormatting sqref="L20:U44">
    <cfRule type="expression" dxfId="4" priority="4">
      <formula>$M20=0</formula>
    </cfRule>
  </conditionalFormatting>
  <conditionalFormatting sqref="Q20:Q44">
    <cfRule type="expression" dxfId="3" priority="2">
      <formula>NOT($G$37)</formula>
    </cfRule>
    <cfRule type="expression" dxfId="2" priority="3">
      <formula>AND($G$37,$G$38,$G$38&lt;&gt;"")</formula>
    </cfRule>
  </conditionalFormatting>
  <conditionalFormatting sqref="U20:U44">
    <cfRule type="cellIs" dxfId="1"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80" firstPageNumber="43" orientation="portrait" useFirstPageNumber="1" r:id="rId1"/>
  <headerFooter>
    <oddFooter>&amp;C&amp;P</oddFooter>
  </headerFooter>
  <rowBreaks count="1" manualBreakCount="1">
    <brk id="91" max="8" man="1"/>
  </row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workbookViewId="0">
      <selection activeCell="N16" sqref="N16"/>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88" t="s">
        <v>909</v>
      </c>
      <c r="B1" s="2688"/>
      <c r="C1" s="2688"/>
      <c r="D1" s="2688"/>
      <c r="E1" s="2688"/>
      <c r="F1" s="2688"/>
      <c r="G1" s="2688"/>
      <c r="H1" s="2688"/>
      <c r="I1" s="2688"/>
      <c r="J1" s="2688"/>
      <c r="K1" s="205"/>
      <c r="L1" s="205"/>
    </row>
    <row r="2" spans="1:12">
      <c r="A2" s="211"/>
      <c r="B2" s="211"/>
      <c r="C2" s="211"/>
      <c r="D2" s="211"/>
      <c r="E2" s="211"/>
      <c r="F2" s="211"/>
      <c r="G2" s="211"/>
      <c r="H2" s="211"/>
      <c r="I2" s="211"/>
      <c r="J2" s="211"/>
    </row>
    <row r="3" spans="1:12" ht="84.5">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SRO/Studio</v>
      </c>
      <c r="B4" s="1084">
        <f>Application!G718</f>
        <v>9</v>
      </c>
      <c r="C4" s="1164"/>
      <c r="D4" s="429">
        <f>Application!O718</f>
        <v>697</v>
      </c>
      <c r="E4" s="430"/>
      <c r="F4" s="1085"/>
      <c r="G4" s="429">
        <f>F4*B4</f>
        <v>0</v>
      </c>
      <c r="H4" s="430"/>
      <c r="I4" s="429" t="str">
        <f t="shared" ref="I4:I27" si="0">IF(F4=0,"",(F4-D4))</f>
        <v/>
      </c>
      <c r="J4" s="429" t="str">
        <f t="shared" ref="J4:J27" si="1">IF(F4=0,"",(I4*B4))</f>
        <v/>
      </c>
      <c r="K4" s="205"/>
      <c r="L4" s="306"/>
    </row>
    <row r="5" spans="1:12">
      <c r="A5" s="429" t="str">
        <f>Application!B719</f>
        <v>SRO/Studio</v>
      </c>
      <c r="B5" s="1084">
        <f>Application!G719</f>
        <v>12</v>
      </c>
      <c r="C5" s="1164"/>
      <c r="D5" s="429">
        <f>Application!O719</f>
        <v>1911</v>
      </c>
      <c r="E5" s="430"/>
      <c r="F5" s="1085"/>
      <c r="G5" s="429">
        <f t="shared" ref="G5:G38" si="2">F5*B5</f>
        <v>0</v>
      </c>
      <c r="H5" s="430"/>
      <c r="I5" s="429" t="str">
        <f t="shared" si="0"/>
        <v/>
      </c>
      <c r="J5" s="429" t="str">
        <f t="shared" si="1"/>
        <v/>
      </c>
      <c r="K5" s="205"/>
      <c r="L5" s="306"/>
    </row>
    <row r="6" spans="1:12">
      <c r="A6" s="429" t="str">
        <f>Application!B720</f>
        <v>1 Bedroom</v>
      </c>
      <c r="B6" s="1084">
        <f>Application!G720</f>
        <v>60</v>
      </c>
      <c r="C6" s="1164"/>
      <c r="D6" s="429">
        <f>Application!O720</f>
        <v>737</v>
      </c>
      <c r="E6" s="430"/>
      <c r="F6" s="1085"/>
      <c r="G6" s="429">
        <f t="shared" si="2"/>
        <v>0</v>
      </c>
      <c r="H6" s="430"/>
      <c r="I6" s="429" t="str">
        <f t="shared" si="0"/>
        <v/>
      </c>
      <c r="J6" s="429" t="str">
        <f t="shared" si="1"/>
        <v/>
      </c>
      <c r="K6" s="205"/>
      <c r="L6" s="306"/>
    </row>
    <row r="7" spans="1:12">
      <c r="A7" s="429" t="str">
        <f>Application!B721</f>
        <v>1 Bedroom</v>
      </c>
      <c r="B7" s="1084">
        <f>Application!G721</f>
        <v>73</v>
      </c>
      <c r="C7" s="1164"/>
      <c r="D7" s="429">
        <f>Application!O721</f>
        <v>2037</v>
      </c>
      <c r="E7" s="430"/>
      <c r="F7" s="1085"/>
      <c r="G7" s="429">
        <f t="shared" si="2"/>
        <v>0</v>
      </c>
      <c r="H7" s="430"/>
      <c r="I7" s="429" t="str">
        <f t="shared" si="0"/>
        <v/>
      </c>
      <c r="J7" s="429" t="str">
        <f t="shared" si="1"/>
        <v/>
      </c>
      <c r="K7" s="205"/>
      <c r="L7" s="306"/>
    </row>
    <row r="8" spans="1:12">
      <c r="A8" s="429" t="str">
        <f>Application!B722</f>
        <v>2 Bedrooms</v>
      </c>
      <c r="B8" s="1084">
        <f>Application!G722</f>
        <v>13</v>
      </c>
      <c r="C8" s="1164"/>
      <c r="D8" s="429">
        <f>Application!O722</f>
        <v>880</v>
      </c>
      <c r="E8" s="430"/>
      <c r="F8" s="1085"/>
      <c r="G8" s="429">
        <f t="shared" si="2"/>
        <v>0</v>
      </c>
      <c r="H8" s="430"/>
      <c r="I8" s="429" t="str">
        <f t="shared" si="0"/>
        <v/>
      </c>
      <c r="J8" s="429" t="str">
        <f t="shared" si="1"/>
        <v/>
      </c>
      <c r="K8" s="205"/>
      <c r="L8" s="306"/>
    </row>
    <row r="9" spans="1:12">
      <c r="A9" s="429" t="str">
        <f>Application!B723</f>
        <v>2 Bedrooms</v>
      </c>
      <c r="B9" s="1084">
        <f>Application!G723</f>
        <v>1</v>
      </c>
      <c r="C9" s="1164"/>
      <c r="D9" s="429">
        <f>Application!O723</f>
        <v>1504</v>
      </c>
      <c r="E9" s="430"/>
      <c r="F9" s="1085"/>
      <c r="G9" s="429">
        <f t="shared" si="2"/>
        <v>0</v>
      </c>
      <c r="H9" s="430"/>
      <c r="I9" s="429" t="str">
        <f t="shared" si="0"/>
        <v/>
      </c>
      <c r="J9" s="429" t="str">
        <f t="shared" si="1"/>
        <v/>
      </c>
      <c r="K9" s="205"/>
      <c r="L9" s="306"/>
    </row>
    <row r="10" spans="1:12">
      <c r="A10" s="429" t="str">
        <f>Application!B724</f>
        <v>2 Bedrooms</v>
      </c>
      <c r="B10" s="1084">
        <f>Application!G724</f>
        <v>23</v>
      </c>
      <c r="C10" s="1164"/>
      <c r="D10" s="429">
        <f>Application!O724</f>
        <v>2440</v>
      </c>
      <c r="E10" s="430"/>
      <c r="F10" s="1085"/>
      <c r="G10" s="429">
        <f t="shared" si="2"/>
        <v>0</v>
      </c>
      <c r="H10" s="430"/>
      <c r="I10" s="429" t="str">
        <f t="shared" si="0"/>
        <v/>
      </c>
      <c r="J10" s="429" t="str">
        <f t="shared" si="1"/>
        <v/>
      </c>
      <c r="K10" s="205"/>
      <c r="L10" s="306"/>
    </row>
    <row r="11" spans="1:12">
      <c r="A11" s="429" t="str">
        <f>Application!B725</f>
        <v>3 Bedrooms</v>
      </c>
      <c r="B11" s="1084">
        <f>Application!G725</f>
        <v>13</v>
      </c>
      <c r="C11" s="1164"/>
      <c r="D11" s="429">
        <f>Application!O725</f>
        <v>1013</v>
      </c>
      <c r="E11" s="430"/>
      <c r="F11" s="1085"/>
      <c r="G11" s="429">
        <f t="shared" si="2"/>
        <v>0</v>
      </c>
      <c r="H11" s="430"/>
      <c r="I11" s="429" t="str">
        <f t="shared" si="0"/>
        <v/>
      </c>
      <c r="J11" s="429" t="str">
        <f t="shared" si="1"/>
        <v/>
      </c>
      <c r="K11" s="205"/>
      <c r="L11" s="306"/>
    </row>
    <row r="12" spans="1:12">
      <c r="A12" s="429" t="str">
        <f>Application!B726</f>
        <v>3 Bedrooms</v>
      </c>
      <c r="B12" s="1084">
        <f>Application!G726</f>
        <v>35</v>
      </c>
      <c r="C12" s="1164"/>
      <c r="D12" s="429">
        <f>Application!O726</f>
        <v>2817</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915</v>
      </c>
      <c r="B40" s="432"/>
      <c r="C40" s="432"/>
      <c r="D40" s="433">
        <f>Application!O753</f>
        <v>402954</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2260</v>
      </c>
    </row>
    <row r="43" spans="1:12">
      <c r="A43" s="2689" t="s">
        <v>2499</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2261</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7" workbookViewId="0">
      <selection activeCell="E62" sqref="E62:AG62"/>
    </sheetView>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2095</v>
      </c>
      <c r="B1" s="212"/>
    </row>
    <row r="2" spans="1:34"/>
    <row r="3" spans="1:34" ht="15.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
      <c r="A4" s="220" t="s">
        <v>838</v>
      </c>
      <c r="C4" s="238">
        <v>1.0249999999999999</v>
      </c>
      <c r="E4" s="220">
        <f>Application!Y801</f>
        <v>4879032</v>
      </c>
      <c r="G4" s="220">
        <f>E4*$C$4</f>
        <v>5001007.8</v>
      </c>
      <c r="I4" s="220">
        <f>G4*$C$4</f>
        <v>5126032.9949999992</v>
      </c>
      <c r="K4" s="220">
        <f>I4*$C$4</f>
        <v>5254183.8198749991</v>
      </c>
      <c r="M4" s="220">
        <f>K4*$C$4</f>
        <v>5385538.4153718734</v>
      </c>
      <c r="O4" s="220">
        <f>M4*$C$4</f>
        <v>5520176.8757561697</v>
      </c>
      <c r="Q4" s="220">
        <f>O4*$C$4</f>
        <v>5658181.2976500737</v>
      </c>
      <c r="S4" s="220">
        <f>Q4*$C$4</f>
        <v>5799635.8300913246</v>
      </c>
      <c r="U4" s="220">
        <f>S4*$C$4</f>
        <v>5944626.7258436074</v>
      </c>
      <c r="W4" s="220">
        <f>U4*$C$4</f>
        <v>6093242.3939896971</v>
      </c>
      <c r="Y4" s="220">
        <f>W4*$C$4</f>
        <v>6245573.453839439</v>
      </c>
      <c r="AA4" s="220">
        <f>Y4*$C$4</f>
        <v>6401712.7901854245</v>
      </c>
      <c r="AC4" s="220">
        <f>AA4*$C$4</f>
        <v>6561755.6099400595</v>
      </c>
      <c r="AE4" s="220">
        <f>AC4*$C$4</f>
        <v>6725799.5001885602</v>
      </c>
      <c r="AG4" s="220">
        <f>AE4*$C$4</f>
        <v>6893944.4876932735</v>
      </c>
    </row>
    <row r="5" spans="1:34" s="211" customFormat="1" ht="14">
      <c r="B5" s="211" t="s">
        <v>839</v>
      </c>
      <c r="C5" s="239">
        <f>IF(Application!$D$211="Special Needs",(((0.1*Application!$T$212)+(0.05*(1-Application!$T$212)))),0.05)</f>
        <v>0.05</v>
      </c>
      <c r="E5" s="222">
        <f>-E4*$C$5</f>
        <v>-243951.6</v>
      </c>
      <c r="F5" s="222"/>
      <c r="G5" s="222">
        <f>-G4*$C$5</f>
        <v>-250050.39</v>
      </c>
      <c r="H5" s="222"/>
      <c r="I5" s="222">
        <f>-I4*$C$5</f>
        <v>-256301.64974999998</v>
      </c>
      <c r="J5" s="222"/>
      <c r="K5" s="222">
        <f>-K4*$C$5</f>
        <v>-262709.19099374994</v>
      </c>
      <c r="L5" s="222"/>
      <c r="M5" s="222">
        <f>-M4*$C$5</f>
        <v>-269276.92076859367</v>
      </c>
      <c r="N5" s="222"/>
      <c r="O5" s="222">
        <f>-O4*$C$5</f>
        <v>-276008.8437878085</v>
      </c>
      <c r="P5" s="222"/>
      <c r="Q5" s="222">
        <f>-Q4*$C$5</f>
        <v>-282909.06488250371</v>
      </c>
      <c r="R5" s="222"/>
      <c r="S5" s="222">
        <f>-S4*$C$5</f>
        <v>-289981.79150456627</v>
      </c>
      <c r="T5" s="222"/>
      <c r="U5" s="222">
        <f>-U4*$C$5</f>
        <v>-297231.33629218041</v>
      </c>
      <c r="V5" s="222"/>
      <c r="W5" s="222">
        <f>-W4*$C$5</f>
        <v>-304662.11969948484</v>
      </c>
      <c r="X5" s="222"/>
      <c r="Y5" s="222">
        <f>-Y4*$C$5</f>
        <v>-312278.67269197194</v>
      </c>
      <c r="Z5" s="222"/>
      <c r="AA5" s="222">
        <f>-AA4*$C$5</f>
        <v>-320085.63950927125</v>
      </c>
      <c r="AB5" s="222"/>
      <c r="AC5" s="222">
        <f>-AC4*$C$5</f>
        <v>-328087.780497003</v>
      </c>
      <c r="AD5" s="222"/>
      <c r="AE5" s="222">
        <f>-AE4*$C$5</f>
        <v>-336289.97500942805</v>
      </c>
      <c r="AF5" s="222"/>
      <c r="AG5" s="222">
        <f>-AG4*$C$5</f>
        <v>-344697.22438466368</v>
      </c>
    </row>
    <row r="6" spans="1:34" s="211" customFormat="1" ht="14">
      <c r="A6" s="211" t="s">
        <v>837</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839</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288</v>
      </c>
      <c r="C8" s="238">
        <v>1.0249999999999999</v>
      </c>
      <c r="E8" s="223">
        <f>Application!Z817</f>
        <v>460650</v>
      </c>
      <c r="F8" s="223"/>
      <c r="G8" s="223">
        <f>E8*$C$8</f>
        <v>472166.24999999994</v>
      </c>
      <c r="H8" s="223"/>
      <c r="I8" s="223">
        <f>G8*$C$8</f>
        <v>483970.40624999988</v>
      </c>
      <c r="J8" s="223"/>
      <c r="K8" s="223">
        <f>I8*$C$8</f>
        <v>496069.66640624986</v>
      </c>
      <c r="L8" s="223"/>
      <c r="M8" s="223">
        <f>K8*$C$8</f>
        <v>508471.40806640609</v>
      </c>
      <c r="N8" s="223"/>
      <c r="O8" s="223">
        <f>M8*$C$8</f>
        <v>521183.19326806621</v>
      </c>
      <c r="P8" s="223"/>
      <c r="Q8" s="223">
        <f>O8*$C$8</f>
        <v>534212.77309976786</v>
      </c>
      <c r="R8" s="223"/>
      <c r="S8" s="223">
        <f>Q8*$C$8</f>
        <v>547568.09242726199</v>
      </c>
      <c r="T8" s="223"/>
      <c r="U8" s="223">
        <f>S8*$C$8</f>
        <v>561257.29473794345</v>
      </c>
      <c r="V8" s="223"/>
      <c r="W8" s="223">
        <f>U8*$C$8</f>
        <v>575288.72710639203</v>
      </c>
      <c r="X8" s="223"/>
      <c r="Y8" s="223">
        <f>W8*$C$8</f>
        <v>589670.94528405182</v>
      </c>
      <c r="Z8" s="223"/>
      <c r="AA8" s="223">
        <f>Y8*$C$8</f>
        <v>604412.71891615307</v>
      </c>
      <c r="AB8" s="223"/>
      <c r="AC8" s="223">
        <f>AA8*$C$8</f>
        <v>619523.03688905679</v>
      </c>
      <c r="AD8" s="223"/>
      <c r="AE8" s="223">
        <f>AC8*$C$8</f>
        <v>635011.11281128321</v>
      </c>
      <c r="AF8" s="223"/>
      <c r="AG8" s="223">
        <f>AE8*$C$8</f>
        <v>650886.39063156524</v>
      </c>
    </row>
    <row r="9" spans="1:34" s="211" customFormat="1" ht="14">
      <c r="B9" s="211" t="s">
        <v>839</v>
      </c>
      <c r="C9" s="239">
        <f>IF(Application!$D$211="Special Needs",(((0.1*Application!$T$212)+(0.05*(1-Application!$T$212)))),0.05)</f>
        <v>0.05</v>
      </c>
      <c r="E9" s="222">
        <f>-E8*$C$9</f>
        <v>-23032.5</v>
      </c>
      <c r="F9" s="222"/>
      <c r="G9" s="222">
        <f>-G8*$C$9</f>
        <v>-23608.3125</v>
      </c>
      <c r="H9" s="222"/>
      <c r="I9" s="222">
        <f>-I8*$C$9</f>
        <v>-24198.520312499997</v>
      </c>
      <c r="J9" s="222"/>
      <c r="K9" s="222">
        <f>-K8*$C$9</f>
        <v>-24803.483320312494</v>
      </c>
      <c r="L9" s="222"/>
      <c r="M9" s="222">
        <f>-M8*$C$9</f>
        <v>-25423.570403320307</v>
      </c>
      <c r="N9" s="222"/>
      <c r="O9" s="222">
        <f>-O8*$C$9</f>
        <v>-26059.159663403312</v>
      </c>
      <c r="P9" s="222"/>
      <c r="Q9" s="222">
        <f>-Q8*$C$9</f>
        <v>-26710.638654988394</v>
      </c>
      <c r="R9" s="222"/>
      <c r="S9" s="222">
        <f>-S8*$C$9</f>
        <v>-27378.404621363101</v>
      </c>
      <c r="T9" s="222"/>
      <c r="U9" s="222">
        <f>-U8*$C$9</f>
        <v>-28062.864736897172</v>
      </c>
      <c r="V9" s="222"/>
      <c r="W9" s="222">
        <f>-W8*$C$9</f>
        <v>-28764.436355319602</v>
      </c>
      <c r="X9" s="222"/>
      <c r="Y9" s="222">
        <f>-Y8*$C$9</f>
        <v>-29483.547264202592</v>
      </c>
      <c r="Z9" s="222"/>
      <c r="AA9" s="222">
        <f>-AA8*$C$9</f>
        <v>-30220.635945807655</v>
      </c>
      <c r="AB9" s="222"/>
      <c r="AC9" s="222">
        <f>-AC8*$C$9</f>
        <v>-30976.151844452841</v>
      </c>
      <c r="AD9" s="222"/>
      <c r="AE9" s="222">
        <f>-AE8*$C$9</f>
        <v>-31750.555640564162</v>
      </c>
      <c r="AF9" s="222"/>
      <c r="AG9" s="222">
        <f>-AG8*$C$9</f>
        <v>-32544.319531578265</v>
      </c>
    </row>
    <row r="10" spans="1:34" s="211" customFormat="1" ht="14">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859</v>
      </c>
      <c r="C11" s="217"/>
      <c r="E11" s="224">
        <f>SUM(E4:E10)</f>
        <v>5072697.9000000004</v>
      </c>
      <c r="G11" s="224">
        <f>SUM(G4:G10)</f>
        <v>5199515.3475000001</v>
      </c>
      <c r="I11" s="224">
        <f>SUM(I4:I10)</f>
        <v>5329503.2311874991</v>
      </c>
      <c r="K11" s="224">
        <f>SUM(K4:K10)</f>
        <v>5462740.8119671866</v>
      </c>
      <c r="M11" s="224">
        <f>SUM(M4:M10)</f>
        <v>5599309.3322663652</v>
      </c>
      <c r="O11" s="224">
        <f>SUM(O4:O10)</f>
        <v>5739292.0655730236</v>
      </c>
      <c r="Q11" s="224">
        <f>SUM(Q4:Q10)</f>
        <v>5882774.3672123495</v>
      </c>
      <c r="S11" s="224">
        <f>SUM(S4:S10)</f>
        <v>6029843.7263926575</v>
      </c>
      <c r="U11" s="224">
        <f>SUM(U4:U10)</f>
        <v>6180589.8195524737</v>
      </c>
      <c r="W11" s="224">
        <f>SUM(W4:W10)</f>
        <v>6335104.565041285</v>
      </c>
      <c r="Y11" s="224">
        <f>SUM(Y4:Y10)</f>
        <v>6493482.1791673163</v>
      </c>
      <c r="AA11" s="224">
        <f>SUM(AA4:AA10)</f>
        <v>6655819.2336464999</v>
      </c>
      <c r="AC11" s="224">
        <f>SUM(AC4:AC10)</f>
        <v>6822214.7144876597</v>
      </c>
      <c r="AE11" s="224">
        <f>SUM(AE4:AE10)</f>
        <v>6992770.0823498508</v>
      </c>
      <c r="AG11" s="224">
        <f>SUM(AG4:AG10)</f>
        <v>7167589.3344085962</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842</v>
      </c>
      <c r="C15" s="176"/>
      <c r="E15" s="220">
        <f>Application!W847</f>
        <v>306000</v>
      </c>
      <c r="G15" s="220">
        <f>E15*$C$14</f>
        <v>316710</v>
      </c>
      <c r="I15" s="220">
        <f>G15*$C$14</f>
        <v>327794.84999999998</v>
      </c>
      <c r="K15" s="220">
        <f>I15*$C$14</f>
        <v>339267.66974999994</v>
      </c>
      <c r="M15" s="220">
        <f>K15*$C$14</f>
        <v>351142.03819124989</v>
      </c>
      <c r="O15" s="220">
        <f>M15*$C$14</f>
        <v>363432.00952794362</v>
      </c>
      <c r="Q15" s="220">
        <f>O15*$C$14</f>
        <v>376152.12986142159</v>
      </c>
      <c r="S15" s="220">
        <f>Q15*$C$14</f>
        <v>389317.45440657134</v>
      </c>
      <c r="U15" s="220">
        <f>S15*$C$14</f>
        <v>402943.56531080132</v>
      </c>
      <c r="W15" s="220">
        <f>U15*$C$14</f>
        <v>417046.59009667934</v>
      </c>
      <c r="Y15" s="220">
        <f>W15*$C$14</f>
        <v>431643.22075006308</v>
      </c>
      <c r="AA15" s="220">
        <f>Y15*$C$14</f>
        <v>446750.73347631528</v>
      </c>
      <c r="AC15" s="220">
        <f>AA15*$C$14</f>
        <v>462387.00914798625</v>
      </c>
      <c r="AE15" s="220">
        <f>AC15*$C$14</f>
        <v>478570.55446816573</v>
      </c>
      <c r="AG15" s="220">
        <f>AE15*$C$14</f>
        <v>495320.52387455152</v>
      </c>
    </row>
    <row r="16" spans="1:34" s="211" customFormat="1" ht="14">
      <c r="A16" s="211" t="s">
        <v>344</v>
      </c>
      <c r="C16" s="234"/>
      <c r="E16" s="223">
        <f>Application!W849</f>
        <v>225000</v>
      </c>
      <c r="F16" s="223"/>
      <c r="G16" s="223">
        <f t="shared" ref="G16:AG21" si="0">E16*$C$14</f>
        <v>232874.99999999997</v>
      </c>
      <c r="H16" s="223"/>
      <c r="I16" s="223">
        <f t="shared" si="0"/>
        <v>241025.62499999994</v>
      </c>
      <c r="J16" s="223"/>
      <c r="K16" s="223">
        <f t="shared" si="0"/>
        <v>249461.52187499992</v>
      </c>
      <c r="L16" s="223"/>
      <c r="M16" s="223">
        <f t="shared" si="0"/>
        <v>258192.67514062489</v>
      </c>
      <c r="N16" s="223"/>
      <c r="O16" s="223">
        <f t="shared" si="0"/>
        <v>267229.41877054673</v>
      </c>
      <c r="P16" s="223"/>
      <c r="Q16" s="223">
        <f t="shared" si="0"/>
        <v>276582.44842751586</v>
      </c>
      <c r="R16" s="223"/>
      <c r="S16" s="223">
        <f t="shared" si="0"/>
        <v>286262.8341224789</v>
      </c>
      <c r="T16" s="223"/>
      <c r="U16" s="223">
        <f t="shared" si="0"/>
        <v>296282.03331676562</v>
      </c>
      <c r="V16" s="223"/>
      <c r="W16" s="223">
        <f t="shared" si="0"/>
        <v>306651.90448285238</v>
      </c>
      <c r="X16" s="223"/>
      <c r="Y16" s="223">
        <f t="shared" si="0"/>
        <v>317384.72113975219</v>
      </c>
      <c r="Z16" s="223"/>
      <c r="AA16" s="223">
        <f t="shared" si="0"/>
        <v>328493.18637964351</v>
      </c>
      <c r="AB16" s="223"/>
      <c r="AC16" s="223">
        <f t="shared" si="0"/>
        <v>339990.44790293102</v>
      </c>
      <c r="AD16" s="223"/>
      <c r="AE16" s="223">
        <f t="shared" si="0"/>
        <v>351890.11357953359</v>
      </c>
      <c r="AF16" s="223"/>
      <c r="AG16" s="223">
        <f t="shared" si="0"/>
        <v>364206.26755481726</v>
      </c>
    </row>
    <row r="17" spans="1:33" s="211" customFormat="1" ht="14">
      <c r="A17" s="211" t="s">
        <v>562</v>
      </c>
      <c r="C17" s="234"/>
      <c r="E17" s="223">
        <f>Application!W855</f>
        <v>263555</v>
      </c>
      <c r="F17" s="223"/>
      <c r="G17" s="223">
        <f t="shared" si="0"/>
        <v>272779.42499999999</v>
      </c>
      <c r="H17" s="223"/>
      <c r="I17" s="223">
        <f t="shared" si="0"/>
        <v>282326.70487499994</v>
      </c>
      <c r="J17" s="223"/>
      <c r="K17" s="223">
        <f t="shared" si="0"/>
        <v>292208.1395456249</v>
      </c>
      <c r="L17" s="223"/>
      <c r="M17" s="223">
        <f t="shared" si="0"/>
        <v>302435.42442972172</v>
      </c>
      <c r="N17" s="223"/>
      <c r="O17" s="223">
        <f t="shared" si="0"/>
        <v>313020.66428476194</v>
      </c>
      <c r="P17" s="223"/>
      <c r="Q17" s="223">
        <f t="shared" si="0"/>
        <v>323976.38753472856</v>
      </c>
      <c r="R17" s="223"/>
      <c r="S17" s="223">
        <f t="shared" si="0"/>
        <v>335315.56109844404</v>
      </c>
      <c r="T17" s="223"/>
      <c r="U17" s="223">
        <f t="shared" si="0"/>
        <v>347051.60573688959</v>
      </c>
      <c r="V17" s="223"/>
      <c r="W17" s="223">
        <f t="shared" si="0"/>
        <v>359198.41193768068</v>
      </c>
      <c r="X17" s="223"/>
      <c r="Y17" s="223">
        <f t="shared" si="0"/>
        <v>371770.35635549948</v>
      </c>
      <c r="Z17" s="223"/>
      <c r="AA17" s="223">
        <f t="shared" si="0"/>
        <v>384782.31882794196</v>
      </c>
      <c r="AB17" s="223"/>
      <c r="AC17" s="223">
        <f t="shared" si="0"/>
        <v>398249.69998691988</v>
      </c>
      <c r="AD17" s="223"/>
      <c r="AE17" s="223">
        <f t="shared" si="0"/>
        <v>412188.43948646204</v>
      </c>
      <c r="AF17" s="223"/>
      <c r="AG17" s="223">
        <f t="shared" si="0"/>
        <v>426615.0348684882</v>
      </c>
    </row>
    <row r="18" spans="1:33" s="211" customFormat="1" ht="14">
      <c r="A18" s="211" t="s">
        <v>843</v>
      </c>
      <c r="C18" s="234"/>
      <c r="E18" s="223">
        <f>Application!W862</f>
        <v>170000</v>
      </c>
      <c r="F18" s="223"/>
      <c r="G18" s="223">
        <f t="shared" si="0"/>
        <v>175950</v>
      </c>
      <c r="H18" s="223"/>
      <c r="I18" s="223">
        <f t="shared" si="0"/>
        <v>182108.25</v>
      </c>
      <c r="J18" s="223"/>
      <c r="K18" s="223">
        <f t="shared" si="0"/>
        <v>188482.03874999998</v>
      </c>
      <c r="L18" s="223"/>
      <c r="M18" s="223">
        <f t="shared" si="0"/>
        <v>195078.91010624997</v>
      </c>
      <c r="N18" s="223"/>
      <c r="O18" s="223">
        <f t="shared" si="0"/>
        <v>201906.67195996869</v>
      </c>
      <c r="P18" s="223"/>
      <c r="Q18" s="223">
        <f t="shared" si="0"/>
        <v>208973.40547856758</v>
      </c>
      <c r="R18" s="223"/>
      <c r="S18" s="223">
        <f t="shared" si="0"/>
        <v>216287.47467031743</v>
      </c>
      <c r="T18" s="223"/>
      <c r="U18" s="223">
        <f t="shared" si="0"/>
        <v>223857.53628377852</v>
      </c>
      <c r="V18" s="223"/>
      <c r="W18" s="223">
        <f t="shared" si="0"/>
        <v>231692.55005371076</v>
      </c>
      <c r="X18" s="223"/>
      <c r="Y18" s="223">
        <f t="shared" si="0"/>
        <v>239801.78930559062</v>
      </c>
      <c r="Z18" s="223"/>
      <c r="AA18" s="223">
        <f t="shared" si="0"/>
        <v>248194.85193128628</v>
      </c>
      <c r="AB18" s="223"/>
      <c r="AC18" s="223">
        <f t="shared" si="0"/>
        <v>256881.67174888129</v>
      </c>
      <c r="AD18" s="223"/>
      <c r="AE18" s="223">
        <f t="shared" si="0"/>
        <v>265872.53026009211</v>
      </c>
      <c r="AF18" s="223"/>
      <c r="AG18" s="223">
        <f t="shared" si="0"/>
        <v>275178.06881919532</v>
      </c>
    </row>
    <row r="19" spans="1:33" s="211" customFormat="1" ht="14">
      <c r="A19" s="211" t="s">
        <v>155</v>
      </c>
      <c r="C19" s="234"/>
      <c r="E19" s="223">
        <f>Application!W863</f>
        <v>200000</v>
      </c>
      <c r="F19" s="223"/>
      <c r="G19" s="223">
        <f t="shared" si="0"/>
        <v>206999.99999999997</v>
      </c>
      <c r="H19" s="223"/>
      <c r="I19" s="223">
        <f t="shared" si="0"/>
        <v>214244.99999999994</v>
      </c>
      <c r="J19" s="223"/>
      <c r="K19" s="223">
        <f t="shared" si="0"/>
        <v>221743.57499999992</v>
      </c>
      <c r="L19" s="223"/>
      <c r="M19" s="223">
        <f t="shared" si="0"/>
        <v>229504.60012499991</v>
      </c>
      <c r="N19" s="223"/>
      <c r="O19" s="223">
        <f t="shared" si="0"/>
        <v>237537.26112937488</v>
      </c>
      <c r="P19" s="223"/>
      <c r="Q19" s="223">
        <f t="shared" si="0"/>
        <v>245851.06526890298</v>
      </c>
      <c r="R19" s="223"/>
      <c r="S19" s="223">
        <f t="shared" si="0"/>
        <v>254455.85255331456</v>
      </c>
      <c r="T19" s="223"/>
      <c r="U19" s="223">
        <f t="shared" si="0"/>
        <v>263361.80739268055</v>
      </c>
      <c r="V19" s="223"/>
      <c r="W19" s="223">
        <f t="shared" si="0"/>
        <v>272579.47065142437</v>
      </c>
      <c r="X19" s="223"/>
      <c r="Y19" s="223">
        <f t="shared" si="0"/>
        <v>282119.75212422421</v>
      </c>
      <c r="Z19" s="223"/>
      <c r="AA19" s="223">
        <f t="shared" si="0"/>
        <v>291993.94344857201</v>
      </c>
      <c r="AB19" s="223"/>
      <c r="AC19" s="223">
        <f t="shared" si="0"/>
        <v>302213.731469272</v>
      </c>
      <c r="AD19" s="223"/>
      <c r="AE19" s="223">
        <f t="shared" si="0"/>
        <v>312791.21207069646</v>
      </c>
      <c r="AF19" s="223"/>
      <c r="AG19" s="223">
        <f t="shared" si="0"/>
        <v>323738.90449317079</v>
      </c>
    </row>
    <row r="20" spans="1:33" s="211" customFormat="1" ht="14">
      <c r="A20" s="211" t="s">
        <v>390</v>
      </c>
      <c r="C20" s="234"/>
      <c r="E20" s="223">
        <f>Application!W872</f>
        <v>126000</v>
      </c>
      <c r="F20" s="223"/>
      <c r="G20" s="223">
        <f t="shared" si="0"/>
        <v>130409.99999999999</v>
      </c>
      <c r="H20" s="223"/>
      <c r="I20" s="223">
        <f t="shared" si="0"/>
        <v>134974.34999999998</v>
      </c>
      <c r="J20" s="223"/>
      <c r="K20" s="223">
        <f t="shared" si="0"/>
        <v>139698.45224999997</v>
      </c>
      <c r="L20" s="223"/>
      <c r="M20" s="223">
        <f t="shared" si="0"/>
        <v>144587.89807874997</v>
      </c>
      <c r="N20" s="223"/>
      <c r="O20" s="223">
        <f t="shared" si="0"/>
        <v>149648.47451150621</v>
      </c>
      <c r="P20" s="223"/>
      <c r="Q20" s="223">
        <f t="shared" si="0"/>
        <v>154886.17111940891</v>
      </c>
      <c r="R20" s="223"/>
      <c r="S20" s="223">
        <f t="shared" si="0"/>
        <v>160307.1871085882</v>
      </c>
      <c r="T20" s="223"/>
      <c r="U20" s="223">
        <f t="shared" si="0"/>
        <v>165917.93865738879</v>
      </c>
      <c r="V20" s="223"/>
      <c r="W20" s="223">
        <f t="shared" si="0"/>
        <v>171725.06651039739</v>
      </c>
      <c r="X20" s="223"/>
      <c r="Y20" s="223">
        <f t="shared" si="0"/>
        <v>177735.44383826127</v>
      </c>
      <c r="Z20" s="223"/>
      <c r="AA20" s="223">
        <f t="shared" si="0"/>
        <v>183956.1843726004</v>
      </c>
      <c r="AB20" s="223"/>
      <c r="AC20" s="223">
        <f t="shared" si="0"/>
        <v>190394.65082564141</v>
      </c>
      <c r="AD20" s="223"/>
      <c r="AE20" s="223">
        <f t="shared" si="0"/>
        <v>197058.46360453885</v>
      </c>
      <c r="AF20" s="223"/>
      <c r="AG20" s="223">
        <f t="shared" si="0"/>
        <v>203955.5098306977</v>
      </c>
    </row>
    <row r="21" spans="1:33" s="211" customFormat="1" ht="14">
      <c r="A21" s="227" t="s">
        <v>962</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4">
      <c r="A22" s="224" t="s">
        <v>844</v>
      </c>
      <c r="C22" s="234"/>
      <c r="E22" s="224">
        <f>SUM(E15:E21)</f>
        <v>1290555</v>
      </c>
      <c r="G22" s="224">
        <f>SUM(G15:G21)</f>
        <v>1335724.425</v>
      </c>
      <c r="I22" s="224">
        <f>SUM(I15:I21)</f>
        <v>1382474.7798749995</v>
      </c>
      <c r="K22" s="224">
        <f>SUM(K15:K21)</f>
        <v>1430861.3971706247</v>
      </c>
      <c r="M22" s="224">
        <f>SUM(M15:M21)</f>
        <v>1480941.5460715964</v>
      </c>
      <c r="O22" s="224">
        <f>SUM(O15:O21)</f>
        <v>1532774.5001841022</v>
      </c>
      <c r="Q22" s="224">
        <f>SUM(Q15:Q21)</f>
        <v>1586421.6076905455</v>
      </c>
      <c r="S22" s="224">
        <f>SUM(S15:S21)</f>
        <v>1641946.3639597145</v>
      </c>
      <c r="U22" s="224">
        <f>SUM(U15:U21)</f>
        <v>1699414.4866983043</v>
      </c>
      <c r="W22" s="224">
        <f>SUM(W15:W21)</f>
        <v>1758893.9937327448</v>
      </c>
      <c r="Y22" s="224">
        <f>SUM(Y15:Y21)</f>
        <v>1820455.2835133907</v>
      </c>
      <c r="AA22" s="224">
        <f>SUM(AA15:AA21)</f>
        <v>1884171.2184363594</v>
      </c>
      <c r="AC22" s="224">
        <f>SUM(AC15:AC21)</f>
        <v>1950117.2110816315</v>
      </c>
      <c r="AE22" s="224">
        <f>SUM(AE15:AE21)</f>
        <v>2018371.3134694889</v>
      </c>
      <c r="AG22" s="224">
        <f>SUM(AG15:AG21)</f>
        <v>2089014.3094409206</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846</v>
      </c>
      <c r="C27" s="238">
        <v>1.0349999999999999</v>
      </c>
      <c r="E27" s="223">
        <f>Application!AC888</f>
        <v>31500</v>
      </c>
      <c r="F27" s="223"/>
      <c r="G27" s="223">
        <f>E27*$C$27</f>
        <v>32602.499999999996</v>
      </c>
      <c r="H27" s="223"/>
      <c r="I27" s="223">
        <f>G27*$C$27</f>
        <v>33743.587499999994</v>
      </c>
      <c r="J27" s="223"/>
      <c r="K27" s="223">
        <f>I27*$C$27</f>
        <v>34924.613062499993</v>
      </c>
      <c r="L27" s="223"/>
      <c r="M27" s="223">
        <f>K27*$C$27</f>
        <v>36146.974519687494</v>
      </c>
      <c r="N27" s="223"/>
      <c r="O27" s="223">
        <f>M27*$C$27</f>
        <v>37412.118627876553</v>
      </c>
      <c r="P27" s="223"/>
      <c r="Q27" s="223">
        <f>O27*$C$27</f>
        <v>38721.542779852229</v>
      </c>
      <c r="R27" s="223"/>
      <c r="S27" s="223">
        <f>Q27*$C$27</f>
        <v>40076.79677714705</v>
      </c>
      <c r="T27" s="223"/>
      <c r="U27" s="223">
        <f>S27*$C$27</f>
        <v>41479.484664347197</v>
      </c>
      <c r="V27" s="223"/>
      <c r="W27" s="223">
        <f>U27*$C$27</f>
        <v>42931.266627599347</v>
      </c>
      <c r="X27" s="223"/>
      <c r="Y27" s="223">
        <f>W27*$C$27</f>
        <v>44433.860959565318</v>
      </c>
      <c r="Z27" s="223"/>
      <c r="AA27" s="223">
        <f>Y27*$C$27</f>
        <v>45989.0460931501</v>
      </c>
      <c r="AB27" s="223"/>
      <c r="AC27" s="223">
        <f>AA27*$C$27</f>
        <v>47598.662706410352</v>
      </c>
      <c r="AD27" s="223"/>
      <c r="AE27" s="223">
        <f>AC27*$C$27</f>
        <v>49264.615901134712</v>
      </c>
      <c r="AF27" s="223"/>
      <c r="AG27" s="223">
        <f>AE27*$C$27</f>
        <v>50988.877457674425</v>
      </c>
    </row>
    <row r="28" spans="1:33" s="211" customFormat="1" ht="14">
      <c r="A28" s="211" t="s">
        <v>847</v>
      </c>
      <c r="C28" s="238"/>
      <c r="E28" s="223">
        <f>Application!AC889</f>
        <v>60250</v>
      </c>
      <c r="F28" s="223"/>
      <c r="G28" s="223">
        <f>$E$28</f>
        <v>60250</v>
      </c>
      <c r="H28" s="223"/>
      <c r="I28" s="223">
        <f>$E$28</f>
        <v>60250</v>
      </c>
      <c r="J28" s="223"/>
      <c r="K28" s="223">
        <f>$E$28</f>
        <v>60250</v>
      </c>
      <c r="L28" s="223"/>
      <c r="M28" s="223">
        <f>$E$28</f>
        <v>60250</v>
      </c>
      <c r="N28" s="223"/>
      <c r="O28" s="223">
        <f>$E$28</f>
        <v>60250</v>
      </c>
      <c r="P28" s="223"/>
      <c r="Q28" s="223">
        <f>$E$28</f>
        <v>60250</v>
      </c>
      <c r="R28" s="223"/>
      <c r="S28" s="223">
        <f>$E$28</f>
        <v>60250</v>
      </c>
      <c r="T28" s="223"/>
      <c r="U28" s="223">
        <f>$E$28</f>
        <v>60250</v>
      </c>
      <c r="V28" s="223"/>
      <c r="W28" s="223">
        <f>$E$28</f>
        <v>60250</v>
      </c>
      <c r="X28" s="223"/>
      <c r="Y28" s="223">
        <f>$E$28</f>
        <v>60250</v>
      </c>
      <c r="Z28" s="223"/>
      <c r="AA28" s="223">
        <f>$E$28</f>
        <v>60250</v>
      </c>
      <c r="AB28" s="223"/>
      <c r="AC28" s="223">
        <f>$E$28</f>
        <v>60250</v>
      </c>
      <c r="AD28" s="223"/>
      <c r="AE28" s="223">
        <f>$E$28</f>
        <v>60250</v>
      </c>
      <c r="AF28" s="223"/>
      <c r="AG28" s="223">
        <f>$E$28</f>
        <v>60250</v>
      </c>
    </row>
    <row r="29" spans="1:33" s="211" customFormat="1" ht="14">
      <c r="A29" s="211" t="s">
        <v>1680</v>
      </c>
      <c r="C29" s="238"/>
      <c r="E29" s="223">
        <f>Application!AC890</f>
        <v>18075</v>
      </c>
      <c r="F29" s="223"/>
      <c r="G29" s="223">
        <f>$E$29</f>
        <v>18075</v>
      </c>
      <c r="H29" s="223"/>
      <c r="I29" s="223">
        <f>$E$29</f>
        <v>18075</v>
      </c>
      <c r="J29" s="223"/>
      <c r="K29" s="223">
        <f>$E$29</f>
        <v>18075</v>
      </c>
      <c r="L29" s="223"/>
      <c r="M29" s="223">
        <f>$E$29</f>
        <v>18075</v>
      </c>
      <c r="N29" s="223"/>
      <c r="O29" s="223">
        <f>$E$29</f>
        <v>18075</v>
      </c>
      <c r="P29" s="223"/>
      <c r="Q29" s="223">
        <f>$E$29</f>
        <v>18075</v>
      </c>
      <c r="R29" s="223"/>
      <c r="S29" s="223">
        <f>$E$29</f>
        <v>18075</v>
      </c>
      <c r="T29" s="223"/>
      <c r="U29" s="223">
        <f>$E$29</f>
        <v>18075</v>
      </c>
      <c r="V29" s="223"/>
      <c r="W29" s="223">
        <f>$E$29</f>
        <v>18075</v>
      </c>
      <c r="X29" s="223"/>
      <c r="Y29" s="223">
        <f>$E$29</f>
        <v>18075</v>
      </c>
      <c r="Z29" s="223"/>
      <c r="AA29" s="223">
        <f>$E$29</f>
        <v>18075</v>
      </c>
      <c r="AB29" s="223"/>
      <c r="AC29" s="223">
        <f>$E$29</f>
        <v>18075</v>
      </c>
      <c r="AD29" s="223"/>
      <c r="AE29" s="223">
        <f>$E$29</f>
        <v>18075</v>
      </c>
      <c r="AF29" s="223"/>
      <c r="AG29" s="223">
        <f>$E$29</f>
        <v>18075</v>
      </c>
    </row>
    <row r="30" spans="1:33" s="211" customFormat="1" ht="14">
      <c r="A30" s="211" t="s">
        <v>845</v>
      </c>
      <c r="C30" s="238">
        <v>1.02</v>
      </c>
      <c r="E30" s="223">
        <f>Application!AC891</f>
        <v>36150</v>
      </c>
      <c r="F30" s="223"/>
      <c r="G30" s="223">
        <f>E30*$C$30</f>
        <v>36873</v>
      </c>
      <c r="H30" s="223"/>
      <c r="I30" s="223">
        <f>G30*$C$30</f>
        <v>37610.46</v>
      </c>
      <c r="J30" s="223"/>
      <c r="K30" s="223">
        <f>I30*$C$30</f>
        <v>38362.669199999997</v>
      </c>
      <c r="L30" s="223"/>
      <c r="M30" s="223">
        <f>K30*$C$30</f>
        <v>39129.922584</v>
      </c>
      <c r="N30" s="223"/>
      <c r="O30" s="223">
        <f>M30*$C$30</f>
        <v>39912.521035680002</v>
      </c>
      <c r="P30" s="223"/>
      <c r="Q30" s="223">
        <f>O30*$C$30</f>
        <v>40710.771456393602</v>
      </c>
      <c r="R30" s="223"/>
      <c r="S30" s="223">
        <f>Q30*$C$30</f>
        <v>41524.986885521474</v>
      </c>
      <c r="T30" s="223"/>
      <c r="U30" s="223">
        <f>S30*$C$30</f>
        <v>42355.486623231904</v>
      </c>
      <c r="V30" s="223"/>
      <c r="W30" s="223">
        <f>U30*$C$30</f>
        <v>43202.596355696543</v>
      </c>
      <c r="X30" s="223"/>
      <c r="Y30" s="223">
        <f>W30*$C$30</f>
        <v>44066.648282810478</v>
      </c>
      <c r="Z30" s="223"/>
      <c r="AA30" s="223">
        <f>Y30*$C$30</f>
        <v>44947.981248466691</v>
      </c>
      <c r="AB30" s="223"/>
      <c r="AC30" s="223">
        <f>AA30*$C$30</f>
        <v>45846.940873436026</v>
      </c>
      <c r="AD30" s="223"/>
      <c r="AE30" s="223">
        <f>AC30*$C$30</f>
        <v>46763.879690904745</v>
      </c>
      <c r="AF30" s="223"/>
      <c r="AG30" s="223">
        <f>AE30*$C$30</f>
        <v>47699.157284722838</v>
      </c>
    </row>
    <row r="31" spans="1:33" s="211" customFormat="1" ht="14">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1436530</v>
      </c>
      <c r="G35" s="224">
        <f>SUM(G22:G33)</f>
        <v>1483524.925</v>
      </c>
      <c r="I35" s="224">
        <f>SUM(I22:I33)</f>
        <v>1532153.8273749994</v>
      </c>
      <c r="K35" s="224">
        <f>SUM(K22:K33)</f>
        <v>1582473.6794331246</v>
      </c>
      <c r="M35" s="224">
        <f>SUM(M22:M33)</f>
        <v>1634543.443175284</v>
      </c>
      <c r="O35" s="224">
        <f>SUM(O22:O33)</f>
        <v>1688424.1398476588</v>
      </c>
      <c r="Q35" s="224">
        <f>SUM(Q22:Q33)</f>
        <v>1744178.9219267913</v>
      </c>
      <c r="S35" s="224">
        <f>SUM(S22:S33)</f>
        <v>1801873.1476223832</v>
      </c>
      <c r="U35" s="224">
        <f>SUM(U22:U33)</f>
        <v>1861574.4579858836</v>
      </c>
      <c r="W35" s="224">
        <f>SUM(W22:W33)</f>
        <v>1923352.8567160405</v>
      </c>
      <c r="Y35" s="224">
        <f>SUM(Y22:Y33)</f>
        <v>1987280.7927557665</v>
      </c>
      <c r="AA35" s="224">
        <f>SUM(AA22:AA33)</f>
        <v>2053433.2457779762</v>
      </c>
      <c r="AC35" s="224">
        <f>SUM(AC22:AC33)</f>
        <v>2121887.8146614777</v>
      </c>
      <c r="AE35" s="224">
        <f>SUM(AE22:AE33)</f>
        <v>2192724.8090615282</v>
      </c>
      <c r="AG35" s="224">
        <f>SUM(AG22:AG33)</f>
        <v>2266027.3441833179</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848</v>
      </c>
      <c r="C37" s="225"/>
      <c r="E37" s="224">
        <f>E11-E35</f>
        <v>3636167.9000000004</v>
      </c>
      <c r="G37" s="224">
        <f>G11-G35</f>
        <v>3715990.4225000003</v>
      </c>
      <c r="I37" s="224">
        <f>I11-I35</f>
        <v>3797349.4038124997</v>
      </c>
      <c r="K37" s="224">
        <f>K11-K35</f>
        <v>3880267.132534062</v>
      </c>
      <c r="M37" s="224">
        <f>M11-M35</f>
        <v>3964765.889091081</v>
      </c>
      <c r="O37" s="224">
        <f>O11-O35</f>
        <v>4050867.9257253651</v>
      </c>
      <c r="Q37" s="224">
        <f>Q11-Q35</f>
        <v>4138595.4452855582</v>
      </c>
      <c r="S37" s="224">
        <f>S11-S35</f>
        <v>4227970.5787702743</v>
      </c>
      <c r="U37" s="224">
        <f>U11-U35</f>
        <v>4319015.3615665901</v>
      </c>
      <c r="W37" s="224">
        <f>W11-W35</f>
        <v>4411751.7083252445</v>
      </c>
      <c r="Y37" s="224">
        <f>Y11-Y35</f>
        <v>4506201.3864115495</v>
      </c>
      <c r="AA37" s="224">
        <f>AA11-AA35</f>
        <v>4602385.9878685232</v>
      </c>
      <c r="AC37" s="224">
        <f>AC11-AC35</f>
        <v>4700326.8998261821</v>
      </c>
      <c r="AE37" s="224">
        <f>AE11-AE35</f>
        <v>4800045.2732883226</v>
      </c>
      <c r="AG37" s="224">
        <f>AG11-AG35</f>
        <v>4901561.9902252778</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Citibank</v>
      </c>
      <c r="B40" s="227"/>
      <c r="C40" s="221"/>
      <c r="E40" s="223">
        <f>Application!AF627</f>
        <v>3161816</v>
      </c>
      <c r="F40" s="223"/>
      <c r="G40" s="223">
        <f>$E$40</f>
        <v>3161816</v>
      </c>
      <c r="H40" s="223"/>
      <c r="I40" s="223">
        <f>$E$40</f>
        <v>3161816</v>
      </c>
      <c r="J40" s="223"/>
      <c r="K40" s="223">
        <f>$E$40</f>
        <v>3161816</v>
      </c>
      <c r="L40" s="223"/>
      <c r="M40" s="223">
        <f>$E$40</f>
        <v>3161816</v>
      </c>
      <c r="N40" s="223"/>
      <c r="O40" s="223">
        <f>$E$40</f>
        <v>3161816</v>
      </c>
      <c r="P40" s="223"/>
      <c r="Q40" s="223">
        <f>$E$40</f>
        <v>3161816</v>
      </c>
      <c r="R40" s="223"/>
      <c r="S40" s="223">
        <f>$E$40</f>
        <v>3161816</v>
      </c>
      <c r="T40" s="223"/>
      <c r="U40" s="223">
        <f>$E$40</f>
        <v>3161816</v>
      </c>
      <c r="V40" s="223"/>
      <c r="W40" s="223">
        <f>$E$40</f>
        <v>3161816</v>
      </c>
      <c r="X40" s="223"/>
      <c r="Y40" s="223">
        <f>$E$40</f>
        <v>3161816</v>
      </c>
      <c r="Z40" s="223"/>
      <c r="AA40" s="223">
        <f>$E$40</f>
        <v>3161816</v>
      </c>
      <c r="AB40" s="223"/>
      <c r="AC40" s="223">
        <f>$E$40</f>
        <v>3161816</v>
      </c>
      <c r="AD40" s="223"/>
      <c r="AE40" s="223">
        <f>$E$40</f>
        <v>3161816</v>
      </c>
      <c r="AF40" s="223"/>
      <c r="AG40" s="223">
        <f>$E$40</f>
        <v>3161816</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849</v>
      </c>
      <c r="C43" s="225"/>
      <c r="E43" s="224">
        <f>SUM(E40:E42)</f>
        <v>3161816</v>
      </c>
      <c r="G43" s="224">
        <f>SUM(G40:G42)</f>
        <v>3161816</v>
      </c>
      <c r="I43" s="224">
        <f>SUM(I40:I42)</f>
        <v>3161816</v>
      </c>
      <c r="K43" s="224">
        <f>SUM(K40:K42)</f>
        <v>3161816</v>
      </c>
      <c r="M43" s="224">
        <f>SUM(M40:M42)</f>
        <v>3161816</v>
      </c>
      <c r="O43" s="224">
        <f>SUM(O40:O42)</f>
        <v>3161816</v>
      </c>
      <c r="Q43" s="224">
        <f>SUM(Q40:Q42)</f>
        <v>3161816</v>
      </c>
      <c r="S43" s="224">
        <f>SUM(S40:S42)</f>
        <v>3161816</v>
      </c>
      <c r="U43" s="224">
        <f>SUM(U40:U42)</f>
        <v>3161816</v>
      </c>
      <c r="W43" s="224">
        <f>SUM(W40:W42)</f>
        <v>3161816</v>
      </c>
      <c r="Y43" s="224">
        <f>SUM(Y40:Y42)</f>
        <v>3161816</v>
      </c>
      <c r="AA43" s="224">
        <f>SUM(AA40:AA42)</f>
        <v>3161816</v>
      </c>
      <c r="AC43" s="224">
        <f>SUM(AC40:AC42)</f>
        <v>3161816</v>
      </c>
      <c r="AE43" s="224">
        <f>SUM(AE40:AE42)</f>
        <v>3161816</v>
      </c>
      <c r="AG43" s="224">
        <f>SUM(AG40:AG42)</f>
        <v>3161816</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850</v>
      </c>
      <c r="C45" s="225"/>
      <c r="E45" s="224">
        <f>E37-E43</f>
        <v>474351.90000000037</v>
      </c>
      <c r="G45" s="224">
        <f>G37-G43</f>
        <v>554174.42250000034</v>
      </c>
      <c r="I45" s="224">
        <f>I37-I43</f>
        <v>635533.40381249972</v>
      </c>
      <c r="K45" s="224">
        <f>K37-K43</f>
        <v>718451.13253406202</v>
      </c>
      <c r="M45" s="224">
        <f>M37-M43</f>
        <v>802949.88909108099</v>
      </c>
      <c r="O45" s="224">
        <f>O37-O43</f>
        <v>889051.92572536506</v>
      </c>
      <c r="Q45" s="224">
        <f>Q37-Q43</f>
        <v>976779.44528555823</v>
      </c>
      <c r="S45" s="224">
        <f>S37-S43</f>
        <v>1066154.5787702743</v>
      </c>
      <c r="U45" s="224">
        <f>U37-U43</f>
        <v>1157199.3615665901</v>
      </c>
      <c r="W45" s="224">
        <f>W37-W43</f>
        <v>1249935.7083252445</v>
      </c>
      <c r="Y45" s="224">
        <f>Y37-Y43</f>
        <v>1344385.3864115495</v>
      </c>
      <c r="AA45" s="224">
        <f>AA37-AA43</f>
        <v>1440569.9878685232</v>
      </c>
      <c r="AC45" s="224">
        <f>AC37-AC43</f>
        <v>1538510.8998261821</v>
      </c>
      <c r="AE45" s="224">
        <f>AE37-AE43</f>
        <v>1638229.2732883226</v>
      </c>
      <c r="AG45" s="224">
        <f>AG37-AG43</f>
        <v>1739745.9902252778</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852</v>
      </c>
      <c r="C47" s="221"/>
      <c r="E47" s="228">
        <f>E45/(E4+E6+E8)</f>
        <v>8.8835234008317415E-2</v>
      </c>
      <c r="G47" s="228">
        <f>G45/(G4+G6+G8)</f>
        <v>0.10125284111876551</v>
      </c>
      <c r="I47" s="228">
        <f>I45/(I4+I6+I8)</f>
        <v>0.11328574304801538</v>
      </c>
      <c r="K47" s="228">
        <f>K45/(K4+K6+K8)</f>
        <v>0.1249425150122716</v>
      </c>
      <c r="M47" s="228">
        <f>M45/(M4+M6+M8)</f>
        <v>0.13623151524078714</v>
      </c>
      <c r="O47" s="228">
        <f>O45/(O4+O6+O8)</f>
        <v>0.14716089019156234</v>
      </c>
      <c r="Q47" s="228">
        <f>Q45/(Q4+Q6+Q8)</f>
        <v>0.15773857963908283</v>
      </c>
      <c r="S47" s="228">
        <f>S45/(S4+S6+S8)</f>
        <v>0.16797232163721335</v>
      </c>
      <c r="U47" s="228">
        <f>U45/(U4+U6+U8)</f>
        <v>0.17786965736028443</v>
      </c>
      <c r="W47" s="228">
        <f>W45/(W4+W6+W8)</f>
        <v>0.18743793582533297</v>
      </c>
      <c r="Y47" s="228">
        <f>Y45/(Y4+Y6+Y8)</f>
        <v>0.19668431849839124</v>
      </c>
      <c r="AA47" s="228">
        <f>AA45/(AA4+AA6+AA8)</f>
        <v>0.20561578378764345</v>
      </c>
      <c r="AC47" s="228">
        <f>AC45/(AC4+AC6+AC8)</f>
        <v>0.21423913142619935</v>
      </c>
      <c r="AE47" s="228">
        <f>AE45/(AE4+AE6+AE8)</f>
        <v>0.22256098674717492</v>
      </c>
      <c r="AG47" s="228">
        <f>AG45/(AG4+AG6+AG8)</f>
        <v>0.23058780485369204</v>
      </c>
    </row>
    <row r="48" spans="1:33" s="228" customFormat="1" ht="14">
      <c r="A48" s="228" t="s">
        <v>853</v>
      </c>
      <c r="C48" s="221"/>
      <c r="E48" s="228">
        <f>E45/E43</f>
        <v>0.1500251437781327</v>
      </c>
      <c r="G48" s="228">
        <f>G45/G43</f>
        <v>0.17527092737211791</v>
      </c>
      <c r="I48" s="228">
        <f>I45/I43</f>
        <v>0.20100265284649699</v>
      </c>
      <c r="K48" s="228">
        <f>K45/K43</f>
        <v>0.22722736950349484</v>
      </c>
      <c r="M48" s="228">
        <f>M45/M43</f>
        <v>0.25395212406132456</v>
      </c>
      <c r="O48" s="228">
        <f>O45/O43</f>
        <v>0.2811839543241495</v>
      </c>
      <c r="Q48" s="228">
        <f>Q45/Q43</f>
        <v>0.30892988247436226</v>
      </c>
      <c r="S48" s="228">
        <f>S45/S43</f>
        <v>0.33719690797006352</v>
      </c>
      <c r="U48" s="228">
        <f>U45/U43</f>
        <v>0.36599200002991639</v>
      </c>
      <c r="W48" s="228">
        <f>W45/W43</f>
        <v>0.39532208968682697</v>
      </c>
      <c r="Y48" s="228">
        <f>Y45/Y43</f>
        <v>0.42519406139115923</v>
      </c>
      <c r="AA48" s="228">
        <f>AA45/AA43</f>
        <v>0.45561474414340469</v>
      </c>
      <c r="AC48" s="228">
        <f>AC45/AC43</f>
        <v>0.48659090213541273</v>
      </c>
      <c r="AE48" s="228">
        <f>AE45/AE43</f>
        <v>0.51812922487846302</v>
      </c>
      <c r="AG48" s="228">
        <f>AG45/AG43</f>
        <v>0.5502363167955624</v>
      </c>
    </row>
    <row r="49" spans="1:34" s="229" customFormat="1" ht="14">
      <c r="A49" s="229" t="s">
        <v>851</v>
      </c>
      <c r="C49" s="230"/>
      <c r="E49" s="229">
        <f>E37/E43</f>
        <v>1.1500251437781326</v>
      </c>
      <c r="G49" s="229">
        <f>G37/G43</f>
        <v>1.1752709273721178</v>
      </c>
      <c r="I49" s="229">
        <f>I37/I43</f>
        <v>1.201002652846497</v>
      </c>
      <c r="K49" s="229">
        <f>K37/K43</f>
        <v>1.2272273695034948</v>
      </c>
      <c r="M49" s="229">
        <f>M37/M43</f>
        <v>1.2539521240613245</v>
      </c>
      <c r="O49" s="229">
        <f>O37/O43</f>
        <v>1.2811839543241494</v>
      </c>
      <c r="Q49" s="229">
        <f>Q37/Q43</f>
        <v>1.3089298824743623</v>
      </c>
      <c r="S49" s="229">
        <f>S37/S43</f>
        <v>1.3371969079700634</v>
      </c>
      <c r="U49" s="229">
        <f>U37/U43</f>
        <v>1.3659920000299164</v>
      </c>
      <c r="W49" s="229">
        <f>W37/W43</f>
        <v>1.395322089686827</v>
      </c>
      <c r="Y49" s="229">
        <f>Y37/Y43</f>
        <v>1.4251940613911593</v>
      </c>
      <c r="AA49" s="229">
        <f>AA37/AA43</f>
        <v>1.4556147441434046</v>
      </c>
      <c r="AC49" s="229">
        <f>AC37/AC43</f>
        <v>1.4865909021354127</v>
      </c>
      <c r="AE49" s="229">
        <f>AE37/AE43</f>
        <v>1.518129224878463</v>
      </c>
      <c r="AG49" s="229">
        <f>AG37/AG43</f>
        <v>1.5502363167955624</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2" t="s">
        <v>1184</v>
      </c>
      <c r="B52" s="2692"/>
      <c r="C52" s="2692"/>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v>1.03</v>
      </c>
      <c r="E53" s="965">
        <v>25000</v>
      </c>
      <c r="G53" s="961">
        <f>E53*$C$53</f>
        <v>25750</v>
      </c>
      <c r="I53" s="961">
        <f>G53*$C$53</f>
        <v>26522.5</v>
      </c>
      <c r="K53" s="961">
        <f>I53*$C$53</f>
        <v>27318.174999999999</v>
      </c>
      <c r="M53" s="961">
        <f>K53*$C$53</f>
        <v>28137.720249999998</v>
      </c>
      <c r="O53" s="961">
        <f>M53*$C$53</f>
        <v>28981.851857499998</v>
      </c>
      <c r="Q53" s="961">
        <f>O53*$C$53</f>
        <v>29851.307413225</v>
      </c>
      <c r="S53" s="961">
        <f>Q53*$C$53</f>
        <v>30746.84663562175</v>
      </c>
      <c r="U53" s="961">
        <f>S53*$C$53</f>
        <v>31669.252034690402</v>
      </c>
      <c r="W53" s="961">
        <f>U53*$C$53</f>
        <v>32619.329595731117</v>
      </c>
      <c r="Y53" s="961">
        <f>W53*$C$53</f>
        <v>33597.909483603049</v>
      </c>
      <c r="AA53" s="961">
        <f>Y53*$C$53</f>
        <v>34605.846768111143</v>
      </c>
      <c r="AC53" s="961">
        <f>AA53*$C$53</f>
        <v>35644.02217115448</v>
      </c>
      <c r="AE53" s="961">
        <f>AC53*$C$53</f>
        <v>36713.342836289114</v>
      </c>
      <c r="AG53" s="961">
        <f>AE53*$C$53</f>
        <v>37814.743121377789</v>
      </c>
    </row>
    <row r="54" spans="1:34" s="3" customFormat="1">
      <c r="A54" s="3" t="s">
        <v>856</v>
      </c>
      <c r="C54" s="959">
        <v>1.03</v>
      </c>
      <c r="E54" s="966">
        <v>7500</v>
      </c>
      <c r="F54" s="961"/>
      <c r="G54" s="961">
        <f t="shared" ref="G54:AG57" si="1">E54*$C$53</f>
        <v>7725</v>
      </c>
      <c r="H54" s="961"/>
      <c r="I54" s="961">
        <f t="shared" si="1"/>
        <v>7956.75</v>
      </c>
      <c r="J54" s="961"/>
      <c r="K54" s="961">
        <f t="shared" si="1"/>
        <v>8195.4524999999994</v>
      </c>
      <c r="L54" s="961"/>
      <c r="M54" s="961">
        <f t="shared" si="1"/>
        <v>8441.3160749999988</v>
      </c>
      <c r="N54" s="961"/>
      <c r="O54" s="961">
        <f t="shared" si="1"/>
        <v>8694.5555572499998</v>
      </c>
      <c r="P54" s="961"/>
      <c r="Q54" s="961">
        <f t="shared" si="1"/>
        <v>8955.3922239674994</v>
      </c>
      <c r="R54" s="961"/>
      <c r="S54" s="961">
        <f t="shared" si="1"/>
        <v>9224.0539906865251</v>
      </c>
      <c r="T54" s="961"/>
      <c r="U54" s="961">
        <f t="shared" si="1"/>
        <v>9500.7756104071213</v>
      </c>
      <c r="V54" s="961"/>
      <c r="W54" s="961">
        <f t="shared" si="1"/>
        <v>9785.7988787193353</v>
      </c>
      <c r="X54" s="961"/>
      <c r="Y54" s="961">
        <f t="shared" si="1"/>
        <v>10079.372845080916</v>
      </c>
      <c r="Z54" s="961"/>
      <c r="AA54" s="961">
        <f t="shared" si="1"/>
        <v>10381.754030433343</v>
      </c>
      <c r="AB54" s="961"/>
      <c r="AC54" s="961">
        <f t="shared" si="1"/>
        <v>10693.206651346343</v>
      </c>
      <c r="AD54" s="961"/>
      <c r="AE54" s="961">
        <f t="shared" si="1"/>
        <v>11014.002850886734</v>
      </c>
      <c r="AF54" s="961"/>
      <c r="AG54" s="961">
        <f t="shared" si="1"/>
        <v>11344.422936413337</v>
      </c>
      <c r="AH54" s="961"/>
    </row>
    <row r="55" spans="1:34" s="3" customFormat="1">
      <c r="A55" s="3" t="s">
        <v>2664</v>
      </c>
      <c r="C55" s="959">
        <v>1.03</v>
      </c>
      <c r="E55" s="966">
        <v>25000</v>
      </c>
      <c r="F55" s="961"/>
      <c r="G55" s="961">
        <f t="shared" si="1"/>
        <v>25750</v>
      </c>
      <c r="H55" s="961"/>
      <c r="I55" s="961">
        <f t="shared" si="1"/>
        <v>26522.5</v>
      </c>
      <c r="J55" s="961"/>
      <c r="K55" s="961">
        <f t="shared" si="1"/>
        <v>27318.174999999999</v>
      </c>
      <c r="L55" s="961"/>
      <c r="M55" s="961">
        <f t="shared" si="1"/>
        <v>28137.720249999998</v>
      </c>
      <c r="N55" s="961"/>
      <c r="O55" s="961">
        <f t="shared" si="1"/>
        <v>28981.851857499998</v>
      </c>
      <c r="P55" s="961"/>
      <c r="Q55" s="961">
        <f t="shared" si="1"/>
        <v>29851.307413225</v>
      </c>
      <c r="R55" s="961"/>
      <c r="S55" s="961">
        <f t="shared" si="1"/>
        <v>30746.84663562175</v>
      </c>
      <c r="T55" s="961"/>
      <c r="U55" s="961">
        <f t="shared" si="1"/>
        <v>31669.252034690402</v>
      </c>
      <c r="V55" s="961"/>
      <c r="W55" s="961">
        <f t="shared" si="1"/>
        <v>32619.329595731117</v>
      </c>
      <c r="X55" s="961"/>
      <c r="Y55" s="961">
        <f t="shared" si="1"/>
        <v>33597.909483603049</v>
      </c>
      <c r="Z55" s="961"/>
      <c r="AA55" s="961">
        <f t="shared" si="1"/>
        <v>34605.846768111143</v>
      </c>
      <c r="AB55" s="961"/>
      <c r="AC55" s="961">
        <f t="shared" si="1"/>
        <v>35644.02217115448</v>
      </c>
      <c r="AD55" s="961"/>
      <c r="AE55" s="961">
        <f t="shared" si="1"/>
        <v>36713.342836289114</v>
      </c>
      <c r="AF55" s="961"/>
      <c r="AG55" s="961">
        <f t="shared" si="1"/>
        <v>37814.743121377789</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57500</v>
      </c>
      <c r="F58" s="961"/>
      <c r="G58" s="961">
        <f>SUM(G53:G57)</f>
        <v>59225</v>
      </c>
      <c r="H58" s="961"/>
      <c r="I58" s="961">
        <f>SUM(I53:I57)</f>
        <v>61001.75</v>
      </c>
      <c r="J58" s="961"/>
      <c r="K58" s="961">
        <f>SUM(K53:K57)</f>
        <v>62831.802500000005</v>
      </c>
      <c r="L58" s="961"/>
      <c r="M58" s="961">
        <f>SUM(M53:M57)</f>
        <v>64716.756574999992</v>
      </c>
      <c r="N58" s="961"/>
      <c r="O58" s="961">
        <f>SUM(O53:O57)</f>
        <v>66658.259272249998</v>
      </c>
      <c r="P58" s="961"/>
      <c r="Q58" s="961">
        <f>SUM(Q53:Q57)</f>
        <v>68658.007050417495</v>
      </c>
      <c r="R58" s="961"/>
      <c r="S58" s="961">
        <f>SUM(S53:S57)</f>
        <v>70717.747261930024</v>
      </c>
      <c r="T58" s="961"/>
      <c r="U58" s="961">
        <f>SUM(U53:U57)</f>
        <v>72839.279679787927</v>
      </c>
      <c r="V58" s="961"/>
      <c r="W58" s="961">
        <f>SUM(W53:W57)</f>
        <v>75024.458070181572</v>
      </c>
      <c r="X58" s="961"/>
      <c r="Y58" s="961">
        <f>SUM(Y53:Y57)</f>
        <v>77275.191812287012</v>
      </c>
      <c r="Z58" s="961"/>
      <c r="AA58" s="961">
        <f>SUM(AA53:AA57)</f>
        <v>79593.447566655639</v>
      </c>
      <c r="AB58" s="961"/>
      <c r="AC58" s="961">
        <f>SUM(AC53:AC57)</f>
        <v>81981.250993655296</v>
      </c>
      <c r="AD58" s="961"/>
      <c r="AE58" s="961">
        <f>SUM(AE53:AE57)</f>
        <v>84440.688523464953</v>
      </c>
      <c r="AF58" s="961"/>
      <c r="AG58" s="961">
        <f>SUM(AG53:AG57)</f>
        <v>86973.909179168913</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416851.90000000037</v>
      </c>
      <c r="G60" s="963">
        <f>G45-G58</f>
        <v>494949.42250000034</v>
      </c>
      <c r="I60" s="963">
        <f>I45-I58</f>
        <v>574531.65381249972</v>
      </c>
      <c r="K60" s="963">
        <f>K45-K58</f>
        <v>655619.33003406203</v>
      </c>
      <c r="M60" s="963">
        <f>M45-M58</f>
        <v>738233.13251608098</v>
      </c>
      <c r="O60" s="963">
        <f>O45-O58</f>
        <v>822393.66645311506</v>
      </c>
      <c r="Q60" s="963">
        <f>Q45-Q58</f>
        <v>908121.43823514075</v>
      </c>
      <c r="S60" s="963">
        <f>S45-S58</f>
        <v>995436.83150834427</v>
      </c>
      <c r="U60" s="963">
        <f>U45-U58</f>
        <v>1084360.0818868023</v>
      </c>
      <c r="W60" s="963">
        <f>W45-W58</f>
        <v>1174911.2502550629</v>
      </c>
      <c r="Y60" s="963">
        <f>Y45-Y58</f>
        <v>1267110.1945992624</v>
      </c>
      <c r="AA60" s="963">
        <f>AA45-AA58</f>
        <v>1360976.5403018675</v>
      </c>
      <c r="AC60" s="963">
        <f>AC45-AC58</f>
        <v>1456529.6488325268</v>
      </c>
      <c r="AE60" s="963">
        <f>AE45-AE58</f>
        <v>1553788.5847648578</v>
      </c>
      <c r="AG60" s="963">
        <f>AG45-AG58</f>
        <v>1652772.0810461089</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v>1</v>
      </c>
      <c r="E62" s="965">
        <f>E60*$C$62</f>
        <v>416851.90000000037</v>
      </c>
      <c r="G62" s="963">
        <f>G60*$C$62</f>
        <v>494949.42250000034</v>
      </c>
      <c r="I62" s="963">
        <f>I60*$C$62</f>
        <v>574531.65381249972</v>
      </c>
      <c r="K62" s="963">
        <f>K60*$C$62</f>
        <v>655619.33003406203</v>
      </c>
      <c r="M62" s="963">
        <f>M60*$C$62</f>
        <v>738233.13251608098</v>
      </c>
      <c r="O62" s="963">
        <f>O60*$C$62</f>
        <v>822393.66645311506</v>
      </c>
      <c r="Q62" s="963">
        <f>Q60*$C$62</f>
        <v>908121.43823514075</v>
      </c>
      <c r="S62" s="963">
        <f>S60*$C$62</f>
        <v>995436.83150834427</v>
      </c>
      <c r="U62" s="963">
        <f>U60*$C$62</f>
        <v>1084360.0818868023</v>
      </c>
      <c r="W62" s="963">
        <f>W60*$C$62</f>
        <v>1174911.2502550629</v>
      </c>
      <c r="Y62" s="963">
        <f>Y60*$C$62</f>
        <v>1267110.1945992624</v>
      </c>
      <c r="AA62" s="963">
        <f>AA60*$C$62</f>
        <v>1360976.5403018675</v>
      </c>
      <c r="AC62" s="963">
        <f>AC60*$C$62</f>
        <v>1456529.6488325268</v>
      </c>
      <c r="AE62" s="963">
        <f t="shared" ref="AE62" si="2">AE60*$C$62</f>
        <v>1553788.5847648578</v>
      </c>
      <c r="AG62" s="963">
        <f t="shared" ref="AG62" si="3">AG60*$C$62</f>
        <v>1652772.0810461089</v>
      </c>
    </row>
    <row r="63" spans="1:34" s="963" customFormat="1">
      <c r="A63" s="2692" t="s">
        <v>1184</v>
      </c>
      <c r="B63" s="2692"/>
      <c r="C63" s="2692"/>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v>0.25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t="s">
        <v>2659</v>
      </c>
      <c r="B66" s="965"/>
      <c r="C66" s="964"/>
      <c r="E66" s="965">
        <f>E60-E62</f>
        <v>0</v>
      </c>
      <c r="G66" s="965">
        <f t="shared" ref="G66" si="4">G60-G62</f>
        <v>0</v>
      </c>
      <c r="I66" s="965">
        <f t="shared" ref="I66" si="5">I60-I62</f>
        <v>0</v>
      </c>
      <c r="K66" s="965">
        <f t="shared" ref="K66" si="6">K60-K62</f>
        <v>0</v>
      </c>
      <c r="M66" s="965">
        <f t="shared" ref="M66" si="7">M60-M62</f>
        <v>0</v>
      </c>
      <c r="O66" s="965">
        <f t="shared" ref="O66" si="8">O60-O62</f>
        <v>0</v>
      </c>
      <c r="Q66" s="965">
        <f t="shared" ref="Q66" si="9">Q60-Q62</f>
        <v>0</v>
      </c>
      <c r="S66" s="965">
        <f t="shared" ref="S66" si="10">S60-S62</f>
        <v>0</v>
      </c>
      <c r="U66" s="965">
        <f t="shared" ref="U66" si="11">U60-U62</f>
        <v>0</v>
      </c>
      <c r="W66" s="965">
        <f t="shared" ref="W66" si="12">W60-W62</f>
        <v>0</v>
      </c>
      <c r="Y66" s="965">
        <f t="shared" ref="Y66" si="13">Y60-Y62</f>
        <v>0</v>
      </c>
      <c r="AA66" s="965">
        <f t="shared" ref="AA66" si="14">AA60-AA62</f>
        <v>0</v>
      </c>
      <c r="AC66" s="965">
        <f t="shared" ref="AC66" si="15">AC60-AC62</f>
        <v>0</v>
      </c>
      <c r="AE66" s="965">
        <f t="shared" ref="AE66" si="16">AE60-AE62</f>
        <v>0</v>
      </c>
      <c r="AG66" s="965">
        <f t="shared" ref="AG66" si="17">AG60-AG62</f>
        <v>0</v>
      </c>
    </row>
    <row r="67" spans="1:34" s="961" customFormat="1">
      <c r="A67" s="966" t="s">
        <v>2660</v>
      </c>
      <c r="B67" s="966"/>
      <c r="C67" s="971"/>
      <c r="E67" s="965"/>
    </row>
    <row r="68" spans="1:34" s="961" customFormat="1">
      <c r="A68" s="966"/>
      <c r="B68" s="966"/>
      <c r="C68" s="971"/>
      <c r="E68" s="966"/>
      <c r="G68" s="961">
        <f t="shared" ref="G68:AG69" si="18">E68*$C$66</f>
        <v>0</v>
      </c>
      <c r="I68" s="961">
        <f t="shared" si="18"/>
        <v>0</v>
      </c>
      <c r="K68" s="961">
        <f t="shared" si="18"/>
        <v>0</v>
      </c>
      <c r="M68" s="961">
        <f t="shared" si="18"/>
        <v>0</v>
      </c>
      <c r="O68" s="961">
        <f t="shared" si="18"/>
        <v>0</v>
      </c>
      <c r="Q68" s="961">
        <f t="shared" si="18"/>
        <v>0</v>
      </c>
      <c r="S68" s="961">
        <f t="shared" si="18"/>
        <v>0</v>
      </c>
      <c r="U68" s="961">
        <f t="shared" si="18"/>
        <v>0</v>
      </c>
      <c r="W68" s="961">
        <f t="shared" si="18"/>
        <v>0</v>
      </c>
      <c r="Y68" s="961">
        <f t="shared" si="18"/>
        <v>0</v>
      </c>
      <c r="AA68" s="961">
        <f t="shared" si="18"/>
        <v>0</v>
      </c>
      <c r="AC68" s="961">
        <f t="shared" si="18"/>
        <v>0</v>
      </c>
      <c r="AE68" s="961">
        <f t="shared" si="18"/>
        <v>0</v>
      </c>
      <c r="AG68" s="961">
        <f t="shared" si="18"/>
        <v>0</v>
      </c>
    </row>
    <row r="69" spans="1:34" s="961" customFormat="1">
      <c r="A69" s="966"/>
      <c r="B69" s="966"/>
      <c r="C69" s="971"/>
      <c r="E69" s="968"/>
      <c r="G69" s="969">
        <f t="shared" si="18"/>
        <v>0</v>
      </c>
      <c r="I69" s="969">
        <f t="shared" si="18"/>
        <v>0</v>
      </c>
      <c r="K69" s="969">
        <f t="shared" si="18"/>
        <v>0</v>
      </c>
      <c r="M69" s="969">
        <f t="shared" si="18"/>
        <v>0</v>
      </c>
      <c r="O69" s="969">
        <f t="shared" si="18"/>
        <v>0</v>
      </c>
      <c r="Q69" s="969">
        <f t="shared" si="18"/>
        <v>0</v>
      </c>
      <c r="S69" s="969">
        <f t="shared" si="18"/>
        <v>0</v>
      </c>
      <c r="U69" s="969">
        <f t="shared" si="18"/>
        <v>0</v>
      </c>
      <c r="W69" s="969">
        <f t="shared" si="18"/>
        <v>0</v>
      </c>
      <c r="Y69" s="969">
        <f t="shared" si="18"/>
        <v>0</v>
      </c>
      <c r="AA69" s="969">
        <f t="shared" si="18"/>
        <v>0</v>
      </c>
      <c r="AC69" s="969">
        <f t="shared" si="18"/>
        <v>0</v>
      </c>
      <c r="AE69" s="969">
        <f t="shared" si="18"/>
        <v>0</v>
      </c>
      <c r="AG69" s="969">
        <f t="shared" si="18"/>
        <v>0</v>
      </c>
    </row>
    <row r="70" spans="1:34" s="961" customFormat="1">
      <c r="A70" s="963" t="s">
        <v>854</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ht="13">
      <c r="A73" s="530"/>
      <c r="C73" s="971"/>
    </row>
    <row r="74" spans="1:34" s="218" customFormat="1" ht="13">
      <c r="A74" s="530"/>
      <c r="C74" s="183"/>
    </row>
    <row r="75" spans="1:34" s="218" customFormat="1">
      <c r="A75" s="961" t="s">
        <v>1722</v>
      </c>
      <c r="C75" s="183"/>
    </row>
    <row r="76" spans="1:34" s="218" customFormat="1">
      <c r="C76" s="183"/>
    </row>
    <row r="77" spans="1:34" s="235" customFormat="1" ht="30" customHeight="1">
      <c r="A77" s="2690" t="s">
        <v>1721</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14" t="s">
        <v>971</v>
      </c>
    </row>
    <row r="2" spans="1:1" ht="15.5">
      <c r="A2" s="315"/>
    </row>
    <row r="3" spans="1:1" ht="15.5">
      <c r="A3" s="316" t="s">
        <v>966</v>
      </c>
    </row>
    <row r="4" spans="1:1" ht="15.5">
      <c r="A4" s="316" t="s">
        <v>967</v>
      </c>
    </row>
    <row r="5" spans="1:1" ht="15.5">
      <c r="A5" s="316" t="s">
        <v>968</v>
      </c>
    </row>
    <row r="6" spans="1:1" ht="15.5">
      <c r="A6" s="316" t="s">
        <v>970</v>
      </c>
    </row>
    <row r="7" spans="1:1" ht="15.5">
      <c r="A7" s="316" t="s">
        <v>969</v>
      </c>
    </row>
    <row r="8" spans="1:1" ht="15.5">
      <c r="A8" s="347" t="s">
        <v>1024</v>
      </c>
    </row>
    <row r="9" spans="1:1" ht="15.5">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I23" sqref="I23"/>
    </sheetView>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1217</v>
      </c>
      <c r="D1" s="281"/>
    </row>
    <row r="2" spans="1:6" s="276" customFormat="1" ht="13">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ht="13">
      <c r="A4" s="265" t="s">
        <v>26</v>
      </c>
      <c r="B4" s="265"/>
      <c r="C4" s="265"/>
      <c r="D4" s="265"/>
      <c r="E4" s="283"/>
      <c r="F4" s="265"/>
    </row>
    <row r="5" spans="1:6" s="353" customFormat="1">
      <c r="A5" s="365" t="s">
        <v>27</v>
      </c>
      <c r="B5" s="267">
        <f>'Sources and Uses Budget'!$C4</f>
        <v>1800000</v>
      </c>
      <c r="C5" s="267">
        <f>'Sources and Uses Budget'!$C4</f>
        <v>1800000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10000</v>
      </c>
      <c r="C7" s="267">
        <f>'Sources and Uses Budget'!$C6</f>
        <v>10000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1810000</v>
      </c>
      <c r="C9" s="271">
        <f>SUM(C5:C8)</f>
        <v>1810000</v>
      </c>
      <c r="D9" s="271">
        <f t="shared" si="0"/>
        <v>0</v>
      </c>
      <c r="E9" s="269"/>
      <c r="F9" s="268"/>
    </row>
    <row r="10" spans="1:6" s="353" customFormat="1">
      <c r="A10" s="365" t="s">
        <v>595</v>
      </c>
      <c r="B10" s="267">
        <f>'Sources and Uses Budget'!$C9</f>
        <v>30900000</v>
      </c>
      <c r="C10" s="267">
        <f>'Sources and Uses Budget'!$C9</f>
        <v>30900000</v>
      </c>
      <c r="D10" s="271">
        <f t="shared" si="0"/>
        <v>0</v>
      </c>
      <c r="E10" s="269"/>
      <c r="F10" s="268"/>
    </row>
    <row r="11" spans="1:6" s="353" customFormat="1">
      <c r="A11" s="365" t="s">
        <v>596</v>
      </c>
      <c r="B11" s="267">
        <f>'Sources and Uses Budget'!$C10</f>
        <v>0</v>
      </c>
      <c r="C11" s="267">
        <f>'Sources and Uses Budget'!$C10</f>
        <v>0</v>
      </c>
      <c r="D11" s="271">
        <f t="shared" si="0"/>
        <v>0</v>
      </c>
      <c r="E11" s="269"/>
      <c r="F11" s="268"/>
    </row>
    <row r="12" spans="1:6" s="353" customFormat="1">
      <c r="A12" s="366" t="s">
        <v>597</v>
      </c>
      <c r="B12" s="271">
        <f>SUM(B10:B11)</f>
        <v>30900000</v>
      </c>
      <c r="C12" s="271">
        <f>SUM(C10:C11)</f>
        <v>30900000</v>
      </c>
      <c r="D12" s="271">
        <f t="shared" si="0"/>
        <v>0</v>
      </c>
      <c r="E12" s="269"/>
      <c r="F12" s="268"/>
    </row>
    <row r="13" spans="1:6" s="353" customFormat="1">
      <c r="A13" s="366" t="s">
        <v>84</v>
      </c>
      <c r="B13" s="271">
        <f>SUM(B9+B12)</f>
        <v>32710000</v>
      </c>
      <c r="C13" s="271">
        <f>SUM(C9+C12)</f>
        <v>32710000</v>
      </c>
      <c r="D13" s="271">
        <f t="shared" si="0"/>
        <v>0</v>
      </c>
      <c r="E13" s="269"/>
      <c r="F13" s="268"/>
    </row>
    <row r="14" spans="1:6" s="353" customFormat="1">
      <c r="A14" s="367" t="s">
        <v>902</v>
      </c>
      <c r="B14" s="267">
        <f>'Sources and Uses Budget'!$C13</f>
        <v>41000</v>
      </c>
      <c r="C14" s="267">
        <f>'Sources and Uses Budget'!$C13</f>
        <v>41000</v>
      </c>
      <c r="D14" s="271">
        <f t="shared" si="0"/>
        <v>0</v>
      </c>
      <c r="E14" s="269"/>
      <c r="F14" s="268"/>
    </row>
    <row r="15" spans="1:6" s="353" customFormat="1" ht="23">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ht="13">
      <c r="A17" s="265" t="s">
        <v>598</v>
      </c>
      <c r="B17" s="265"/>
      <c r="C17" s="265"/>
      <c r="D17" s="265"/>
      <c r="E17" s="283"/>
      <c r="F17" s="265"/>
    </row>
    <row r="18" spans="1:6" s="353" customFormat="1">
      <c r="A18" s="145" t="s">
        <v>599</v>
      </c>
      <c r="B18" s="267">
        <f>'Sources and Uses Budget'!$C17</f>
        <v>200000</v>
      </c>
      <c r="C18" s="267">
        <f>'Sources and Uses Budget'!$C17</f>
        <v>200000</v>
      </c>
      <c r="D18" s="271">
        <f t="shared" si="0"/>
        <v>0</v>
      </c>
      <c r="E18" s="269"/>
      <c r="F18" s="268"/>
    </row>
    <row r="19" spans="1:6" s="353" customFormat="1">
      <c r="A19" s="145" t="s">
        <v>600</v>
      </c>
      <c r="B19" s="267">
        <f>'Sources and Uses Budget'!$C18</f>
        <v>38341721</v>
      </c>
      <c r="C19" s="267">
        <f>'Sources and Uses Budget'!$C18</f>
        <v>38341721</v>
      </c>
      <c r="D19" s="271">
        <f t="shared" si="0"/>
        <v>0</v>
      </c>
      <c r="E19" s="269"/>
      <c r="F19" s="268"/>
    </row>
    <row r="20" spans="1:6" s="353" customFormat="1">
      <c r="A20" s="145" t="s">
        <v>601</v>
      </c>
      <c r="B20" s="267">
        <f>'Sources and Uses Budget'!$C19</f>
        <v>1702481</v>
      </c>
      <c r="C20" s="267">
        <f>'Sources and Uses Budget'!$C19</f>
        <v>1702481</v>
      </c>
      <c r="D20" s="271">
        <f t="shared" si="0"/>
        <v>0</v>
      </c>
      <c r="E20" s="269"/>
      <c r="F20" s="268"/>
    </row>
    <row r="21" spans="1:6" s="353" customFormat="1">
      <c r="A21" s="145" t="s">
        <v>137</v>
      </c>
      <c r="B21" s="267">
        <f>'Sources and Uses Budget'!$C20</f>
        <v>1702481</v>
      </c>
      <c r="C21" s="267">
        <f>'Sources and Uses Budget'!$C20</f>
        <v>1702481</v>
      </c>
      <c r="D21" s="271">
        <f t="shared" si="0"/>
        <v>0</v>
      </c>
      <c r="E21" s="269"/>
      <c r="F21" s="268"/>
    </row>
    <row r="22" spans="1:6" s="353" customFormat="1">
      <c r="A22" s="145" t="s">
        <v>138</v>
      </c>
      <c r="B22" s="267">
        <f>'Sources and Uses Budget'!$C21</f>
        <v>1513317</v>
      </c>
      <c r="C22" s="267">
        <f>'Sources and Uses Budget'!$C21</f>
        <v>1513317</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1640</v>
      </c>
      <c r="B25" s="267">
        <f>'Sources and Uses Budget'!$C24</f>
        <v>190000</v>
      </c>
      <c r="C25" s="267">
        <f>'Sources and Uses Budget'!$C24</f>
        <v>190000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43650000</v>
      </c>
      <c r="C27" s="271">
        <f>SUM(C18:C26)</f>
        <v>43650000</v>
      </c>
      <c r="D27" s="271">
        <f>SUM(D18:D26)</f>
        <v>0</v>
      </c>
      <c r="E27" s="269"/>
      <c r="F27" s="268"/>
    </row>
    <row r="28" spans="1:6" s="353" customFormat="1" ht="13">
      <c r="A28" s="272" t="s">
        <v>141</v>
      </c>
      <c r="B28" s="267">
        <f>'Sources and Uses Budget'!$C$27</f>
        <v>0</v>
      </c>
      <c r="C28" s="267">
        <f>'Sources and Uses Budget'!$C$27</f>
        <v>0</v>
      </c>
      <c r="D28" s="271">
        <f t="shared" si="0"/>
        <v>0</v>
      </c>
      <c r="E28" s="269"/>
      <c r="F28" s="268"/>
    </row>
    <row r="29" spans="1:6" s="353" customFormat="1" ht="13">
      <c r="A29" s="265" t="s">
        <v>142</v>
      </c>
      <c r="B29" s="265"/>
      <c r="C29" s="265"/>
      <c r="D29" s="265"/>
      <c r="E29" s="283"/>
      <c r="F29" s="265"/>
    </row>
    <row r="30" spans="1:6" s="353" customFormat="1">
      <c r="A30" s="145" t="s">
        <v>599</v>
      </c>
      <c r="B30" s="267">
        <f>'Sources and Uses Budget'!$C29</f>
        <v>0</v>
      </c>
      <c r="C30" s="267">
        <f>'Sources and Uses Budget'!$C29</f>
        <v>0</v>
      </c>
      <c r="D30" s="271">
        <f t="shared" si="0"/>
        <v>0</v>
      </c>
      <c r="E30" s="269"/>
      <c r="F30" s="268"/>
    </row>
    <row r="31" spans="1:6" s="353" customFormat="1">
      <c r="A31" s="145" t="s">
        <v>600</v>
      </c>
      <c r="B31" s="267">
        <f>'Sources and Uses Budget'!$C30</f>
        <v>0</v>
      </c>
      <c r="C31" s="267">
        <f>'Sources and Uses Budget'!$C30</f>
        <v>0</v>
      </c>
      <c r="D31" s="271">
        <f t="shared" si="0"/>
        <v>0</v>
      </c>
      <c r="E31" s="269"/>
      <c r="F31" s="268"/>
    </row>
    <row r="32" spans="1:6" s="353" customFormat="1">
      <c r="A32" s="145" t="s">
        <v>601</v>
      </c>
      <c r="B32" s="267">
        <f>'Sources and Uses Budget'!$C31</f>
        <v>0</v>
      </c>
      <c r="C32" s="267">
        <f>'Sources and Uses Budget'!$C31</f>
        <v>0</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ht="13">
      <c r="A39" s="272" t="s">
        <v>143</v>
      </c>
      <c r="B39" s="271">
        <f>SUM(B30:B38)</f>
        <v>0</v>
      </c>
      <c r="C39" s="271">
        <f>SUM(C30:C38)</f>
        <v>0</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400000</v>
      </c>
      <c r="C41" s="267">
        <f>'Sources and Uses Budget'!$C40</f>
        <v>400000</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ht="13">
      <c r="A43" s="272" t="s">
        <v>147</v>
      </c>
      <c r="B43" s="271">
        <f>SUM(B41:B42)</f>
        <v>400000</v>
      </c>
      <c r="C43" s="271">
        <f>SUM(C41:C42)</f>
        <v>400000</v>
      </c>
      <c r="D43" s="271">
        <f t="shared" si="0"/>
        <v>0</v>
      </c>
      <c r="E43" s="269"/>
      <c r="F43" s="268"/>
    </row>
    <row r="44" spans="1:6" s="353" customFormat="1" ht="13">
      <c r="A44" s="272" t="s">
        <v>148</v>
      </c>
      <c r="B44" s="267">
        <f>'Sources and Uses Budget'!$C43</f>
        <v>465000</v>
      </c>
      <c r="C44" s="267">
        <f>'Sources and Uses Budget'!$C43</f>
        <v>465000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5650000</v>
      </c>
      <c r="C46" s="267">
        <f>'Sources and Uses Budget'!$C45</f>
        <v>5650000</v>
      </c>
      <c r="D46" s="271">
        <f t="shared" si="0"/>
        <v>0</v>
      </c>
      <c r="E46" s="269"/>
      <c r="F46" s="268"/>
    </row>
    <row r="47" spans="1:6" s="353" customFormat="1">
      <c r="A47" s="145" t="s">
        <v>151</v>
      </c>
      <c r="B47" s="267">
        <f>'Sources and Uses Budget'!$C46</f>
        <v>826483</v>
      </c>
      <c r="C47" s="267">
        <f>'Sources and Uses Budget'!$C46</f>
        <v>826483</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414418</v>
      </c>
      <c r="C50" s="267">
        <f>'Sources and Uses Budget'!$C49</f>
        <v>414418</v>
      </c>
      <c r="D50" s="271">
        <f t="shared" si="0"/>
        <v>0</v>
      </c>
      <c r="E50" s="269"/>
      <c r="F50" s="268"/>
    </row>
    <row r="51" spans="1:6" s="353" customFormat="1">
      <c r="A51" s="145" t="s">
        <v>156</v>
      </c>
      <c r="B51" s="267">
        <f>'Sources and Uses Budget'!$C50</f>
        <v>60000</v>
      </c>
      <c r="C51" s="267">
        <f>'Sources and Uses Budget'!$C50</f>
        <v>60000</v>
      </c>
      <c r="D51" s="271">
        <f t="shared" si="0"/>
        <v>0</v>
      </c>
      <c r="E51" s="269"/>
      <c r="F51" s="268"/>
    </row>
    <row r="52" spans="1:6" s="353" customFormat="1">
      <c r="A52" s="284" t="s">
        <v>154</v>
      </c>
      <c r="B52" s="267">
        <f>'Sources and Uses Budget'!$C51</f>
        <v>100000</v>
      </c>
      <c r="C52" s="267">
        <f>'Sources and Uses Budget'!$C51</f>
        <v>100000</v>
      </c>
      <c r="D52" s="271">
        <f t="shared" si="0"/>
        <v>0</v>
      </c>
      <c r="E52" s="269"/>
      <c r="F52" s="268"/>
    </row>
    <row r="53" spans="1:6" s="353" customFormat="1">
      <c r="A53" s="145" t="s">
        <v>155</v>
      </c>
      <c r="B53" s="267">
        <f>'Sources and Uses Budget'!$C52</f>
        <v>800000</v>
      </c>
      <c r="C53" s="267">
        <f>'Sources and Uses Budget'!$C52</f>
        <v>800000</v>
      </c>
      <c r="D53" s="271">
        <f t="shared" si="0"/>
        <v>0</v>
      </c>
      <c r="E53" s="269"/>
      <c r="F53" s="268"/>
    </row>
    <row r="54" spans="1:6" s="353" customFormat="1">
      <c r="A54" s="155" t="str">
        <f>'Sources and Uses Budget'!A53</f>
        <v>Other: (Specify)</v>
      </c>
      <c r="B54" s="267">
        <f>'Sources and Uses Budget'!$C53</f>
        <v>0</v>
      </c>
      <c r="C54" s="267">
        <f>'Sources and Uses Budget'!$C53</f>
        <v>0</v>
      </c>
      <c r="D54" s="271">
        <f t="shared" si="0"/>
        <v>0</v>
      </c>
      <c r="E54" s="269"/>
      <c r="F54" s="268"/>
    </row>
    <row r="55" spans="1:6" s="354" customFormat="1" ht="13">
      <c r="A55" s="272" t="s">
        <v>157</v>
      </c>
      <c r="B55" s="274">
        <f>SUM(B46:B54)</f>
        <v>7850901</v>
      </c>
      <c r="C55" s="274">
        <f>SUM(C46:C54)</f>
        <v>7850901</v>
      </c>
      <c r="D55" s="271">
        <f t="shared" si="0"/>
        <v>0</v>
      </c>
      <c r="E55" s="269"/>
      <c r="F55" s="268"/>
    </row>
    <row r="56" spans="1:6" s="353" customFormat="1" ht="13">
      <c r="A56" s="265" t="s">
        <v>418</v>
      </c>
      <c r="B56" s="265"/>
      <c r="C56" s="265"/>
      <c r="D56" s="265"/>
      <c r="E56" s="283"/>
      <c r="F56" s="265"/>
    </row>
    <row r="57" spans="1:6" s="353" customFormat="1">
      <c r="A57" s="270" t="s">
        <v>158</v>
      </c>
      <c r="B57" s="267">
        <f>'Sources and Uses Budget'!$C56</f>
        <v>471795</v>
      </c>
      <c r="C57" s="267">
        <f>'Sources and Uses Budget'!$C56</f>
        <v>471795</v>
      </c>
      <c r="D57" s="271">
        <f t="shared" si="0"/>
        <v>0</v>
      </c>
      <c r="E57" s="269"/>
      <c r="F57" s="268"/>
    </row>
    <row r="58" spans="1:6" s="353" customFormat="1" ht="12" customHeight="1">
      <c r="A58" s="270" t="s">
        <v>152</v>
      </c>
      <c r="B58" s="267">
        <f>'Sources and Uses Budget'!$C57</f>
        <v>3000</v>
      </c>
      <c r="C58" s="267">
        <f>'Sources and Uses Budget'!$C57</f>
        <v>3000</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5" customHeight="1">
      <c r="A63" s="272" t="s">
        <v>301</v>
      </c>
      <c r="B63" s="271">
        <f>SUM(B57:B62)</f>
        <v>474795</v>
      </c>
      <c r="C63" s="271">
        <f>SUM(C57:C62)</f>
        <v>474795</v>
      </c>
      <c r="D63" s="271">
        <f t="shared" si="0"/>
        <v>0</v>
      </c>
      <c r="E63" s="269"/>
      <c r="F63" s="268"/>
    </row>
    <row r="64" spans="1:6" s="353" customFormat="1" ht="13">
      <c r="A64" s="275" t="s">
        <v>302</v>
      </c>
      <c r="B64" s="271">
        <f>SUM(B9+B12+B14+B15+B17+B26+B28+B39+B43+B44+B55+B63)</f>
        <v>41941696</v>
      </c>
      <c r="C64" s="271">
        <f>SUM(C9+C12+C14+C15+C17+C26+C28+C39+C43+C44+C55+C63)</f>
        <v>41941696</v>
      </c>
      <c r="D64" s="271">
        <f t="shared" si="0"/>
        <v>0</v>
      </c>
      <c r="E64" s="269"/>
      <c r="F64" s="268"/>
    </row>
    <row r="65" spans="1:6" s="353" customFormat="1" ht="24">
      <c r="A65" s="141" t="s">
        <v>1644</v>
      </c>
      <c r="B65" s="265"/>
      <c r="C65" s="265"/>
      <c r="D65" s="265"/>
      <c r="E65" s="283"/>
      <c r="F65" s="265"/>
    </row>
    <row r="66" spans="1:6" s="353" customFormat="1">
      <c r="A66" s="145" t="s">
        <v>171</v>
      </c>
      <c r="B66" s="267">
        <f>'Sources and Uses Budget'!$C65</f>
        <v>75000</v>
      </c>
      <c r="C66" s="267">
        <f>'Sources and Uses Budget'!$C65</f>
        <v>75000</v>
      </c>
      <c r="D66" s="271">
        <f t="shared" si="0"/>
        <v>0</v>
      </c>
      <c r="E66" s="269"/>
      <c r="F66" s="268"/>
    </row>
    <row r="67" spans="1:6" s="353" customFormat="1" ht="23">
      <c r="A67" s="284" t="s">
        <v>1641</v>
      </c>
      <c r="B67" s="267">
        <f>'Sources and Uses Budget'!$C66</f>
        <v>335000</v>
      </c>
      <c r="C67" s="267">
        <f>'Sources and Uses Budget'!$C66</f>
        <v>335000</v>
      </c>
      <c r="D67" s="271"/>
      <c r="E67" s="269"/>
      <c r="F67" s="268"/>
    </row>
    <row r="68" spans="1:6" s="353" customFormat="1" ht="23">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Other: (Developer Legal)</v>
      </c>
      <c r="B70" s="267">
        <f>'Sources and Uses Budget'!$C69</f>
        <v>215000</v>
      </c>
      <c r="C70" s="267">
        <f>'Sources and Uses Budget'!$C69</f>
        <v>215000</v>
      </c>
      <c r="D70" s="271">
        <f t="shared" si="0"/>
        <v>0</v>
      </c>
      <c r="E70" s="269"/>
      <c r="F70" s="268"/>
    </row>
    <row r="71" spans="1:6" s="353" customFormat="1">
      <c r="A71" s="149" t="s">
        <v>1645</v>
      </c>
      <c r="B71" s="271">
        <f>SUM(B66:B70)</f>
        <v>625000</v>
      </c>
      <c r="C71" s="271">
        <f>SUM(C66:C70)</f>
        <v>625000</v>
      </c>
      <c r="D71" s="271">
        <f t="shared" si="0"/>
        <v>0</v>
      </c>
      <c r="E71" s="269"/>
      <c r="F71" s="268"/>
    </row>
    <row r="72" spans="1:6" s="353" customFormat="1" ht="13">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606</v>
      </c>
      <c r="B76" s="267">
        <f>'Sources and Uses Budget'!$C75</f>
        <v>1149586</v>
      </c>
      <c r="C76" s="267">
        <f>'Sources and Uses Budget'!$C75</f>
        <v>1149586</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607</v>
      </c>
      <c r="B78" s="271">
        <f>SUM(B73:B77)</f>
        <v>1149586</v>
      </c>
      <c r="C78" s="271">
        <f>SUM(C73:C77)</f>
        <v>1149586</v>
      </c>
      <c r="D78" s="271">
        <f t="shared" ref="D78:D106" si="1">C78-B78</f>
        <v>0</v>
      </c>
      <c r="E78" s="269"/>
      <c r="F78" s="268"/>
    </row>
    <row r="79" spans="1:6" s="353" customFormat="1" ht="13">
      <c r="A79" s="265" t="s">
        <v>1210</v>
      </c>
      <c r="B79" s="265"/>
      <c r="C79" s="265"/>
      <c r="D79" s="265"/>
      <c r="E79" s="283"/>
      <c r="F79" s="265"/>
    </row>
    <row r="80" spans="1:6" s="353" customFormat="1">
      <c r="A80" s="511" t="s">
        <v>1212</v>
      </c>
      <c r="B80" s="267">
        <f>'Sources and Uses Budget'!$C79</f>
        <v>3207000</v>
      </c>
      <c r="C80" s="267">
        <f>'Sources and Uses Budget'!$C79</f>
        <v>3207000</v>
      </c>
      <c r="D80" s="271">
        <f t="shared" si="1"/>
        <v>0</v>
      </c>
      <c r="E80" s="269"/>
      <c r="F80" s="268"/>
    </row>
    <row r="81" spans="1:6" s="353" customFormat="1">
      <c r="A81" s="511" t="s">
        <v>58</v>
      </c>
      <c r="B81" s="267">
        <f>'Sources and Uses Budget'!$C80</f>
        <v>672748</v>
      </c>
      <c r="C81" s="267">
        <f>'Sources and Uses Budget'!$C80</f>
        <v>672748</v>
      </c>
      <c r="D81" s="271">
        <f>C81-B81</f>
        <v>0</v>
      </c>
      <c r="E81" s="269"/>
      <c r="F81" s="268"/>
    </row>
    <row r="82" spans="1:6" s="353" customFormat="1" ht="13">
      <c r="A82" s="272" t="s">
        <v>1209</v>
      </c>
      <c r="B82" s="271">
        <f>SUM(B80:B81)</f>
        <v>3879748</v>
      </c>
      <c r="C82" s="271">
        <f>SUM(C80:C81)</f>
        <v>3879748</v>
      </c>
      <c r="D82" s="271">
        <f t="shared" si="1"/>
        <v>0</v>
      </c>
      <c r="E82" s="269"/>
      <c r="F82" s="268"/>
    </row>
    <row r="83" spans="1:6" s="353" customFormat="1" ht="13">
      <c r="A83" s="265" t="s">
        <v>766</v>
      </c>
      <c r="B83" s="265"/>
      <c r="C83" s="265"/>
      <c r="D83" s="265"/>
      <c r="E83" s="283"/>
      <c r="F83" s="265"/>
    </row>
    <row r="84" spans="1:6" s="353" customFormat="1" ht="13.75" customHeight="1">
      <c r="A84" s="270" t="s">
        <v>767</v>
      </c>
      <c r="B84" s="267">
        <f>'Sources and Uses Budget'!$C83</f>
        <v>209885</v>
      </c>
      <c r="C84" s="267">
        <f>'Sources and Uses Budget'!$C83</f>
        <v>209885</v>
      </c>
      <c r="D84" s="271">
        <f t="shared" si="1"/>
        <v>0</v>
      </c>
      <c r="E84" s="269"/>
      <c r="F84" s="268"/>
    </row>
    <row r="85" spans="1:6" s="353" customFormat="1">
      <c r="A85" s="270" t="s">
        <v>768</v>
      </c>
      <c r="B85" s="267">
        <f>'Sources and Uses Budget'!$C84</f>
        <v>0</v>
      </c>
      <c r="C85" s="267">
        <f>'Sources and Uses Budget'!$C84</f>
        <v>0</v>
      </c>
      <c r="D85" s="271">
        <f t="shared" si="1"/>
        <v>0</v>
      </c>
      <c r="E85" s="269"/>
      <c r="F85" s="268"/>
    </row>
    <row r="86" spans="1:6" s="353" customFormat="1">
      <c r="A86" s="270" t="s">
        <v>769</v>
      </c>
      <c r="B86" s="267">
        <f>'Sources and Uses Budget'!$C85</f>
        <v>923589</v>
      </c>
      <c r="C86" s="267">
        <f>'Sources and Uses Budget'!$C85</f>
        <v>923589</v>
      </c>
      <c r="D86" s="271">
        <f t="shared" si="1"/>
        <v>0</v>
      </c>
      <c r="E86" s="269"/>
      <c r="F86" s="268"/>
    </row>
    <row r="87" spans="1:6" s="353" customFormat="1">
      <c r="A87" s="270" t="s">
        <v>770</v>
      </c>
      <c r="B87" s="267">
        <f>'Sources and Uses Budget'!$C86</f>
        <v>135000</v>
      </c>
      <c r="C87" s="267">
        <f>'Sources and Uses Budget'!$C86</f>
        <v>135000</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30000</v>
      </c>
      <c r="C89" s="267">
        <f>'Sources and Uses Budget'!$C88</f>
        <v>30000</v>
      </c>
      <c r="D89" s="271">
        <f t="shared" si="1"/>
        <v>0</v>
      </c>
      <c r="E89" s="269"/>
      <c r="F89" s="268"/>
    </row>
    <row r="90" spans="1:6" s="353" customFormat="1">
      <c r="A90" s="270" t="s">
        <v>773</v>
      </c>
      <c r="B90" s="267">
        <f>'Sources and Uses Budget'!$C89</f>
        <v>158750</v>
      </c>
      <c r="C90" s="267">
        <f>'Sources and Uses Budget'!$C89</f>
        <v>158750</v>
      </c>
      <c r="D90" s="271">
        <f t="shared" si="1"/>
        <v>0</v>
      </c>
      <c r="E90" s="269"/>
      <c r="F90" s="268"/>
    </row>
    <row r="91" spans="1:6" s="353" customFormat="1">
      <c r="A91" s="270" t="s">
        <v>774</v>
      </c>
      <c r="B91" s="267">
        <f>'Sources and Uses Budget'!$C90</f>
        <v>10000</v>
      </c>
      <c r="C91" s="267">
        <f>'Sources and Uses Budget'!$C90</f>
        <v>10000</v>
      </c>
      <c r="D91" s="271">
        <f t="shared" si="1"/>
        <v>0</v>
      </c>
      <c r="E91" s="269"/>
      <c r="F91" s="268"/>
    </row>
    <row r="92" spans="1:6" s="353" customFormat="1">
      <c r="A92" s="270" t="s">
        <v>372</v>
      </c>
      <c r="B92" s="267">
        <f>'Sources and Uses Budget'!$C91</f>
        <v>75000</v>
      </c>
      <c r="C92" s="267">
        <f>'Sources and Uses Budget'!$C91</f>
        <v>75000</v>
      </c>
      <c r="D92" s="271">
        <f t="shared" si="1"/>
        <v>0</v>
      </c>
      <c r="E92" s="269"/>
      <c r="F92" s="268"/>
    </row>
    <row r="93" spans="1:6" s="353" customFormat="1">
      <c r="A93" s="511" t="s">
        <v>1211</v>
      </c>
      <c r="B93" s="267">
        <f>'Sources and Uses Budget'!$C92</f>
        <v>10000</v>
      </c>
      <c r="C93" s="267">
        <f>'Sources and Uses Budget'!$C92</f>
        <v>10000</v>
      </c>
      <c r="D93" s="271">
        <f t="shared" si="1"/>
        <v>0</v>
      </c>
      <c r="E93" s="269"/>
      <c r="F93" s="268"/>
    </row>
    <row r="94" spans="1:6" s="353" customFormat="1">
      <c r="A94" s="273" t="s">
        <v>34</v>
      </c>
      <c r="B94" s="267">
        <f>'Sources and Uses Budget'!$C93</f>
        <v>80000</v>
      </c>
      <c r="C94" s="267">
        <f>'Sources and Uses Budget'!$C93</f>
        <v>80000</v>
      </c>
      <c r="D94" s="271">
        <f t="shared" si="1"/>
        <v>0</v>
      </c>
      <c r="E94" s="269"/>
      <c r="F94" s="268"/>
    </row>
    <row r="95" spans="1:6" s="353" customFormat="1">
      <c r="A95" s="273" t="s">
        <v>34</v>
      </c>
      <c r="B95" s="267">
        <f>'Sources and Uses Budget'!$C94</f>
        <v>1150000</v>
      </c>
      <c r="C95" s="267">
        <f>'Sources and Uses Budget'!$C94</f>
        <v>1150000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775</v>
      </c>
      <c r="B97" s="271">
        <f>SUM(B84:B96)</f>
        <v>2782224</v>
      </c>
      <c r="C97" s="271">
        <f>SUM(C84:C96)</f>
        <v>2782224</v>
      </c>
      <c r="D97" s="271">
        <f t="shared" si="1"/>
        <v>0</v>
      </c>
      <c r="E97" s="269"/>
      <c r="F97" s="268"/>
    </row>
    <row r="98" spans="1:6" s="353" customFormat="1" ht="13">
      <c r="A98" s="272" t="s">
        <v>776</v>
      </c>
      <c r="B98" s="271">
        <f>SUM(B64+B71+B78+B82+B97)</f>
        <v>50378254</v>
      </c>
      <c r="C98" s="271">
        <f>SUM(C64+C71+C78+C82+C97)</f>
        <v>50378254</v>
      </c>
      <c r="D98" s="271">
        <f t="shared" si="1"/>
        <v>0</v>
      </c>
      <c r="E98" s="269"/>
      <c r="F98" s="268"/>
    </row>
    <row r="99" spans="1:6" s="353" customFormat="1" ht="13">
      <c r="A99" s="265" t="s">
        <v>777</v>
      </c>
      <c r="B99" s="265"/>
      <c r="C99" s="265"/>
      <c r="D99" s="265"/>
      <c r="E99" s="283"/>
      <c r="F99" s="265"/>
    </row>
    <row r="100" spans="1:6" s="353" customFormat="1">
      <c r="A100" s="145" t="s">
        <v>778</v>
      </c>
      <c r="B100" s="267">
        <f>'Sources and Uses Budget'!$C99</f>
        <v>15831285</v>
      </c>
      <c r="C100" s="267">
        <f>'Sources and Uses Budget'!$C99</f>
        <v>15831285</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780</v>
      </c>
      <c r="B105" s="271">
        <f>SUM(B100:B104)</f>
        <v>15831285</v>
      </c>
      <c r="C105" s="271">
        <f>SUM(C100:C104)</f>
        <v>15831285</v>
      </c>
      <c r="D105" s="271">
        <f t="shared" si="1"/>
        <v>0</v>
      </c>
      <c r="E105" s="269"/>
      <c r="F105" s="268"/>
    </row>
    <row r="106" spans="1:6" s="353" customFormat="1" ht="13">
      <c r="A106" s="272" t="s">
        <v>781</v>
      </c>
      <c r="B106" s="274">
        <f>SUM(B98+B105)</f>
        <v>66209539</v>
      </c>
      <c r="C106" s="274">
        <f>SUM(C98+C105)</f>
        <v>66209539</v>
      </c>
      <c r="D106" s="271">
        <f t="shared" si="1"/>
        <v>0</v>
      </c>
      <c r="E106" s="269"/>
      <c r="F106" s="268"/>
    </row>
    <row r="107" spans="1:6" s="353" customFormat="1" ht="13">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3" customWidth="1"/>
    <col min="11" max="16384" width="8.81640625" style="403" hidden="1"/>
  </cols>
  <sheetData>
    <row r="1" spans="1:10" ht="15.5">
      <c r="A1" s="1273" t="s">
        <v>1869</v>
      </c>
      <c r="B1" s="1274"/>
      <c r="C1" s="1274"/>
      <c r="D1" s="1274"/>
      <c r="E1" s="1274"/>
      <c r="F1" s="1274"/>
      <c r="G1" s="1274"/>
      <c r="H1" s="1274"/>
      <c r="I1" s="1274"/>
      <c r="J1" s="1274"/>
    </row>
    <row r="2" spans="1:10" ht="15.5">
      <c r="A2" s="1277" t="s">
        <v>1268</v>
      </c>
      <c r="B2" s="1278"/>
      <c r="C2" s="1278"/>
      <c r="D2" s="1278"/>
      <c r="E2" s="1278"/>
      <c r="F2" s="1278"/>
      <c r="G2" s="1278"/>
      <c r="H2" s="1278"/>
      <c r="I2" s="1278"/>
      <c r="J2" s="1278"/>
    </row>
    <row r="3" spans="1:10" ht="12.5"/>
    <row r="4" spans="1:10" ht="12.75" customHeight="1">
      <c r="A4" s="1275" t="s">
        <v>2048</v>
      </c>
      <c r="B4" s="1275"/>
      <c r="C4" s="1275"/>
      <c r="D4" s="1275"/>
      <c r="E4" s="1275"/>
      <c r="F4" s="1275"/>
      <c r="G4" s="1275"/>
      <c r="H4" s="1275"/>
      <c r="I4" s="1275"/>
      <c r="J4" s="1275"/>
    </row>
    <row r="5" spans="1:10" ht="12.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5">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2.5"/>
    <row r="10" spans="1:10" ht="12.75" customHeight="1">
      <c r="A10" s="1279" t="s">
        <v>1874</v>
      </c>
      <c r="B10" s="1279"/>
      <c r="C10" s="1279"/>
      <c r="D10" s="1279"/>
      <c r="E10" s="1279"/>
      <c r="F10" s="1279"/>
      <c r="G10" s="1279"/>
      <c r="H10" s="1279"/>
      <c r="I10" s="1279"/>
      <c r="J10" s="1279"/>
    </row>
    <row r="11" spans="1:10" ht="12.5">
      <c r="A11" s="1279"/>
      <c r="B11" s="1279"/>
      <c r="C11" s="1279"/>
      <c r="D11" s="1279"/>
      <c r="E11" s="1279"/>
      <c r="F11" s="1279"/>
      <c r="G11" s="1279"/>
      <c r="H11" s="1279"/>
      <c r="I11" s="1279"/>
      <c r="J11" s="1279"/>
    </row>
    <row r="12" spans="1:10" ht="12.5">
      <c r="A12" s="1279"/>
      <c r="B12" s="1279"/>
      <c r="C12" s="1279"/>
      <c r="D12" s="1279"/>
      <c r="E12" s="1279"/>
      <c r="F12" s="1279"/>
      <c r="G12" s="1279"/>
      <c r="H12" s="1279"/>
      <c r="I12" s="1279"/>
      <c r="J12" s="1279"/>
    </row>
    <row r="13" spans="1:10" ht="12.5">
      <c r="A13" s="1279"/>
      <c r="B13" s="1279"/>
      <c r="C13" s="1279"/>
      <c r="D13" s="1279"/>
      <c r="E13" s="1279"/>
      <c r="F13" s="1279"/>
      <c r="G13" s="1279"/>
      <c r="H13" s="1279"/>
      <c r="I13" s="1279"/>
      <c r="J13" s="1279"/>
    </row>
    <row r="14" spans="1:10" ht="12.5">
      <c r="A14" s="1279"/>
      <c r="B14" s="1279"/>
      <c r="C14" s="1279"/>
      <c r="D14" s="1279"/>
      <c r="E14" s="1279"/>
      <c r="F14" s="1279"/>
      <c r="G14" s="1279"/>
      <c r="H14" s="1279"/>
      <c r="I14" s="1279"/>
      <c r="J14" s="1279"/>
    </row>
    <row r="15" spans="1:10" ht="12.5">
      <c r="A15" s="1279"/>
      <c r="B15" s="1279"/>
      <c r="C15" s="1279"/>
      <c r="D15" s="1279"/>
      <c r="E15" s="1279"/>
      <c r="F15" s="1279"/>
      <c r="G15" s="1279"/>
      <c r="H15" s="1279"/>
      <c r="I15" s="1279"/>
      <c r="J15" s="1279"/>
    </row>
    <row r="16" spans="1:10" ht="12.5">
      <c r="A16" s="525"/>
      <c r="B16" s="525"/>
      <c r="C16" s="525"/>
      <c r="D16" s="525"/>
      <c r="E16" s="525"/>
      <c r="F16" s="525"/>
      <c r="G16" s="525"/>
      <c r="H16" s="525"/>
      <c r="I16" s="525"/>
      <c r="J16" s="525"/>
    </row>
    <row r="17" spans="1:10" ht="12.5">
      <c r="A17" s="477" t="s">
        <v>1873</v>
      </c>
      <c r="B17" s="417"/>
      <c r="C17" s="417"/>
      <c r="D17" s="417"/>
      <c r="E17" s="417"/>
      <c r="F17" s="417"/>
      <c r="G17" s="417"/>
      <c r="H17" s="417"/>
      <c r="I17" s="417"/>
      <c r="J17" s="417"/>
    </row>
    <row r="18" spans="1:10" ht="12.5">
      <c r="A18" s="417" t="s">
        <v>250</v>
      </c>
      <c r="B18" s="417"/>
      <c r="C18" s="417"/>
      <c r="D18" s="417"/>
      <c r="E18" s="417"/>
      <c r="F18" s="417"/>
      <c r="G18" s="417"/>
      <c r="H18" s="417"/>
      <c r="I18" s="417"/>
      <c r="J18" s="417"/>
    </row>
    <row r="19" spans="1:10" ht="12.5">
      <c r="A19" s="1278" t="s">
        <v>1189</v>
      </c>
      <c r="B19" s="1278"/>
      <c r="C19" s="1278"/>
      <c r="D19" s="1278"/>
      <c r="E19" s="127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5" t="s">
        <v>1190</v>
      </c>
      <c r="B56" s="1275"/>
      <c r="C56" s="1275"/>
      <c r="D56" s="1275"/>
      <c r="E56" s="1275"/>
      <c r="F56" s="1275"/>
      <c r="G56" s="1275"/>
      <c r="H56" s="1275"/>
      <c r="I56" s="1275"/>
      <c r="J56" s="1275"/>
    </row>
    <row r="57" spans="1:10" ht="12.5">
      <c r="A57" s="1275"/>
      <c r="B57" s="1275"/>
      <c r="C57" s="1275"/>
      <c r="D57" s="1275"/>
      <c r="E57" s="1275"/>
      <c r="F57" s="1275"/>
      <c r="G57" s="1275"/>
      <c r="H57" s="1275"/>
      <c r="I57" s="1275"/>
      <c r="J57" s="1275"/>
    </row>
    <row r="58" spans="1:10" ht="12.5">
      <c r="A58" s="1275"/>
      <c r="B58" s="1275"/>
      <c r="C58" s="1275"/>
      <c r="D58" s="1275"/>
      <c r="E58" s="1275"/>
      <c r="F58" s="1275"/>
      <c r="G58" s="1275"/>
      <c r="H58" s="1275"/>
      <c r="I58" s="1275"/>
      <c r="J58" s="1275"/>
    </row>
    <row r="59" spans="1:10" ht="12.5"/>
    <row r="60" spans="1:10" ht="12.5">
      <c r="A60" s="403" t="s">
        <v>1189</v>
      </c>
    </row>
    <row r="61" spans="1:10" ht="12.5"/>
    <row r="62" spans="1:10" ht="12.5"/>
    <row r="63" spans="1:10" ht="12.5"/>
    <row r="64" spans="1:10" ht="12.5"/>
    <row r="65" spans="1:9" ht="12.5"/>
    <row r="66" spans="1:9" ht="12.5"/>
    <row r="67" spans="1:9" ht="12.5"/>
    <row r="68" spans="1:9" ht="12.5"/>
    <row r="69" spans="1:9" ht="12.5"/>
    <row r="70" spans="1:9" ht="12.5"/>
    <row r="71" spans="1:9" ht="13">
      <c r="A71" s="1276" t="s">
        <v>1870</v>
      </c>
      <c r="B71" s="1276"/>
      <c r="C71" s="1276"/>
      <c r="D71" s="1276"/>
      <c r="E71" s="1276"/>
      <c r="F71" s="1276"/>
      <c r="G71" s="1276"/>
      <c r="H71" s="1276"/>
      <c r="I71" s="1276"/>
    </row>
    <row r="72" spans="1:9" ht="12.5">
      <c r="A72" s="1266" t="s">
        <v>2046</v>
      </c>
      <c r="B72" s="1266"/>
      <c r="C72" s="1266"/>
      <c r="D72" s="1266"/>
      <c r="E72" s="1266"/>
    </row>
    <row r="73" spans="1:9" ht="12.5">
      <c r="A73" s="1266" t="s">
        <v>2047</v>
      </c>
      <c r="B73" s="1266"/>
      <c r="C73" s="1266"/>
      <c r="D73" s="1266"/>
      <c r="E73" s="1266"/>
    </row>
    <row r="74" spans="1:9" ht="12.5">
      <c r="A74" s="1266" t="s">
        <v>1871</v>
      </c>
      <c r="B74" s="1266"/>
      <c r="C74" s="1266"/>
      <c r="D74" s="1266"/>
      <c r="E74" s="1266"/>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00" zoomScale="66" zoomScaleNormal="66" workbookViewId="0">
      <selection activeCell="B1123" sqref="B1123"/>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280" t="s">
        <v>2461</v>
      </c>
      <c r="B2" s="1280"/>
      <c r="C2" s="1280"/>
      <c r="D2" s="1280"/>
      <c r="E2" s="1280"/>
      <c r="F2" s="1280"/>
      <c r="G2" s="1280"/>
      <c r="H2" s="1280"/>
      <c r="I2" s="1280"/>
    </row>
    <row r="3" spans="1:13">
      <c r="A3" s="1281" t="s">
        <v>2220</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305" t="s">
        <v>2219</v>
      </c>
      <c r="B6" s="1305"/>
      <c r="C6" s="1305"/>
      <c r="D6" s="1305"/>
      <c r="E6" s="1305"/>
      <c r="F6" s="1305"/>
      <c r="G6" s="1305"/>
      <c r="I6" s="491"/>
    </row>
    <row r="7" spans="1:13">
      <c r="A7" s="1305"/>
      <c r="B7" s="1305"/>
      <c r="C7" s="1305"/>
      <c r="D7" s="1305"/>
      <c r="E7" s="1305"/>
      <c r="F7" s="1305"/>
      <c r="G7" s="1305"/>
      <c r="I7" s="491"/>
    </row>
    <row r="8" spans="1:13">
      <c r="A8" s="482"/>
      <c r="B8" s="482"/>
      <c r="C8" s="483"/>
      <c r="D8" s="483"/>
      <c r="E8" s="483"/>
      <c r="F8" s="483"/>
    </row>
    <row r="9" spans="1:13">
      <c r="A9" s="1285" t="s">
        <v>1101</v>
      </c>
      <c r="B9" s="1285"/>
      <c r="C9" s="1285"/>
      <c r="D9" s="1285"/>
      <c r="E9" s="1285"/>
      <c r="F9" s="1285"/>
      <c r="G9" s="1285"/>
      <c r="H9" s="1029"/>
      <c r="I9" s="1030"/>
    </row>
    <row r="10" spans="1:13">
      <c r="A10" s="483"/>
      <c r="B10" s="483"/>
      <c r="E10" s="405"/>
    </row>
    <row r="11" spans="1:13" ht="13.75" customHeight="1">
      <c r="C11" s="483"/>
      <c r="D11" s="1304" t="s">
        <v>1100</v>
      </c>
      <c r="E11" s="1304"/>
      <c r="F11" s="1304"/>
    </row>
    <row r="12" spans="1:13">
      <c r="C12" s="483"/>
      <c r="D12" s="1304"/>
      <c r="E12" s="1304"/>
      <c r="F12" s="1304"/>
    </row>
    <row r="13" spans="1:13">
      <c r="A13" s="484"/>
      <c r="B13" s="484"/>
      <c r="C13" s="484"/>
      <c r="D13" s="1283" t="s">
        <v>1090</v>
      </c>
      <c r="E13" s="1283"/>
      <c r="F13" s="1283"/>
      <c r="M13" s="96"/>
    </row>
    <row r="14" spans="1:13">
      <c r="A14" s="484"/>
      <c r="B14" s="484"/>
      <c r="C14" s="484"/>
      <c r="D14" s="477"/>
      <c r="L14" s="313"/>
    </row>
    <row r="15" spans="1:13">
      <c r="A15" s="485"/>
      <c r="B15" s="486" t="s">
        <v>2730</v>
      </c>
      <c r="C15" s="484"/>
      <c r="D15" s="1282" t="s">
        <v>1922</v>
      </c>
      <c r="E15" s="1282"/>
      <c r="F15" s="1282"/>
      <c r="I15" s="491"/>
    </row>
    <row r="16" spans="1:13">
      <c r="A16" s="484"/>
      <c r="B16" s="484"/>
      <c r="C16" s="484"/>
      <c r="D16" s="1282"/>
      <c r="E16" s="1282"/>
      <c r="F16" s="1282"/>
      <c r="I16" s="491"/>
    </row>
    <row r="17" spans="1:9">
      <c r="A17" s="484"/>
      <c r="B17" s="484"/>
      <c r="C17" s="484"/>
      <c r="D17" s="1282"/>
      <c r="E17" s="1282"/>
      <c r="F17" s="1282"/>
      <c r="I17" s="491"/>
    </row>
    <row r="18" spans="1:9">
      <c r="A18" s="484"/>
      <c r="B18" s="484"/>
      <c r="C18" s="484"/>
      <c r="D18" s="446"/>
      <c r="E18" s="313" t="s">
        <v>1920</v>
      </c>
      <c r="F18" s="446"/>
      <c r="I18" s="491"/>
    </row>
    <row r="19" spans="1:9">
      <c r="A19" s="484"/>
      <c r="B19" s="484"/>
      <c r="C19" s="484"/>
      <c r="I19" s="491"/>
    </row>
    <row r="20" spans="1:9">
      <c r="A20" s="485"/>
      <c r="B20" s="486" t="s">
        <v>2730</v>
      </c>
      <c r="D20" s="1282" t="s">
        <v>1923</v>
      </c>
      <c r="E20" s="1282"/>
      <c r="F20" s="1282"/>
      <c r="I20" s="491"/>
    </row>
    <row r="21" spans="1:9">
      <c r="A21" s="485"/>
      <c r="D21" s="1282"/>
      <c r="E21" s="1282"/>
      <c r="F21" s="1282"/>
      <c r="I21" s="491"/>
    </row>
    <row r="22" spans="1:9">
      <c r="A22" s="485"/>
      <c r="D22" s="393"/>
      <c r="E22" s="96" t="s">
        <v>1919</v>
      </c>
      <c r="F22" s="393"/>
      <c r="I22" s="491"/>
    </row>
    <row r="23" spans="1:9">
      <c r="A23" s="485"/>
      <c r="B23" s="485"/>
      <c r="D23" s="447"/>
      <c r="I23" s="491"/>
    </row>
    <row r="24" spans="1:9">
      <c r="A24" s="485"/>
      <c r="B24" s="486" t="s">
        <v>2731</v>
      </c>
      <c r="D24" s="1282" t="s">
        <v>1091</v>
      </c>
      <c r="E24" s="1282"/>
      <c r="F24" s="1282"/>
      <c r="I24" s="491"/>
    </row>
    <row r="25" spans="1:9">
      <c r="A25" s="485"/>
      <c r="B25" s="485"/>
      <c r="D25" s="1282"/>
      <c r="E25" s="1282"/>
      <c r="F25" s="1282"/>
      <c r="I25" s="491"/>
    </row>
    <row r="26" spans="1:9">
      <c r="I26" s="491"/>
    </row>
    <row r="27" spans="1:9">
      <c r="A27" s="485"/>
      <c r="B27" s="486" t="s">
        <v>2730</v>
      </c>
      <c r="D27" s="1282" t="s">
        <v>2049</v>
      </c>
      <c r="E27" s="1282"/>
      <c r="F27" s="1282"/>
      <c r="I27" s="491"/>
    </row>
    <row r="28" spans="1:9">
      <c r="D28" s="1282"/>
      <c r="E28" s="1282"/>
      <c r="F28" s="1282"/>
      <c r="I28" s="491"/>
    </row>
    <row r="29" spans="1:9">
      <c r="D29" s="1282"/>
      <c r="E29" s="1282"/>
      <c r="F29" s="1282"/>
      <c r="I29" s="491"/>
    </row>
    <row r="30" spans="1:9">
      <c r="D30" s="1282"/>
      <c r="E30" s="1282"/>
      <c r="F30" s="1282"/>
      <c r="I30" s="491"/>
    </row>
    <row r="31" spans="1:9">
      <c r="D31" s="1282"/>
      <c r="E31" s="1282"/>
      <c r="F31" s="1282"/>
      <c r="I31" s="491"/>
    </row>
    <row r="32" spans="1:9">
      <c r="D32" s="448"/>
      <c r="I32" s="491"/>
    </row>
    <row r="33" spans="1:9">
      <c r="B33" s="486" t="s">
        <v>2731</v>
      </c>
      <c r="D33" s="1282" t="s">
        <v>2050</v>
      </c>
      <c r="E33" s="1282"/>
      <c r="F33" s="1282"/>
      <c r="I33" s="491"/>
    </row>
    <row r="34" spans="1:9">
      <c r="D34" s="1282"/>
      <c r="E34" s="1282"/>
      <c r="F34" s="1282"/>
      <c r="I34" s="491"/>
    </row>
    <row r="35" spans="1:9">
      <c r="A35" s="485"/>
      <c r="B35" s="485"/>
      <c r="D35" s="448"/>
      <c r="I35" s="491"/>
    </row>
    <row r="36" spans="1:9" ht="14.5" customHeight="1">
      <c r="A36" s="485"/>
      <c r="B36" s="486" t="s">
        <v>2730</v>
      </c>
      <c r="D36" s="1282" t="s">
        <v>1214</v>
      </c>
      <c r="E36" s="1282"/>
      <c r="F36" s="1282"/>
      <c r="I36" s="491"/>
    </row>
    <row r="37" spans="1:9">
      <c r="A37" s="485"/>
      <c r="B37" s="485"/>
      <c r="D37" s="1282"/>
      <c r="E37" s="1282"/>
      <c r="F37" s="1282"/>
      <c r="I37" s="491"/>
    </row>
    <row r="38" spans="1:9">
      <c r="A38" s="485"/>
      <c r="B38" s="485"/>
      <c r="D38" s="1282"/>
      <c r="E38" s="1282"/>
      <c r="F38" s="1282"/>
      <c r="I38" s="491"/>
    </row>
    <row r="39" spans="1:9">
      <c r="A39" s="485"/>
      <c r="B39" s="485"/>
      <c r="D39" s="1282"/>
      <c r="E39" s="1282"/>
      <c r="F39" s="1282"/>
      <c r="I39" s="491"/>
    </row>
    <row r="40" spans="1:9">
      <c r="A40" s="485"/>
      <c r="B40" s="485"/>
      <c r="I40" s="491"/>
    </row>
    <row r="41" spans="1:9">
      <c r="A41" s="485"/>
      <c r="B41" s="486" t="s">
        <v>2731</v>
      </c>
      <c r="D41" s="1282" t="s">
        <v>1092</v>
      </c>
      <c r="E41" s="1282"/>
      <c r="F41" s="1282"/>
      <c r="I41" s="491"/>
    </row>
    <row r="42" spans="1:9">
      <c r="A42" s="485"/>
      <c r="B42" s="485"/>
      <c r="D42" s="1282"/>
      <c r="E42" s="1282"/>
      <c r="F42" s="1282"/>
      <c r="I42" s="491"/>
    </row>
    <row r="43" spans="1:9">
      <c r="A43" s="485"/>
      <c r="B43" s="485"/>
      <c r="D43" s="1282"/>
      <c r="E43" s="1282"/>
      <c r="F43" s="1282"/>
      <c r="I43" s="491"/>
    </row>
    <row r="44" spans="1:9">
      <c r="A44" s="485"/>
      <c r="B44" s="485"/>
      <c r="D44" s="1282"/>
      <c r="E44" s="1282"/>
      <c r="F44" s="1282"/>
      <c r="I44" s="491"/>
    </row>
    <row r="45" spans="1:9">
      <c r="A45" s="485"/>
      <c r="B45" s="485"/>
      <c r="D45" s="1282"/>
      <c r="E45" s="1282"/>
      <c r="F45" s="1282"/>
      <c r="I45" s="491"/>
    </row>
    <row r="46" spans="1:9">
      <c r="A46" s="485"/>
      <c r="B46" s="485"/>
      <c r="D46" s="446"/>
      <c r="E46" s="446"/>
      <c r="F46" s="446"/>
      <c r="I46" s="491"/>
    </row>
    <row r="47" spans="1:9">
      <c r="A47" s="485"/>
      <c r="B47" s="486" t="s">
        <v>2730</v>
      </c>
      <c r="D47" s="1282" t="s">
        <v>1093</v>
      </c>
      <c r="E47" s="1282"/>
      <c r="F47" s="1282"/>
      <c r="I47" s="491"/>
    </row>
    <row r="48" spans="1:9">
      <c r="A48" s="485"/>
      <c r="B48" s="485"/>
      <c r="D48" s="1282"/>
      <c r="E48" s="1282"/>
      <c r="F48" s="1282"/>
      <c r="I48" s="491"/>
    </row>
    <row r="49" spans="1:9">
      <c r="A49" s="485"/>
      <c r="B49" s="485"/>
      <c r="D49" s="1282"/>
      <c r="E49" s="1282"/>
      <c r="F49" s="1282"/>
      <c r="I49" s="491"/>
    </row>
    <row r="50" spans="1:9" ht="23.25" customHeight="1">
      <c r="A50" s="485"/>
      <c r="B50" s="485"/>
      <c r="D50" s="1282"/>
      <c r="E50" s="1282"/>
      <c r="F50" s="1282"/>
      <c r="I50" s="491"/>
    </row>
    <row r="51" spans="1:9">
      <c r="A51" s="485"/>
      <c r="B51" s="485"/>
      <c r="D51" s="447"/>
      <c r="I51" s="491"/>
    </row>
    <row r="52" spans="1:9" ht="14.5" customHeight="1">
      <c r="A52" s="485"/>
      <c r="B52" s="486" t="s">
        <v>2731</v>
      </c>
      <c r="D52" s="1282" t="s">
        <v>1094</v>
      </c>
      <c r="E52" s="1282"/>
      <c r="F52" s="1282"/>
      <c r="I52" s="491"/>
    </row>
    <row r="53" spans="1:9">
      <c r="A53" s="485"/>
      <c r="B53" s="485"/>
      <c r="D53" s="1282"/>
      <c r="E53" s="1282"/>
      <c r="F53" s="1282"/>
      <c r="I53" s="491"/>
    </row>
    <row r="54" spans="1:9">
      <c r="A54" s="485"/>
      <c r="B54" s="485"/>
      <c r="D54" s="1282"/>
      <c r="E54" s="1282"/>
      <c r="F54" s="1282"/>
      <c r="I54" s="491"/>
    </row>
    <row r="55" spans="1:9">
      <c r="A55" s="485"/>
      <c r="B55" s="485"/>
      <c r="I55" s="491"/>
    </row>
    <row r="56" spans="1:9">
      <c r="A56" s="485"/>
      <c r="B56" s="486" t="s">
        <v>2730</v>
      </c>
      <c r="D56" s="1306" t="s">
        <v>1095</v>
      </c>
      <c r="E56" s="1306"/>
      <c r="F56" s="1306"/>
      <c r="I56" s="491"/>
    </row>
    <row r="57" spans="1:9">
      <c r="A57" s="485"/>
      <c r="B57" s="485"/>
      <c r="D57" s="1306"/>
      <c r="E57" s="1306"/>
      <c r="F57" s="1306"/>
      <c r="I57" s="491"/>
    </row>
    <row r="58" spans="1:9">
      <c r="A58" s="485"/>
      <c r="B58" s="485"/>
      <c r="D58" s="393" t="s">
        <v>1921</v>
      </c>
      <c r="E58" s="446"/>
      <c r="F58" s="446"/>
      <c r="I58" s="491"/>
    </row>
    <row r="59" spans="1:9">
      <c r="A59" s="485"/>
      <c r="B59" s="485"/>
      <c r="D59" s="446"/>
      <c r="E59" s="313" t="s">
        <v>1920</v>
      </c>
      <c r="F59" s="446"/>
      <c r="I59" s="491"/>
    </row>
    <row r="60" spans="1:9">
      <c r="D60" s="448"/>
      <c r="I60" s="491"/>
    </row>
    <row r="61" spans="1:9">
      <c r="A61" s="485"/>
      <c r="B61" s="486" t="s">
        <v>2731</v>
      </c>
      <c r="D61" s="1282" t="s">
        <v>1096</v>
      </c>
      <c r="E61" s="1282"/>
      <c r="F61" s="1282"/>
      <c r="I61" s="491"/>
    </row>
    <row r="62" spans="1:9">
      <c r="D62" s="1282"/>
      <c r="E62" s="1282"/>
      <c r="F62" s="1282"/>
      <c r="I62" s="491"/>
    </row>
    <row r="63" spans="1:9">
      <c r="D63" s="1282"/>
      <c r="E63" s="1282"/>
      <c r="F63" s="1282"/>
      <c r="I63" s="491"/>
    </row>
    <row r="64" spans="1:9">
      <c r="I64" s="491"/>
    </row>
    <row r="65" spans="1:9">
      <c r="A65" s="485"/>
      <c r="B65" s="486" t="s">
        <v>2731</v>
      </c>
      <c r="D65" s="1282" t="s">
        <v>1097</v>
      </c>
      <c r="E65" s="1282"/>
      <c r="F65" s="1282"/>
      <c r="I65" s="491"/>
    </row>
    <row r="66" spans="1:9">
      <c r="D66" s="1282"/>
      <c r="E66" s="1282"/>
      <c r="F66" s="1282"/>
      <c r="I66" s="491"/>
    </row>
    <row r="67" spans="1:9">
      <c r="I67" s="491"/>
    </row>
    <row r="68" spans="1:9">
      <c r="A68" s="485"/>
      <c r="B68" s="486" t="s">
        <v>2730</v>
      </c>
      <c r="D68" s="1282" t="s">
        <v>1098</v>
      </c>
      <c r="E68" s="1282"/>
      <c r="F68" s="1282"/>
      <c r="I68" s="491"/>
    </row>
    <row r="69" spans="1:9">
      <c r="D69" s="1282"/>
      <c r="E69" s="1282"/>
      <c r="F69" s="1282"/>
      <c r="I69" s="491"/>
    </row>
    <row r="70" spans="1:9">
      <c r="D70" s="1282"/>
      <c r="E70" s="1282"/>
      <c r="F70" s="1282"/>
      <c r="I70" s="491"/>
    </row>
    <row r="71" spans="1:9">
      <c r="I71" s="491"/>
    </row>
    <row r="72" spans="1:9">
      <c r="A72" s="485"/>
      <c r="B72" s="486" t="s">
        <v>2730</v>
      </c>
      <c r="D72" s="1282" t="s">
        <v>1099</v>
      </c>
      <c r="E72" s="1282"/>
      <c r="F72" s="1282"/>
      <c r="I72" s="491"/>
    </row>
    <row r="73" spans="1:9">
      <c r="D73" s="1282"/>
      <c r="E73" s="1282"/>
      <c r="F73" s="1282"/>
      <c r="I73" s="491"/>
    </row>
    <row r="74" spans="1:9">
      <c r="A74" s="485"/>
      <c r="B74" s="485"/>
      <c r="D74" s="447"/>
      <c r="I74" s="491"/>
    </row>
    <row r="75" spans="1:9">
      <c r="A75" s="1285" t="s">
        <v>1044</v>
      </c>
      <c r="B75" s="1285"/>
      <c r="C75" s="1285"/>
      <c r="D75" s="1285"/>
      <c r="E75" s="1285"/>
      <c r="F75" s="1285"/>
      <c r="G75" s="1285"/>
      <c r="H75" s="1029"/>
      <c r="I75" s="1155"/>
    </row>
    <row r="76" spans="1:9">
      <c r="I76" s="491"/>
    </row>
    <row r="77" spans="1:9">
      <c r="C77" s="487"/>
      <c r="D77" s="1284" t="s">
        <v>1102</v>
      </c>
      <c r="E77" s="1284"/>
      <c r="F77" s="1284"/>
      <c r="I77" s="491"/>
    </row>
    <row r="78" spans="1:9">
      <c r="A78" s="447"/>
      <c r="B78" s="447"/>
      <c r="D78" s="1282" t="s">
        <v>1117</v>
      </c>
      <c r="E78" s="1282"/>
      <c r="F78" s="1282"/>
      <c r="I78" s="491"/>
    </row>
    <row r="79" spans="1:9">
      <c r="A79" s="447"/>
      <c r="B79" s="447"/>
      <c r="I79" s="491"/>
    </row>
    <row r="80" spans="1:9" ht="13.75" customHeight="1">
      <c r="A80" s="485"/>
      <c r="B80" s="486" t="s">
        <v>2730</v>
      </c>
      <c r="D80" s="1282" t="s">
        <v>1245</v>
      </c>
      <c r="E80" s="1282"/>
      <c r="F80" s="1282"/>
      <c r="I80" s="491"/>
    </row>
    <row r="81" spans="1:9">
      <c r="A81" s="485"/>
      <c r="B81" s="485"/>
      <c r="D81" s="1282"/>
      <c r="E81" s="1282"/>
      <c r="F81" s="1282"/>
      <c r="I81" s="491"/>
    </row>
    <row r="82" spans="1:9">
      <c r="A82" s="485"/>
      <c r="B82" s="485"/>
      <c r="D82" s="1282"/>
      <c r="E82" s="1282"/>
      <c r="F82" s="1282"/>
      <c r="I82" s="491"/>
    </row>
    <row r="83" spans="1:9">
      <c r="A83" s="485"/>
      <c r="B83" s="485"/>
      <c r="D83" s="1282"/>
      <c r="E83" s="1282"/>
      <c r="F83" s="1282"/>
      <c r="I83" s="491"/>
    </row>
    <row r="84" spans="1:9">
      <c r="A84" s="485"/>
      <c r="B84" s="485"/>
      <c r="D84" s="1282"/>
      <c r="E84" s="1282"/>
      <c r="F84" s="1282"/>
      <c r="I84" s="491"/>
    </row>
    <row r="85" spans="1:9">
      <c r="A85" s="485"/>
      <c r="B85" s="485"/>
      <c r="D85" s="1282"/>
      <c r="E85" s="1282"/>
      <c r="F85" s="1282"/>
      <c r="I85" s="491"/>
    </row>
    <row r="86" spans="1:9">
      <c r="A86" s="485"/>
      <c r="B86" s="485"/>
      <c r="D86" s="1282"/>
      <c r="E86" s="1282"/>
      <c r="F86" s="1282"/>
      <c r="I86" s="491"/>
    </row>
    <row r="87" spans="1:9">
      <c r="A87" s="485"/>
      <c r="B87" s="485"/>
      <c r="D87" s="1282"/>
      <c r="E87" s="1282"/>
      <c r="F87" s="1282"/>
      <c r="I87" s="491"/>
    </row>
    <row r="88" spans="1:9">
      <c r="A88" s="485"/>
      <c r="B88" s="485"/>
      <c r="D88" s="386"/>
      <c r="E88" s="386"/>
      <c r="F88" s="386"/>
      <c r="I88" s="491"/>
    </row>
    <row r="89" spans="1:9" ht="15" customHeight="1">
      <c r="A89" s="485"/>
      <c r="B89" s="486" t="s">
        <v>2730</v>
      </c>
      <c r="D89" s="1282" t="s">
        <v>1742</v>
      </c>
      <c r="E89" s="1282"/>
      <c r="F89" s="1282"/>
      <c r="I89" s="491"/>
    </row>
    <row r="90" spans="1:9">
      <c r="A90" s="485"/>
      <c r="B90" s="485"/>
      <c r="D90" s="1282"/>
      <c r="E90" s="1282"/>
      <c r="F90" s="1282"/>
      <c r="I90" s="491"/>
    </row>
    <row r="91" spans="1:9">
      <c r="A91" s="485"/>
      <c r="B91" s="485"/>
      <c r="D91" s="446"/>
      <c r="E91" s="446"/>
      <c r="F91" s="446"/>
      <c r="I91" s="491"/>
    </row>
    <row r="92" spans="1:9">
      <c r="A92" s="485"/>
      <c r="B92" s="486" t="s">
        <v>2730</v>
      </c>
      <c r="D92" s="1282" t="s">
        <v>1745</v>
      </c>
      <c r="E92" s="1282"/>
      <c r="F92" s="1282"/>
      <c r="I92" s="491"/>
    </row>
    <row r="93" spans="1:9">
      <c r="A93" s="485"/>
      <c r="B93" s="485"/>
      <c r="D93" s="1282"/>
      <c r="E93" s="1282"/>
      <c r="F93" s="1282"/>
      <c r="I93" s="491"/>
    </row>
    <row r="94" spans="1:9">
      <c r="A94" s="485"/>
      <c r="B94" s="485"/>
      <c r="D94" s="1282"/>
      <c r="E94" s="1282"/>
      <c r="F94" s="1282"/>
      <c r="I94" s="491"/>
    </row>
    <row r="95" spans="1:9">
      <c r="A95" s="485"/>
      <c r="B95" s="485"/>
      <c r="D95" s="446"/>
      <c r="E95" s="446"/>
      <c r="F95" s="446"/>
      <c r="I95" s="491"/>
    </row>
    <row r="96" spans="1:9">
      <c r="A96" s="485"/>
      <c r="B96" s="486" t="s">
        <v>2730</v>
      </c>
      <c r="D96" s="1282" t="s">
        <v>1744</v>
      </c>
      <c r="E96" s="1282"/>
      <c r="F96" s="1282"/>
      <c r="I96" s="491"/>
    </row>
    <row r="97" spans="1:9" s="988" customFormat="1">
      <c r="A97" s="986"/>
      <c r="B97" s="986"/>
      <c r="C97" s="987"/>
      <c r="D97" s="1282"/>
      <c r="E97" s="1282"/>
      <c r="F97" s="1282"/>
      <c r="I97" s="1156"/>
    </row>
    <row r="98" spans="1:9">
      <c r="A98" s="485"/>
      <c r="B98" s="485"/>
      <c r="D98" s="393"/>
      <c r="E98" s="313" t="s">
        <v>1924</v>
      </c>
      <c r="F98" s="446"/>
      <c r="I98" s="491"/>
    </row>
    <row r="99" spans="1:9">
      <c r="A99" s="485"/>
      <c r="B99" s="485"/>
      <c r="D99" s="386"/>
      <c r="E99" s="386"/>
      <c r="F99" s="386"/>
      <c r="I99" s="491"/>
    </row>
    <row r="100" spans="1:9">
      <c r="A100" s="485"/>
      <c r="B100" s="486" t="s">
        <v>2731</v>
      </c>
      <c r="D100" s="1282" t="s">
        <v>1743</v>
      </c>
      <c r="E100" s="1282"/>
      <c r="F100" s="1282"/>
      <c r="I100" s="491"/>
    </row>
    <row r="101" spans="1:9">
      <c r="A101" s="485"/>
      <c r="B101" s="485"/>
      <c r="D101" s="1282"/>
      <c r="E101" s="1282"/>
      <c r="F101" s="1282"/>
      <c r="I101" s="491"/>
    </row>
    <row r="102" spans="1:9">
      <c r="A102" s="485"/>
      <c r="B102" s="485"/>
      <c r="D102" s="446"/>
      <c r="E102" s="446"/>
      <c r="F102" s="446"/>
      <c r="I102" s="491"/>
    </row>
    <row r="103" spans="1:9" ht="14.5" customHeight="1">
      <c r="A103" s="485"/>
      <c r="B103" s="486" t="s">
        <v>2731</v>
      </c>
      <c r="D103" s="1282" t="s">
        <v>1194</v>
      </c>
      <c r="E103" s="1282"/>
      <c r="F103" s="1282"/>
      <c r="I103" s="491"/>
    </row>
    <row r="104" spans="1:9">
      <c r="A104" s="485"/>
      <c r="B104" s="485"/>
      <c r="D104" s="1282"/>
      <c r="E104" s="1282"/>
      <c r="F104" s="1282"/>
      <c r="I104" s="491"/>
    </row>
    <row r="105" spans="1:9">
      <c r="A105" s="485"/>
      <c r="B105" s="485"/>
      <c r="D105" s="1282"/>
      <c r="E105" s="1282"/>
      <c r="F105" s="1282"/>
      <c r="I105" s="491"/>
    </row>
    <row r="106" spans="1:9">
      <c r="A106" s="485"/>
      <c r="B106" s="485"/>
      <c r="D106" s="1282"/>
      <c r="E106" s="1282"/>
      <c r="F106" s="1282"/>
      <c r="I106" s="491"/>
    </row>
    <row r="107" spans="1:9">
      <c r="A107" s="485"/>
      <c r="B107" s="485"/>
      <c r="D107" s="1282"/>
      <c r="E107" s="1282"/>
      <c r="F107" s="1282"/>
      <c r="I107" s="491"/>
    </row>
    <row r="108" spans="1:9">
      <c r="A108" s="485"/>
      <c r="B108" s="485"/>
      <c r="D108" s="1282"/>
      <c r="E108" s="1282"/>
      <c r="F108" s="1282"/>
      <c r="I108" s="491"/>
    </row>
    <row r="109" spans="1:9">
      <c r="A109" s="485"/>
      <c r="B109" s="485"/>
      <c r="D109" s="1282"/>
      <c r="E109" s="1282"/>
      <c r="F109" s="1282"/>
      <c r="I109" s="491"/>
    </row>
    <row r="110" spans="1:9">
      <c r="A110" s="485"/>
      <c r="B110" s="485"/>
      <c r="D110" s="1282"/>
      <c r="E110" s="1282"/>
      <c r="F110" s="1282"/>
      <c r="I110" s="491"/>
    </row>
    <row r="111" spans="1:9">
      <c r="A111" s="485"/>
      <c r="B111" s="485"/>
      <c r="D111" s="1282"/>
      <c r="E111" s="1282"/>
      <c r="F111" s="1282"/>
      <c r="I111" s="491"/>
    </row>
    <row r="112" spans="1:9">
      <c r="A112" s="485"/>
      <c r="B112" s="485"/>
      <c r="D112" s="1282"/>
      <c r="E112" s="1282"/>
      <c r="F112" s="1282"/>
      <c r="I112" s="491"/>
    </row>
    <row r="113" spans="1:9">
      <c r="A113" s="485"/>
      <c r="B113" s="485"/>
      <c r="D113" s="1282"/>
      <c r="E113" s="1282"/>
      <c r="F113" s="1282"/>
      <c r="I113" s="491"/>
    </row>
    <row r="114" spans="1:9">
      <c r="A114" s="485"/>
      <c r="B114" s="485"/>
      <c r="D114" s="1282"/>
      <c r="E114" s="1282"/>
      <c r="F114" s="1282"/>
      <c r="I114" s="491"/>
    </row>
    <row r="115" spans="1:9">
      <c r="A115" s="485"/>
      <c r="B115" s="485"/>
      <c r="D115" s="1282"/>
      <c r="E115" s="1282"/>
      <c r="F115" s="1282"/>
      <c r="I115" s="491"/>
    </row>
    <row r="116" spans="1:9">
      <c r="A116" s="485"/>
      <c r="B116" s="485"/>
      <c r="D116" s="1282"/>
      <c r="E116" s="1282"/>
      <c r="F116" s="1282"/>
      <c r="I116" s="491"/>
    </row>
    <row r="117" spans="1:9">
      <c r="A117" s="485"/>
      <c r="B117" s="485"/>
      <c r="D117" s="1282"/>
      <c r="E117" s="1282"/>
      <c r="F117" s="1282"/>
      <c r="I117" s="491"/>
    </row>
    <row r="118" spans="1:9">
      <c r="A118" s="485"/>
      <c r="B118" s="485"/>
      <c r="D118" s="525"/>
      <c r="E118" s="525"/>
      <c r="F118" s="525"/>
      <c r="I118" s="491"/>
    </row>
    <row r="119" spans="1:9" ht="14.25" customHeight="1">
      <c r="A119" s="485"/>
      <c r="B119" s="486" t="s">
        <v>2731</v>
      </c>
      <c r="D119" s="1302" t="s">
        <v>1103</v>
      </c>
      <c r="E119" s="1302"/>
      <c r="F119" s="1302"/>
      <c r="I119" s="491"/>
    </row>
    <row r="120" spans="1:9">
      <c r="A120" s="485"/>
      <c r="B120" s="485"/>
      <c r="D120" s="1302"/>
      <c r="E120" s="1302"/>
      <c r="F120" s="1302"/>
      <c r="I120" s="491"/>
    </row>
    <row r="121" spans="1:9">
      <c r="A121" s="485"/>
      <c r="B121" s="485"/>
      <c r="D121" s="1302"/>
      <c r="E121" s="1302"/>
      <c r="F121" s="1302"/>
      <c r="I121" s="491"/>
    </row>
    <row r="122" spans="1:9">
      <c r="A122" s="485"/>
      <c r="B122" s="485"/>
      <c r="D122" s="1302"/>
      <c r="E122" s="1302"/>
      <c r="F122" s="1302"/>
      <c r="I122" s="491"/>
    </row>
    <row r="123" spans="1:9">
      <c r="A123" s="485"/>
      <c r="B123" s="485"/>
      <c r="D123" s="1302"/>
      <c r="E123" s="1302"/>
      <c r="F123" s="1302"/>
      <c r="I123" s="491"/>
    </row>
    <row r="124" spans="1:9">
      <c r="A124" s="485"/>
      <c r="B124" s="485"/>
      <c r="D124" s="1302"/>
      <c r="E124" s="1302"/>
      <c r="F124" s="1302"/>
      <c r="I124" s="491"/>
    </row>
    <row r="125" spans="1:9">
      <c r="A125" s="485"/>
      <c r="B125" s="485"/>
      <c r="D125" s="1302"/>
      <c r="E125" s="1302"/>
      <c r="F125" s="1302"/>
      <c r="I125" s="491"/>
    </row>
    <row r="126" spans="1:9">
      <c r="A126" s="485"/>
      <c r="B126" s="485"/>
      <c r="D126" s="1302"/>
      <c r="E126" s="1302"/>
      <c r="F126" s="1302"/>
      <c r="I126" s="491"/>
    </row>
    <row r="127" spans="1:9">
      <c r="C127" s="403"/>
      <c r="D127" s="526"/>
      <c r="E127" s="526"/>
      <c r="F127" s="526"/>
      <c r="I127" s="491"/>
    </row>
    <row r="128" spans="1:9">
      <c r="A128" s="485"/>
      <c r="B128" s="486" t="s">
        <v>2730</v>
      </c>
      <c r="C128" s="403"/>
      <c r="D128" s="1302" t="s">
        <v>2051</v>
      </c>
      <c r="E128" s="1302"/>
      <c r="F128" s="1302"/>
      <c r="I128" s="491"/>
    </row>
    <row r="129" spans="1:9">
      <c r="A129" s="485"/>
      <c r="B129" s="485"/>
      <c r="C129" s="403"/>
      <c r="D129" s="1302"/>
      <c r="E129" s="1302"/>
      <c r="F129" s="1302"/>
      <c r="I129" s="491"/>
    </row>
    <row r="130" spans="1:9">
      <c r="I130" s="491"/>
    </row>
    <row r="131" spans="1:9">
      <c r="A131" s="485"/>
      <c r="B131" s="486" t="s">
        <v>2731</v>
      </c>
      <c r="D131" s="1282" t="s">
        <v>1104</v>
      </c>
      <c r="E131" s="1282"/>
      <c r="F131" s="1282"/>
      <c r="I131" s="491"/>
    </row>
    <row r="132" spans="1:9">
      <c r="D132" s="1282"/>
      <c r="E132" s="1282"/>
      <c r="F132" s="1282"/>
      <c r="I132" s="491"/>
    </row>
    <row r="133" spans="1:9">
      <c r="D133" s="1282"/>
      <c r="E133" s="1282"/>
      <c r="F133" s="1282"/>
      <c r="I133" s="491"/>
    </row>
    <row r="134" spans="1:9">
      <c r="D134" s="1282"/>
      <c r="E134" s="1282"/>
      <c r="F134" s="1282"/>
      <c r="I134" s="491"/>
    </row>
    <row r="135" spans="1:9">
      <c r="D135" s="1282"/>
      <c r="E135" s="1282"/>
      <c r="F135" s="1282"/>
      <c r="I135" s="491"/>
    </row>
    <row r="136" spans="1:9">
      <c r="I136" s="491"/>
    </row>
    <row r="137" spans="1:9">
      <c r="A137" s="485"/>
      <c r="B137" s="486" t="s">
        <v>2730</v>
      </c>
      <c r="D137" s="1282" t="s">
        <v>1105</v>
      </c>
      <c r="E137" s="1282"/>
      <c r="F137" s="1282"/>
      <c r="I137" s="491"/>
    </row>
    <row r="138" spans="1:9" s="418" customFormat="1" ht="13.75" customHeight="1">
      <c r="A138" s="489"/>
      <c r="B138" s="489"/>
      <c r="C138" s="489"/>
      <c r="D138" s="1282"/>
      <c r="E138" s="1282"/>
      <c r="F138" s="1282"/>
      <c r="I138" s="1157"/>
    </row>
    <row r="139" spans="1:9" ht="13.75" customHeight="1">
      <c r="D139" s="1282"/>
      <c r="E139" s="1282"/>
      <c r="F139" s="1282"/>
      <c r="I139" s="491"/>
    </row>
    <row r="140" spans="1:9" ht="13.75" customHeight="1">
      <c r="D140" s="1282"/>
      <c r="E140" s="1282"/>
      <c r="F140" s="1282"/>
      <c r="I140" s="491"/>
    </row>
    <row r="141" spans="1:9" ht="13.75" customHeight="1">
      <c r="D141" s="1282"/>
      <c r="E141" s="1282"/>
      <c r="F141" s="1282"/>
      <c r="I141" s="491"/>
    </row>
    <row r="142" spans="1:9" ht="13.75" customHeight="1">
      <c r="A142" s="490"/>
      <c r="B142" s="490"/>
      <c r="D142" s="1282"/>
      <c r="E142" s="1282"/>
      <c r="F142" s="1282"/>
      <c r="I142" s="491"/>
    </row>
    <row r="143" spans="1:9" ht="13.75" customHeight="1">
      <c r="D143" s="1282"/>
      <c r="E143" s="1282"/>
      <c r="F143" s="1282"/>
      <c r="I143" s="491"/>
    </row>
    <row r="144" spans="1:9" ht="13.75" customHeight="1">
      <c r="D144" s="1282"/>
      <c r="E144" s="1282"/>
      <c r="F144" s="1282"/>
      <c r="I144" s="491"/>
    </row>
    <row r="145" spans="2:9" ht="13.75" customHeight="1">
      <c r="D145" s="1282"/>
      <c r="E145" s="1282"/>
      <c r="F145" s="1282"/>
      <c r="I145" s="491"/>
    </row>
    <row r="146" spans="2:9" ht="13.75" customHeight="1">
      <c r="D146" s="1282"/>
      <c r="E146" s="1282"/>
      <c r="F146" s="1282"/>
      <c r="I146" s="491"/>
    </row>
    <row r="147" spans="2:9" ht="13.75" customHeight="1">
      <c r="D147" s="1282"/>
      <c r="E147" s="1282"/>
      <c r="F147" s="1282"/>
      <c r="I147" s="491"/>
    </row>
    <row r="148" spans="2:9" ht="13.75" customHeight="1">
      <c r="D148" s="1282"/>
      <c r="E148" s="1282"/>
      <c r="F148" s="1282"/>
      <c r="I148" s="491"/>
    </row>
    <row r="149" spans="2:9" ht="13.75" customHeight="1">
      <c r="D149" s="1282"/>
      <c r="E149" s="1282"/>
      <c r="F149" s="1282"/>
      <c r="I149" s="491"/>
    </row>
    <row r="150" spans="2:9" ht="13.75" customHeight="1">
      <c r="D150" s="477"/>
      <c r="E150" s="447"/>
      <c r="F150" s="447"/>
      <c r="I150" s="491"/>
    </row>
    <row r="151" spans="2:9" ht="13.75" customHeight="1">
      <c r="B151" s="486" t="s">
        <v>2731</v>
      </c>
      <c r="D151" s="1282" t="s">
        <v>1177</v>
      </c>
      <c r="E151" s="1282"/>
      <c r="F151" s="1282"/>
      <c r="I151" s="491"/>
    </row>
    <row r="152" spans="2:9" ht="13.75" customHeight="1">
      <c r="D152" s="1282"/>
      <c r="E152" s="1282"/>
      <c r="F152" s="1282"/>
      <c r="I152" s="491"/>
    </row>
    <row r="153" spans="2:9" ht="13.75" customHeight="1">
      <c r="D153" s="1282"/>
      <c r="E153" s="1282"/>
      <c r="F153" s="1282"/>
      <c r="I153" s="491"/>
    </row>
    <row r="154" spans="2:9" ht="13.75" customHeight="1">
      <c r="D154" s="1282"/>
      <c r="E154" s="1282"/>
      <c r="F154" s="1282"/>
      <c r="I154" s="491"/>
    </row>
    <row r="155" spans="2:9" ht="13.75" customHeight="1">
      <c r="D155" s="1282"/>
      <c r="E155" s="1282"/>
      <c r="F155" s="1282"/>
      <c r="I155" s="491"/>
    </row>
    <row r="156" spans="2:9" ht="13.75" customHeight="1">
      <c r="D156" s="1282"/>
      <c r="E156" s="1282"/>
      <c r="F156" s="1282"/>
      <c r="I156" s="491"/>
    </row>
    <row r="157" spans="2:9" ht="13.75" customHeight="1">
      <c r="D157" s="1282"/>
      <c r="E157" s="1282"/>
      <c r="F157" s="1282"/>
      <c r="I157" s="491"/>
    </row>
    <row r="158" spans="2:9" ht="13.75" customHeight="1">
      <c r="D158" s="1282"/>
      <c r="E158" s="1282"/>
      <c r="F158" s="1282"/>
      <c r="I158" s="491"/>
    </row>
    <row r="159" spans="2:9" ht="13.75" customHeight="1">
      <c r="D159" s="1282"/>
      <c r="E159" s="1282"/>
      <c r="F159" s="1282"/>
      <c r="I159" s="491"/>
    </row>
    <row r="160" spans="2:9" ht="13.75" customHeight="1">
      <c r="D160" s="1282"/>
      <c r="E160" s="1282"/>
      <c r="F160" s="1282"/>
      <c r="I160" s="491"/>
    </row>
    <row r="161" spans="1:9" ht="13.75" customHeight="1">
      <c r="D161" s="1282"/>
      <c r="E161" s="1282"/>
      <c r="F161" s="1282"/>
      <c r="I161" s="491"/>
    </row>
    <row r="162" spans="1:9" ht="13.75" customHeight="1">
      <c r="D162" s="1282"/>
      <c r="E162" s="1282"/>
      <c r="F162" s="1282"/>
      <c r="I162" s="491"/>
    </row>
    <row r="163" spans="1:9" ht="13.75" customHeight="1">
      <c r="D163" s="1282"/>
      <c r="E163" s="1282"/>
      <c r="F163" s="1282"/>
      <c r="I163" s="491"/>
    </row>
    <row r="164" spans="1:9" ht="13.75" customHeight="1">
      <c r="D164" s="1282"/>
      <c r="E164" s="1282"/>
      <c r="F164" s="1282"/>
      <c r="I164" s="491"/>
    </row>
    <row r="165" spans="1:9" ht="13.75" customHeight="1">
      <c r="D165" s="1282"/>
      <c r="E165" s="1282"/>
      <c r="F165" s="1282"/>
      <c r="I165" s="491"/>
    </row>
    <row r="166" spans="1:9" ht="13.75" customHeight="1">
      <c r="D166" s="1282"/>
      <c r="E166" s="1282"/>
      <c r="F166" s="1282"/>
      <c r="I166" s="491"/>
    </row>
    <row r="167" spans="1:9" ht="13.75" customHeight="1">
      <c r="D167" s="1282"/>
      <c r="E167" s="1282"/>
      <c r="F167" s="1282"/>
      <c r="I167" s="491"/>
    </row>
    <row r="168" spans="1:9" ht="13.75" customHeight="1">
      <c r="D168" s="1282"/>
      <c r="E168" s="1282"/>
      <c r="F168" s="1282"/>
      <c r="I168" s="491"/>
    </row>
    <row r="169" spans="1:9" ht="13.75" customHeight="1">
      <c r="D169" s="1303" t="s">
        <v>2074</v>
      </c>
      <c r="E169" s="1303"/>
      <c r="F169" s="1303"/>
      <c r="G169" s="508"/>
      <c r="I169" s="491"/>
    </row>
    <row r="170" spans="1:9" ht="13.75" customHeight="1">
      <c r="D170" s="1294"/>
      <c r="E170" s="1294"/>
      <c r="F170" s="1294"/>
      <c r="G170" s="1294"/>
      <c r="I170" s="491"/>
    </row>
    <row r="171" spans="1:9" ht="14.5" customHeight="1">
      <c r="A171" s="490"/>
      <c r="B171" s="486" t="s">
        <v>2731</v>
      </c>
      <c r="C171" s="477"/>
      <c r="D171" s="1262" t="s">
        <v>2214</v>
      </c>
      <c r="E171" s="1262"/>
      <c r="F171" s="1262"/>
      <c r="G171" s="477"/>
      <c r="I171" s="491"/>
    </row>
    <row r="172" spans="1:9" ht="14.5" customHeight="1">
      <c r="A172" s="490"/>
      <c r="B172" s="490"/>
      <c r="C172" s="477"/>
      <c r="D172" s="1262"/>
      <c r="E172" s="1262"/>
      <c r="F172" s="1262"/>
      <c r="G172" s="477"/>
      <c r="I172" s="491"/>
    </row>
    <row r="173" spans="1:9" ht="14.5" customHeight="1">
      <c r="A173" s="490"/>
      <c r="B173" s="490"/>
      <c r="C173" s="477"/>
      <c r="D173" s="1262"/>
      <c r="E173" s="1262"/>
      <c r="F173" s="1262"/>
      <c r="G173" s="477"/>
      <c r="I173" s="491"/>
    </row>
    <row r="174" spans="1:9" ht="14.5" customHeight="1">
      <c r="A174" s="490"/>
      <c r="B174" s="490"/>
      <c r="C174" s="477"/>
      <c r="D174" s="1262"/>
      <c r="E174" s="1262"/>
      <c r="F174" s="1262"/>
      <c r="G174" s="477"/>
      <c r="I174" s="491"/>
    </row>
    <row r="175" spans="1:9" ht="13.75" customHeight="1">
      <c r="A175" s="490"/>
      <c r="B175" s="490"/>
      <c r="C175" s="477"/>
      <c r="D175" s="1262"/>
      <c r="E175" s="1262"/>
      <c r="F175" s="1262"/>
      <c r="G175" s="477"/>
      <c r="I175" s="491"/>
    </row>
    <row r="176" spans="1:9" ht="13.75" customHeight="1">
      <c r="A176" s="490"/>
      <c r="B176" s="490"/>
      <c r="C176" s="477"/>
      <c r="D176" s="477"/>
      <c r="E176" s="477"/>
      <c r="F176" s="477"/>
      <c r="G176" s="477"/>
      <c r="I176" s="491"/>
    </row>
    <row r="177" spans="1:9" ht="13.75" customHeight="1">
      <c r="A177" s="490"/>
      <c r="B177" s="486" t="s">
        <v>2730</v>
      </c>
      <c r="C177" s="477"/>
      <c r="D177" s="1262" t="s">
        <v>1106</v>
      </c>
      <c r="E177" s="1262"/>
      <c r="F177" s="1262"/>
      <c r="G177" s="477"/>
      <c r="I177" s="491"/>
    </row>
    <row r="178" spans="1:9" ht="13.75" customHeight="1">
      <c r="A178" s="490"/>
      <c r="B178" s="490"/>
      <c r="C178" s="477"/>
      <c r="D178" s="1262"/>
      <c r="E178" s="1262"/>
      <c r="F178" s="1262"/>
      <c r="G178" s="477"/>
      <c r="I178" s="491"/>
    </row>
    <row r="179" spans="1:9" ht="13.75" customHeight="1">
      <c r="A179" s="490"/>
      <c r="B179" s="490"/>
      <c r="C179" s="477"/>
      <c r="D179" s="1262"/>
      <c r="E179" s="1262"/>
      <c r="F179" s="1262"/>
      <c r="G179" s="477"/>
      <c r="I179" s="491"/>
    </row>
    <row r="180" spans="1:9" ht="13.75" customHeight="1">
      <c r="A180" s="490"/>
      <c r="B180" s="490"/>
      <c r="C180" s="477"/>
      <c r="D180" s="1262"/>
      <c r="E180" s="1262"/>
      <c r="F180" s="1262"/>
      <c r="G180" s="477"/>
      <c r="I180" s="491"/>
    </row>
    <row r="181" spans="1:9" ht="13.75" customHeight="1">
      <c r="D181" s="447"/>
      <c r="E181" s="447"/>
      <c r="F181" s="447"/>
      <c r="I181" s="491"/>
    </row>
    <row r="182" spans="1:9" ht="13.75" customHeight="1">
      <c r="B182" s="486" t="s">
        <v>2731</v>
      </c>
      <c r="D182" s="1286" t="s">
        <v>2052</v>
      </c>
      <c r="E182" s="1286"/>
      <c r="F182" s="1286"/>
      <c r="I182" s="491"/>
    </row>
    <row r="183" spans="1:9" ht="13.75" customHeight="1">
      <c r="D183" s="1286"/>
      <c r="E183" s="1286"/>
      <c r="F183" s="1286"/>
      <c r="I183" s="491"/>
    </row>
    <row r="184" spans="1:9" ht="13.75" customHeight="1">
      <c r="D184" s="1286"/>
      <c r="E184" s="1286"/>
      <c r="F184" s="1286"/>
      <c r="I184" s="491"/>
    </row>
    <row r="185" spans="1:9" ht="13.75" customHeight="1">
      <c r="A185" s="491"/>
      <c r="B185" s="491"/>
      <c r="E185" s="447"/>
      <c r="F185" s="447"/>
      <c r="I185" s="491"/>
    </row>
    <row r="186" spans="1:9">
      <c r="A186" s="1285" t="s">
        <v>2053</v>
      </c>
      <c r="B186" s="1285"/>
      <c r="C186" s="1285"/>
      <c r="D186" s="1285"/>
      <c r="E186" s="1285"/>
      <c r="F186" s="1285"/>
      <c r="G186" s="1285"/>
      <c r="H186" s="1029"/>
      <c r="I186" s="1155"/>
    </row>
    <row r="187" spans="1:9" ht="12" customHeight="1">
      <c r="D187" s="447"/>
      <c r="E187" s="447"/>
      <c r="F187" s="447"/>
      <c r="I187" s="491"/>
    </row>
    <row r="188" spans="1:9">
      <c r="B188" s="1288" t="s">
        <v>447</v>
      </c>
      <c r="C188" s="1288"/>
      <c r="D188" s="1288"/>
      <c r="E188" s="1288"/>
      <c r="F188" s="1288"/>
      <c r="I188" s="491"/>
    </row>
    <row r="189" spans="1:9">
      <c r="B189" s="393" t="s">
        <v>1875</v>
      </c>
      <c r="C189" s="393"/>
      <c r="D189" s="393"/>
      <c r="E189" s="393"/>
      <c r="F189" s="393"/>
      <c r="I189" s="491"/>
    </row>
    <row r="190" spans="1:9" ht="12" customHeight="1">
      <c r="A190" s="483"/>
      <c r="B190" s="483"/>
      <c r="C190" s="483"/>
      <c r="I190" s="491"/>
    </row>
    <row r="191" spans="1:9">
      <c r="A191" s="1285" t="s">
        <v>1045</v>
      </c>
      <c r="B191" s="1285"/>
      <c r="C191" s="1285"/>
      <c r="D191" s="1285"/>
      <c r="E191" s="1285"/>
      <c r="F191" s="1285"/>
      <c r="G191" s="1285"/>
      <c r="H191" s="1029"/>
      <c r="I191" s="1155"/>
    </row>
    <row r="192" spans="1:9" ht="12" customHeight="1">
      <c r="A192" s="405"/>
      <c r="B192" s="405"/>
      <c r="E192" s="405"/>
      <c r="I192" s="491"/>
    </row>
    <row r="193" spans="1:9" ht="13.75" customHeight="1">
      <c r="A193" s="405"/>
      <c r="B193" s="405"/>
      <c r="D193" s="1284" t="s">
        <v>1746</v>
      </c>
      <c r="E193" s="1284"/>
      <c r="F193" s="1284"/>
      <c r="I193" s="491"/>
    </row>
    <row r="194" spans="1:9">
      <c r="A194" s="405"/>
      <c r="B194" s="405"/>
      <c r="D194" s="1284"/>
      <c r="E194" s="1284"/>
      <c r="F194" s="1284"/>
      <c r="I194" s="491"/>
    </row>
    <row r="195" spans="1:9">
      <c r="A195" s="405"/>
      <c r="B195" s="405"/>
      <c r="D195" s="1288" t="s">
        <v>1195</v>
      </c>
      <c r="E195" s="1288"/>
      <c r="F195" s="1288"/>
      <c r="I195" s="491"/>
    </row>
    <row r="196" spans="1:9">
      <c r="A196" s="405"/>
      <c r="B196" s="405"/>
      <c r="D196" s="393"/>
      <c r="E196" s="393"/>
      <c r="F196" s="393"/>
      <c r="I196" s="491"/>
    </row>
    <row r="197" spans="1:9">
      <c r="A197" s="405"/>
      <c r="B197" s="486" t="s">
        <v>2731</v>
      </c>
      <c r="D197" s="1299" t="s">
        <v>1747</v>
      </c>
      <c r="E197" s="1299"/>
      <c r="F197" s="1299"/>
      <c r="I197" s="491"/>
    </row>
    <row r="198" spans="1:9">
      <c r="A198" s="405"/>
      <c r="B198" s="405"/>
      <c r="D198" s="1300" t="s">
        <v>1902</v>
      </c>
      <c r="E198" s="1300"/>
      <c r="F198" s="1300"/>
      <c r="I198" s="491"/>
    </row>
    <row r="199" spans="1:9">
      <c r="A199" s="405"/>
      <c r="B199" s="405"/>
      <c r="D199" s="96" t="s">
        <v>1748</v>
      </c>
      <c r="E199" s="1301" t="s">
        <v>1925</v>
      </c>
      <c r="F199" s="1301"/>
      <c r="I199" s="491"/>
    </row>
    <row r="200" spans="1:9">
      <c r="A200" s="405"/>
      <c r="B200" s="405"/>
      <c r="D200" s="3"/>
      <c r="E200" s="3"/>
      <c r="F200" s="3"/>
      <c r="I200" s="491"/>
    </row>
    <row r="201" spans="1:9">
      <c r="A201" s="405"/>
      <c r="B201" s="486" t="s">
        <v>2731</v>
      </c>
      <c r="D201" s="1300" t="s">
        <v>1749</v>
      </c>
      <c r="E201" s="1300"/>
      <c r="F201" s="1300"/>
      <c r="I201" s="491"/>
    </row>
    <row r="202" spans="1:9">
      <c r="A202" s="405"/>
      <c r="B202" s="405"/>
      <c r="D202" s="1299" t="s">
        <v>1902</v>
      </c>
      <c r="E202" s="1299"/>
      <c r="F202" s="1299"/>
      <c r="I202" s="491"/>
    </row>
    <row r="203" spans="1:9">
      <c r="A203" s="405"/>
      <c r="B203" s="405"/>
      <c r="D203" s="57" t="s">
        <v>1750</v>
      </c>
      <c r="E203" s="1301" t="s">
        <v>1926</v>
      </c>
      <c r="F203" s="1301"/>
      <c r="I203" s="491"/>
    </row>
    <row r="204" spans="1:9">
      <c r="A204" s="405"/>
      <c r="B204" s="405"/>
      <c r="D204" s="3"/>
      <c r="E204" s="3"/>
      <c r="F204" s="3"/>
      <c r="I204" s="491"/>
    </row>
    <row r="205" spans="1:9">
      <c r="A205" s="405"/>
      <c r="B205" s="486" t="s">
        <v>2731</v>
      </c>
      <c r="D205" s="1300" t="s">
        <v>1751</v>
      </c>
      <c r="E205" s="1300"/>
      <c r="F205" s="1300"/>
      <c r="I205" s="491"/>
    </row>
    <row r="206" spans="1:9">
      <c r="A206" s="405"/>
      <c r="B206" s="405"/>
      <c r="D206" s="1299" t="s">
        <v>1902</v>
      </c>
      <c r="E206" s="1299"/>
      <c r="F206" s="1299"/>
      <c r="I206" s="491"/>
    </row>
    <row r="207" spans="1:9">
      <c r="A207" s="405"/>
      <c r="B207" s="405"/>
      <c r="D207" s="57" t="s">
        <v>1748</v>
      </c>
      <c r="E207" s="1301" t="s">
        <v>1927</v>
      </c>
      <c r="F207" s="1301"/>
      <c r="I207" s="491"/>
    </row>
    <row r="208" spans="1:9">
      <c r="A208" s="405"/>
      <c r="B208" s="405"/>
      <c r="D208" s="393"/>
      <c r="E208" s="393"/>
      <c r="F208" s="393"/>
      <c r="I208" s="491"/>
    </row>
    <row r="209" spans="1:9" ht="14.25" customHeight="1">
      <c r="A209" s="485"/>
      <c r="B209" s="486" t="s">
        <v>2731</v>
      </c>
      <c r="D209" s="387" t="s">
        <v>1895</v>
      </c>
      <c r="E209" s="386"/>
      <c r="F209" s="386"/>
      <c r="I209" s="491"/>
    </row>
    <row r="210" spans="1:9">
      <c r="A210" s="485"/>
      <c r="B210" s="485"/>
      <c r="D210" s="1299" t="s">
        <v>1902</v>
      </c>
      <c r="E210" s="1299"/>
      <c r="F210" s="1299"/>
      <c r="I210" s="491"/>
    </row>
    <row r="211" spans="1:9">
      <c r="D211" s="386"/>
      <c r="E211" s="1301" t="s">
        <v>1928</v>
      </c>
      <c r="F211" s="1301"/>
      <c r="I211" s="491"/>
    </row>
    <row r="212" spans="1:9">
      <c r="D212" s="448"/>
      <c r="I212" s="491"/>
    </row>
    <row r="213" spans="1:9">
      <c r="B213" s="486" t="s">
        <v>2731</v>
      </c>
      <c r="D213" s="1300" t="s">
        <v>1752</v>
      </c>
      <c r="E213" s="1300"/>
      <c r="F213" s="1300"/>
      <c r="I213" s="491"/>
    </row>
    <row r="214" spans="1:9">
      <c r="D214" s="1299" t="s">
        <v>1902</v>
      </c>
      <c r="E214" s="1299"/>
      <c r="F214" s="1299"/>
      <c r="I214" s="491"/>
    </row>
    <row r="215" spans="1:9">
      <c r="D215" s="57" t="s">
        <v>1748</v>
      </c>
      <c r="E215" s="1301" t="s">
        <v>1929</v>
      </c>
      <c r="F215" s="1301"/>
      <c r="I215" s="491"/>
    </row>
    <row r="216" spans="1:9">
      <c r="D216" s="452"/>
      <c r="E216" s="452"/>
      <c r="F216" s="452"/>
      <c r="I216" s="491"/>
    </row>
    <row r="217" spans="1:9">
      <c r="A217" s="485"/>
      <c r="B217" s="486" t="s">
        <v>2731</v>
      </c>
      <c r="D217" s="1282" t="s">
        <v>1216</v>
      </c>
      <c r="E217" s="1282"/>
      <c r="F217" s="1282"/>
      <c r="I217" s="491"/>
    </row>
    <row r="218" spans="1:9" ht="14.5" customHeight="1">
      <c r="A218" s="485"/>
      <c r="B218" s="403"/>
      <c r="D218" s="1282"/>
      <c r="E218" s="1282"/>
      <c r="F218" s="1282"/>
      <c r="I218" s="491"/>
    </row>
    <row r="219" spans="1:9">
      <c r="A219" s="485"/>
      <c r="D219" s="1282"/>
      <c r="E219" s="1282"/>
      <c r="F219" s="1282"/>
      <c r="I219" s="491"/>
    </row>
    <row r="220" spans="1:9">
      <c r="A220" s="485"/>
      <c r="D220" s="1282"/>
      <c r="E220" s="1282"/>
      <c r="F220" s="1282"/>
      <c r="I220" s="491"/>
    </row>
    <row r="221" spans="1:9">
      <c r="D221" s="452"/>
      <c r="E221" s="452"/>
      <c r="F221" s="452"/>
      <c r="I221" s="491"/>
    </row>
    <row r="222" spans="1:9">
      <c r="A222" s="1285" t="s">
        <v>1046</v>
      </c>
      <c r="B222" s="1285"/>
      <c r="C222" s="1285"/>
      <c r="D222" s="1285"/>
      <c r="E222" s="1285"/>
      <c r="F222" s="1285"/>
      <c r="G222" s="1285"/>
      <c r="H222" s="1029"/>
      <c r="I222" s="1155"/>
    </row>
    <row r="223" spans="1:9" ht="12" customHeight="1">
      <c r="D223" s="447"/>
      <c r="E223" s="447"/>
      <c r="F223" s="447"/>
      <c r="I223" s="491"/>
    </row>
    <row r="224" spans="1:9">
      <c r="C224" s="487"/>
      <c r="D224" s="1290" t="s">
        <v>208</v>
      </c>
      <c r="E224" s="1290"/>
      <c r="F224" s="1290"/>
      <c r="I224" s="491"/>
    </row>
    <row r="225" spans="1:9">
      <c r="A225" s="483"/>
      <c r="B225" s="483"/>
      <c r="C225" s="483"/>
      <c r="D225" s="1283" t="s">
        <v>1120</v>
      </c>
      <c r="E225" s="1283"/>
      <c r="F225" s="1283"/>
      <c r="I225" s="491"/>
    </row>
    <row r="226" spans="1:9" ht="12" customHeight="1">
      <c r="A226" s="491"/>
      <c r="B226" s="491"/>
      <c r="C226" s="491"/>
      <c r="I226" s="491"/>
    </row>
    <row r="227" spans="1:9" ht="13.75" customHeight="1">
      <c r="A227" s="491"/>
      <c r="C227" s="491"/>
      <c r="D227" s="1290" t="s">
        <v>547</v>
      </c>
      <c r="E227" s="1290"/>
      <c r="F227" s="1290"/>
      <c r="I227" s="491"/>
    </row>
    <row r="228" spans="1:9">
      <c r="A228" s="485"/>
      <c r="B228" s="486" t="s">
        <v>2730</v>
      </c>
      <c r="D228" s="1282" t="s">
        <v>1753</v>
      </c>
      <c r="E228" s="1282"/>
      <c r="F228" s="1282"/>
      <c r="I228" s="491"/>
    </row>
    <row r="229" spans="1:9" ht="14.25" customHeight="1">
      <c r="A229" s="485"/>
      <c r="B229" s="485"/>
      <c r="D229" s="1282"/>
      <c r="E229" s="1282"/>
      <c r="F229" s="1282"/>
      <c r="I229" s="491"/>
    </row>
    <row r="230" spans="1:9" ht="14.25" customHeight="1">
      <c r="A230" s="485"/>
      <c r="B230" s="485"/>
      <c r="D230" s="1282"/>
      <c r="E230" s="1282"/>
      <c r="F230" s="1282"/>
      <c r="I230" s="491"/>
    </row>
    <row r="231" spans="1:9">
      <c r="A231" s="485"/>
      <c r="B231" s="485"/>
      <c r="D231" s="1282"/>
      <c r="E231" s="1282"/>
      <c r="F231" s="1282"/>
      <c r="I231" s="491"/>
    </row>
    <row r="232" spans="1:9">
      <c r="A232" s="485"/>
      <c r="B232" s="485"/>
      <c r="D232" s="446"/>
      <c r="E232" s="446"/>
      <c r="F232" s="446"/>
      <c r="I232" s="491"/>
    </row>
    <row r="233" spans="1:9">
      <c r="A233" s="485"/>
      <c r="B233" s="486" t="s">
        <v>2730</v>
      </c>
      <c r="D233" s="1282" t="s">
        <v>1754</v>
      </c>
      <c r="E233" s="1282"/>
      <c r="F233" s="1282"/>
      <c r="I233" s="491"/>
    </row>
    <row r="234" spans="1:9">
      <c r="A234" s="485"/>
      <c r="B234" s="485"/>
      <c r="D234" s="1282"/>
      <c r="E234" s="1282"/>
      <c r="F234" s="1282"/>
      <c r="I234" s="491"/>
    </row>
    <row r="235" spans="1:9">
      <c r="A235" s="485"/>
      <c r="B235" s="485"/>
      <c r="D235" s="1282"/>
      <c r="E235" s="1282"/>
      <c r="F235" s="1282"/>
      <c r="I235" s="491"/>
    </row>
    <row r="236" spans="1:9">
      <c r="A236" s="485"/>
      <c r="B236" s="485"/>
      <c r="D236" s="1282"/>
      <c r="E236" s="1282"/>
      <c r="F236" s="1282"/>
      <c r="I236" s="491"/>
    </row>
    <row r="237" spans="1:9" ht="14.25" customHeight="1">
      <c r="A237" s="485"/>
      <c r="B237" s="485"/>
      <c r="D237" s="1282"/>
      <c r="E237" s="1282"/>
      <c r="F237" s="1282"/>
      <c r="I237" s="491"/>
    </row>
    <row r="238" spans="1:9" ht="14.25" customHeight="1">
      <c r="A238" s="485"/>
      <c r="B238" s="485"/>
      <c r="D238" s="446"/>
      <c r="E238" s="446"/>
      <c r="F238" s="446"/>
      <c r="I238" s="491"/>
    </row>
    <row r="239" spans="1:9">
      <c r="A239" s="485"/>
      <c r="B239" s="485"/>
      <c r="D239" s="1282" t="s">
        <v>1118</v>
      </c>
      <c r="E239" s="1282"/>
      <c r="F239" s="1282"/>
      <c r="I239" s="491"/>
    </row>
    <row r="240" spans="1:9">
      <c r="A240" s="485"/>
      <c r="B240" s="485"/>
      <c r="D240" s="1282"/>
      <c r="E240" s="1282"/>
      <c r="F240" s="1282"/>
      <c r="I240" s="491"/>
    </row>
    <row r="241" spans="1:9">
      <c r="A241" s="485"/>
      <c r="B241" s="485"/>
      <c r="D241" s="1282"/>
      <c r="E241" s="1282"/>
      <c r="F241" s="1282"/>
      <c r="I241" s="491"/>
    </row>
    <row r="242" spans="1:9">
      <c r="A242" s="485"/>
      <c r="B242" s="485"/>
      <c r="D242" s="1282"/>
      <c r="E242" s="1282"/>
      <c r="F242" s="1282"/>
      <c r="I242" s="491"/>
    </row>
    <row r="243" spans="1:9">
      <c r="A243" s="485"/>
      <c r="B243" s="485"/>
      <c r="D243" s="1282"/>
      <c r="E243" s="1282"/>
      <c r="F243" s="1282"/>
      <c r="I243" s="491"/>
    </row>
    <row r="244" spans="1:9">
      <c r="A244" s="485"/>
      <c r="B244" s="485"/>
      <c r="D244" s="447"/>
      <c r="E244" s="447"/>
      <c r="F244" s="447"/>
      <c r="I244" s="491"/>
    </row>
    <row r="245" spans="1:9">
      <c r="A245" s="485"/>
      <c r="B245" s="486" t="s">
        <v>2731</v>
      </c>
      <c r="D245" s="1282" t="s">
        <v>2054</v>
      </c>
      <c r="E245" s="1282"/>
      <c r="F245" s="1282"/>
      <c r="I245" s="491"/>
    </row>
    <row r="246" spans="1:9">
      <c r="A246" s="485"/>
      <c r="B246" s="485"/>
      <c r="D246" s="1282"/>
      <c r="E246" s="1282"/>
      <c r="F246" s="1282"/>
      <c r="I246" s="491"/>
    </row>
    <row r="247" spans="1:9">
      <c r="A247" s="485"/>
      <c r="B247" s="485"/>
      <c r="D247" s="1282"/>
      <c r="E247" s="1282"/>
      <c r="F247" s="1282"/>
      <c r="I247" s="491"/>
    </row>
    <row r="248" spans="1:9">
      <c r="A248" s="485"/>
      <c r="B248" s="485"/>
      <c r="E248" s="1037" t="s">
        <v>1896</v>
      </c>
      <c r="I248" s="491"/>
    </row>
    <row r="249" spans="1:9">
      <c r="A249" s="485"/>
      <c r="B249" s="485"/>
      <c r="D249" s="447"/>
      <c r="E249" s="447"/>
      <c r="F249" s="447"/>
      <c r="I249" s="491"/>
    </row>
    <row r="250" spans="1:9" ht="14.5" customHeight="1">
      <c r="A250" s="485"/>
      <c r="B250" s="486" t="s">
        <v>2731</v>
      </c>
      <c r="D250" s="1282" t="s">
        <v>2055</v>
      </c>
      <c r="E250" s="1282"/>
      <c r="F250" s="1282"/>
      <c r="I250" s="491"/>
    </row>
    <row r="251" spans="1:9">
      <c r="A251" s="485"/>
      <c r="B251" s="485"/>
      <c r="D251" s="1282"/>
      <c r="E251" s="1282"/>
      <c r="F251" s="1282"/>
      <c r="I251" s="491"/>
    </row>
    <row r="252" spans="1:9">
      <c r="A252" s="485"/>
      <c r="B252" s="485"/>
      <c r="D252" s="1282"/>
      <c r="E252" s="1282"/>
      <c r="F252" s="1282"/>
      <c r="I252" s="491"/>
    </row>
    <row r="253" spans="1:9">
      <c r="A253" s="485"/>
      <c r="B253" s="485"/>
      <c r="D253" s="1282"/>
      <c r="E253" s="1282"/>
      <c r="F253" s="1282"/>
      <c r="I253" s="491"/>
    </row>
    <row r="254" spans="1:9">
      <c r="A254" s="485"/>
      <c r="B254" s="485"/>
      <c r="D254" s="1282"/>
      <c r="E254" s="1282"/>
      <c r="F254" s="1282"/>
      <c r="I254" s="491"/>
    </row>
    <row r="255" spans="1:9">
      <c r="A255" s="485"/>
      <c r="B255" s="485"/>
      <c r="D255" s="446"/>
      <c r="E255" s="446"/>
      <c r="F255" s="446"/>
      <c r="I255" s="491"/>
    </row>
    <row r="256" spans="1:9">
      <c r="A256" s="485"/>
      <c r="B256" s="486" t="s">
        <v>2730</v>
      </c>
      <c r="D256" s="393" t="s">
        <v>2056</v>
      </c>
      <c r="E256" s="446"/>
      <c r="F256" s="446"/>
      <c r="I256" s="491"/>
    </row>
    <row r="257" spans="1:9">
      <c r="A257" s="485"/>
      <c r="B257" s="485"/>
      <c r="E257" s="1037" t="s">
        <v>1897</v>
      </c>
      <c r="I257" s="491"/>
    </row>
    <row r="258" spans="1:9">
      <c r="D258" s="447"/>
      <c r="E258" s="447"/>
      <c r="F258" s="447"/>
      <c r="I258" s="491"/>
    </row>
    <row r="259" spans="1:9">
      <c r="A259" s="485"/>
      <c r="B259" s="486" t="s">
        <v>2730</v>
      </c>
      <c r="D259" s="1282" t="s">
        <v>1119</v>
      </c>
      <c r="E259" s="1282"/>
      <c r="F259" s="1282"/>
      <c r="I259" s="491"/>
    </row>
    <row r="260" spans="1:9">
      <c r="A260" s="485"/>
      <c r="B260" s="485"/>
      <c r="D260" s="1282"/>
      <c r="E260" s="1282"/>
      <c r="F260" s="1282"/>
      <c r="I260" s="491"/>
    </row>
    <row r="261" spans="1:9">
      <c r="D261" s="492"/>
      <c r="I261" s="491"/>
    </row>
    <row r="262" spans="1:9">
      <c r="A262" s="1285" t="s">
        <v>1047</v>
      </c>
      <c r="B262" s="1285"/>
      <c r="C262" s="1285"/>
      <c r="D262" s="1285"/>
      <c r="E262" s="1285"/>
      <c r="F262" s="1285"/>
      <c r="G262" s="1285"/>
      <c r="H262" s="1029"/>
      <c r="I262" s="1155"/>
    </row>
    <row r="263" spans="1:9">
      <c r="D263" s="492"/>
      <c r="I263" s="491"/>
    </row>
    <row r="264" spans="1:9">
      <c r="C264" s="487"/>
      <c r="D264" s="1290" t="s">
        <v>1121</v>
      </c>
      <c r="E264" s="1290"/>
      <c r="F264" s="1290"/>
      <c r="I264" s="491"/>
    </row>
    <row r="265" spans="1:9">
      <c r="A265" s="483"/>
      <c r="B265" s="483"/>
      <c r="C265" s="483"/>
      <c r="D265" s="447"/>
      <c r="E265" s="447"/>
      <c r="F265" s="447"/>
      <c r="I265" s="491"/>
    </row>
    <row r="266" spans="1:9">
      <c r="A266" s="484"/>
      <c r="B266" s="484"/>
      <c r="C266" s="484"/>
      <c r="D266" s="1290" t="s">
        <v>269</v>
      </c>
      <c r="E266" s="1290"/>
      <c r="F266" s="1290"/>
      <c r="I266" s="491"/>
    </row>
    <row r="267" spans="1:9" ht="14.5" customHeight="1">
      <c r="A267" s="485"/>
      <c r="B267" s="486" t="s">
        <v>2730</v>
      </c>
      <c r="D267" s="1282" t="s">
        <v>1196</v>
      </c>
      <c r="E267" s="1282"/>
      <c r="F267" s="1282"/>
      <c r="I267" s="491"/>
    </row>
    <row r="268" spans="1:9">
      <c r="D268" s="1282"/>
      <c r="E268" s="1282"/>
      <c r="F268" s="1282"/>
      <c r="I268" s="491"/>
    </row>
    <row r="269" spans="1:9">
      <c r="E269" s="1037" t="s">
        <v>1898</v>
      </c>
      <c r="I269" s="491"/>
    </row>
    <row r="270" spans="1:9">
      <c r="D270" s="447"/>
      <c r="E270" s="447"/>
      <c r="F270" s="447"/>
      <c r="I270" s="491"/>
    </row>
    <row r="271" spans="1:9" ht="14.5" customHeight="1">
      <c r="A271" s="485"/>
      <c r="B271" s="486" t="s">
        <v>2731</v>
      </c>
      <c r="D271" s="1282" t="s">
        <v>2057</v>
      </c>
      <c r="E271" s="1282"/>
      <c r="F271" s="1282"/>
      <c r="I271" s="491"/>
    </row>
    <row r="272" spans="1:9">
      <c r="D272" s="1282"/>
      <c r="E272" s="1282"/>
      <c r="F272" s="1282"/>
      <c r="I272" s="491"/>
    </row>
    <row r="273" spans="1:9">
      <c r="D273" s="1282"/>
      <c r="E273" s="1282"/>
      <c r="F273" s="1282"/>
      <c r="I273" s="491"/>
    </row>
    <row r="274" spans="1:9">
      <c r="D274" s="1282"/>
      <c r="E274" s="1282"/>
      <c r="F274" s="1282"/>
      <c r="I274" s="491"/>
    </row>
    <row r="275" spans="1:9">
      <c r="D275" s="1282"/>
      <c r="E275" s="1282"/>
      <c r="F275" s="1282"/>
      <c r="I275" s="491"/>
    </row>
    <row r="276" spans="1:9">
      <c r="D276" s="1282"/>
      <c r="E276" s="1282"/>
      <c r="F276" s="1282"/>
      <c r="I276" s="491"/>
    </row>
    <row r="277" spans="1:9">
      <c r="D277" s="447"/>
      <c r="E277" s="447"/>
      <c r="F277" s="447"/>
      <c r="I277" s="491"/>
    </row>
    <row r="278" spans="1:9">
      <c r="A278" s="485"/>
      <c r="B278" s="486" t="s">
        <v>2731</v>
      </c>
      <c r="D278" s="1282" t="s">
        <v>1122</v>
      </c>
      <c r="E278" s="1282"/>
      <c r="F278" s="1282"/>
      <c r="I278" s="491"/>
    </row>
    <row r="279" spans="1:9">
      <c r="D279" s="1282"/>
      <c r="E279" s="1282"/>
      <c r="F279" s="1282"/>
      <c r="I279" s="491"/>
    </row>
    <row r="280" spans="1:9">
      <c r="D280" s="1282"/>
      <c r="E280" s="1282"/>
      <c r="F280" s="1282"/>
      <c r="I280" s="491"/>
    </row>
    <row r="281" spans="1:9">
      <c r="D281" s="493"/>
      <c r="E281" s="447"/>
      <c r="F281" s="447"/>
      <c r="I281" s="491"/>
    </row>
    <row r="282" spans="1:9">
      <c r="A282" s="1285" t="s">
        <v>1048</v>
      </c>
      <c r="B282" s="1285"/>
      <c r="C282" s="1285"/>
      <c r="D282" s="1285"/>
      <c r="E282" s="1285"/>
      <c r="F282" s="1285"/>
      <c r="G282" s="1285"/>
      <c r="H282" s="1029"/>
      <c r="I282" s="1155"/>
    </row>
    <row r="283" spans="1:9">
      <c r="D283" s="493"/>
      <c r="E283" s="447"/>
      <c r="F283" s="447"/>
      <c r="I283" s="491"/>
    </row>
    <row r="284" spans="1:9">
      <c r="C284" s="483"/>
      <c r="D284" s="1284" t="s">
        <v>1123</v>
      </c>
      <c r="E284" s="1284"/>
      <c r="F284" s="1284"/>
      <c r="I284" s="491"/>
    </row>
    <row r="285" spans="1:9">
      <c r="C285" s="483"/>
      <c r="D285" s="1284"/>
      <c r="E285" s="1284"/>
      <c r="F285" s="1284"/>
      <c r="I285" s="491"/>
    </row>
    <row r="286" spans="1:9">
      <c r="A286" s="484"/>
      <c r="B286" s="484"/>
      <c r="C286" s="484"/>
      <c r="D286" s="405"/>
      <c r="I286" s="491"/>
    </row>
    <row r="287" spans="1:9">
      <c r="C287" s="484"/>
      <c r="D287" s="1290" t="s">
        <v>209</v>
      </c>
      <c r="E287" s="1290"/>
      <c r="F287" s="1290"/>
      <c r="I287" s="491"/>
    </row>
    <row r="288" spans="1:9" ht="15.75" customHeight="1">
      <c r="A288" s="485"/>
      <c r="B288" s="485"/>
      <c r="D288" s="1297" t="s">
        <v>1124</v>
      </c>
      <c r="E288" s="1297"/>
      <c r="F288" s="1297"/>
      <c r="I288" s="491"/>
    </row>
    <row r="289" spans="1:9">
      <c r="E289" s="447"/>
      <c r="F289" s="447"/>
      <c r="I289" s="491"/>
    </row>
    <row r="290" spans="1:9">
      <c r="A290" s="485"/>
      <c r="B290" s="486" t="s">
        <v>2730</v>
      </c>
      <c r="D290" s="1282" t="s">
        <v>1125</v>
      </c>
      <c r="E290" s="1282"/>
      <c r="F290" s="1282"/>
      <c r="I290" s="491"/>
    </row>
    <row r="291" spans="1:9">
      <c r="A291" s="485"/>
      <c r="B291" s="485"/>
      <c r="D291" s="1282"/>
      <c r="E291" s="1282"/>
      <c r="F291" s="1282"/>
      <c r="I291" s="491"/>
    </row>
    <row r="292" spans="1:9">
      <c r="D292" s="447"/>
      <c r="E292" s="447"/>
      <c r="F292" s="447"/>
      <c r="I292" s="491"/>
    </row>
    <row r="293" spans="1:9">
      <c r="A293" s="485"/>
      <c r="B293" s="486" t="s">
        <v>2730</v>
      </c>
      <c r="D293" s="1282" t="s">
        <v>1126</v>
      </c>
      <c r="E293" s="1282"/>
      <c r="F293" s="1282"/>
      <c r="I293" s="491"/>
    </row>
    <row r="294" spans="1:9">
      <c r="A294" s="485"/>
      <c r="B294" s="485"/>
      <c r="D294" s="1282"/>
      <c r="E294" s="1282"/>
      <c r="F294" s="1282"/>
      <c r="I294" s="491"/>
    </row>
    <row r="295" spans="1:9">
      <c r="A295" s="485"/>
      <c r="B295" s="485"/>
      <c r="D295" s="1282"/>
      <c r="E295" s="1282"/>
      <c r="F295" s="1282"/>
      <c r="I295" s="491"/>
    </row>
    <row r="296" spans="1:9">
      <c r="D296" s="447"/>
      <c r="E296" s="447"/>
      <c r="F296" s="447"/>
      <c r="I296" s="491"/>
    </row>
    <row r="297" spans="1:9">
      <c r="A297" s="485"/>
      <c r="B297" s="486" t="s">
        <v>2731</v>
      </c>
      <c r="D297" s="1282" t="s">
        <v>1127</v>
      </c>
      <c r="E297" s="1282"/>
      <c r="F297" s="1282"/>
      <c r="I297" s="491"/>
    </row>
    <row r="298" spans="1:9">
      <c r="A298" s="485"/>
      <c r="B298" s="485"/>
      <c r="D298" s="1282"/>
      <c r="E298" s="1282"/>
      <c r="F298" s="1282"/>
      <c r="I298" s="491"/>
    </row>
    <row r="299" spans="1:9">
      <c r="A299" s="491"/>
      <c r="B299" s="491"/>
      <c r="E299" s="447"/>
      <c r="F299" s="447"/>
      <c r="I299" s="491"/>
    </row>
    <row r="300" spans="1:9">
      <c r="A300" s="1285" t="s">
        <v>1049</v>
      </c>
      <c r="B300" s="1285"/>
      <c r="C300" s="1285"/>
      <c r="D300" s="1285"/>
      <c r="E300" s="1285"/>
      <c r="F300" s="1285"/>
      <c r="G300" s="1285"/>
      <c r="H300" s="1029"/>
      <c r="I300" s="1155"/>
    </row>
    <row r="301" spans="1:9">
      <c r="A301" s="491"/>
      <c r="B301" s="491"/>
      <c r="D301" s="447"/>
      <c r="E301" s="447"/>
      <c r="F301" s="447"/>
      <c r="I301" s="491"/>
    </row>
    <row r="302" spans="1:9">
      <c r="C302" s="491"/>
      <c r="D302" s="1290" t="s">
        <v>683</v>
      </c>
      <c r="E302" s="1290"/>
      <c r="F302" s="1290"/>
      <c r="I302" s="491"/>
    </row>
    <row r="303" spans="1:9">
      <c r="C303" s="491"/>
      <c r="D303" s="1283" t="s">
        <v>1128</v>
      </c>
      <c r="E303" s="1283"/>
      <c r="F303" s="1283"/>
      <c r="I303" s="491"/>
    </row>
    <row r="304" spans="1:9">
      <c r="C304" s="491"/>
      <c r="D304" s="494"/>
      <c r="I304" s="491"/>
    </row>
    <row r="305" spans="1:9">
      <c r="B305" s="486" t="s">
        <v>2730</v>
      </c>
      <c r="D305" s="1283" t="s">
        <v>1129</v>
      </c>
      <c r="E305" s="1283"/>
      <c r="F305" s="1283"/>
      <c r="I305" s="491"/>
    </row>
    <row r="306" spans="1:9">
      <c r="A306" s="485"/>
      <c r="B306" s="485"/>
      <c r="D306" s="495"/>
      <c r="E306" s="496"/>
      <c r="F306" s="496"/>
      <c r="I306" s="491"/>
    </row>
    <row r="307" spans="1:9" ht="13.75" customHeight="1">
      <c r="B307" s="486" t="s">
        <v>2731</v>
      </c>
      <c r="D307" s="1292" t="s">
        <v>1219</v>
      </c>
      <c r="E307" s="1292"/>
      <c r="F307" s="1292"/>
      <c r="I307" s="491"/>
    </row>
    <row r="308" spans="1:9">
      <c r="A308" s="485"/>
      <c r="B308" s="485"/>
      <c r="D308" s="1292"/>
      <c r="E308" s="1292"/>
      <c r="F308" s="1292"/>
      <c r="I308" s="491"/>
    </row>
    <row r="309" spans="1:9">
      <c r="A309" s="485"/>
      <c r="B309" s="485"/>
      <c r="D309" s="1292"/>
      <c r="E309" s="1292"/>
      <c r="F309" s="1292"/>
      <c r="I309" s="491"/>
    </row>
    <row r="310" spans="1:9">
      <c r="A310" s="485"/>
      <c r="B310" s="485"/>
      <c r="D310" s="1292"/>
      <c r="E310" s="1292"/>
      <c r="F310" s="1292"/>
      <c r="I310" s="491"/>
    </row>
    <row r="311" spans="1:9">
      <c r="A311" s="485"/>
      <c r="B311" s="485"/>
      <c r="D311" s="1292"/>
      <c r="E311" s="1292"/>
      <c r="F311" s="1292"/>
      <c r="I311" s="491"/>
    </row>
    <row r="312" spans="1:9">
      <c r="A312" s="485"/>
      <c r="B312" s="485"/>
      <c r="D312" s="495"/>
      <c r="E312" s="496"/>
      <c r="F312" s="496"/>
      <c r="I312" s="491"/>
    </row>
    <row r="313" spans="1:9" ht="13.75" customHeight="1">
      <c r="B313" s="486" t="s">
        <v>2731</v>
      </c>
      <c r="D313" s="1292" t="s">
        <v>1130</v>
      </c>
      <c r="E313" s="1292"/>
      <c r="F313" s="1292"/>
      <c r="I313" s="491"/>
    </row>
    <row r="314" spans="1:9">
      <c r="D314" s="1292"/>
      <c r="E314" s="1292"/>
      <c r="F314" s="1292"/>
      <c r="I314" s="491"/>
    </row>
    <row r="315" spans="1:9">
      <c r="A315" s="485"/>
      <c r="B315" s="485"/>
      <c r="D315" s="495"/>
      <c r="E315" s="496"/>
      <c r="F315" s="496"/>
      <c r="I315" s="491"/>
    </row>
    <row r="316" spans="1:9">
      <c r="B316" s="486" t="s">
        <v>2731</v>
      </c>
      <c r="D316" s="1283" t="s">
        <v>1131</v>
      </c>
      <c r="E316" s="1283"/>
      <c r="F316" s="1283"/>
      <c r="I316" s="491"/>
    </row>
    <row r="317" spans="1:9">
      <c r="E317" s="447"/>
      <c r="F317" s="447"/>
      <c r="I317" s="491"/>
    </row>
    <row r="318" spans="1:9">
      <c r="A318" s="485"/>
      <c r="B318" s="486" t="s">
        <v>2731</v>
      </c>
      <c r="D318" s="1282" t="s">
        <v>2248</v>
      </c>
      <c r="E318" s="1282"/>
      <c r="F318" s="1282"/>
      <c r="I318" s="491"/>
    </row>
    <row r="319" spans="1:9">
      <c r="A319" s="485"/>
      <c r="B319" s="485"/>
      <c r="D319" s="1282"/>
      <c r="E319" s="1282"/>
      <c r="F319" s="1282"/>
      <c r="I319" s="491"/>
    </row>
    <row r="320" spans="1:9">
      <c r="A320" s="485"/>
      <c r="B320" s="485"/>
      <c r="D320" s="1282"/>
      <c r="E320" s="1282"/>
      <c r="F320" s="1282"/>
      <c r="I320" s="491"/>
    </row>
    <row r="321" spans="1:9">
      <c r="A321" s="485"/>
      <c r="B321" s="485"/>
      <c r="D321" s="1282"/>
      <c r="E321" s="1282"/>
      <c r="F321" s="1282"/>
      <c r="I321" s="491"/>
    </row>
    <row r="322" spans="1:9">
      <c r="A322" s="485"/>
      <c r="B322" s="485"/>
      <c r="D322" s="1282"/>
      <c r="E322" s="1282"/>
      <c r="F322" s="1282"/>
      <c r="I322" s="491"/>
    </row>
    <row r="323" spans="1:9">
      <c r="A323" s="485"/>
      <c r="B323" s="485"/>
      <c r="D323" s="1282"/>
      <c r="E323" s="1282"/>
      <c r="F323" s="1282"/>
      <c r="I323" s="491"/>
    </row>
    <row r="324" spans="1:9">
      <c r="A324" s="485"/>
      <c r="B324" s="485"/>
      <c r="D324" s="1282"/>
      <c r="E324" s="1282"/>
      <c r="F324" s="1282"/>
      <c r="I324" s="491"/>
    </row>
    <row r="325" spans="1:9">
      <c r="A325" s="485"/>
      <c r="B325" s="485"/>
      <c r="D325" s="1282"/>
      <c r="E325" s="1282"/>
      <c r="F325" s="1282"/>
      <c r="I325" s="491"/>
    </row>
    <row r="326" spans="1:9">
      <c r="A326" s="485"/>
      <c r="B326" s="485"/>
      <c r="D326" s="1282"/>
      <c r="E326" s="1282"/>
      <c r="F326" s="1282"/>
      <c r="I326" s="491"/>
    </row>
    <row r="327" spans="1:9">
      <c r="A327" s="485"/>
      <c r="B327" s="485"/>
      <c r="D327" s="1282"/>
      <c r="E327" s="1282"/>
      <c r="F327" s="1282"/>
      <c r="I327" s="491"/>
    </row>
    <row r="328" spans="1:9">
      <c r="A328" s="485"/>
      <c r="B328" s="485"/>
      <c r="D328" s="1282"/>
      <c r="E328" s="1282"/>
      <c r="F328" s="1282"/>
      <c r="I328" s="491"/>
    </row>
    <row r="329" spans="1:9">
      <c r="A329" s="485"/>
      <c r="B329" s="485"/>
      <c r="D329" s="1282"/>
      <c r="E329" s="1282"/>
      <c r="F329" s="1282"/>
      <c r="I329" s="491"/>
    </row>
    <row r="330" spans="1:9">
      <c r="A330" s="485"/>
      <c r="B330" s="485"/>
      <c r="D330" s="1282"/>
      <c r="E330" s="1282"/>
      <c r="F330" s="1282"/>
      <c r="I330" s="491"/>
    </row>
    <row r="331" spans="1:9">
      <c r="A331" s="485"/>
      <c r="B331" s="485"/>
      <c r="D331" s="1282"/>
      <c r="E331" s="1282"/>
      <c r="F331" s="1282"/>
      <c r="I331" s="491"/>
    </row>
    <row r="332" spans="1:9">
      <c r="A332" s="485"/>
      <c r="B332" s="485"/>
      <c r="D332" s="1282"/>
      <c r="E332" s="1282"/>
      <c r="F332" s="1282"/>
      <c r="I332" s="491"/>
    </row>
    <row r="333" spans="1:9">
      <c r="D333" s="447"/>
      <c r="E333" s="447"/>
      <c r="F333" s="447"/>
      <c r="I333" s="491"/>
    </row>
    <row r="334" spans="1:9">
      <c r="A334" s="485"/>
      <c r="B334" s="486" t="s">
        <v>2731</v>
      </c>
      <c r="D334" s="1282" t="s">
        <v>1132</v>
      </c>
      <c r="E334" s="1282"/>
      <c r="F334" s="1282"/>
      <c r="I334" s="491"/>
    </row>
    <row r="335" spans="1:9">
      <c r="D335" s="1282"/>
      <c r="E335" s="1282"/>
      <c r="F335" s="1282"/>
      <c r="I335" s="491"/>
    </row>
    <row r="336" spans="1:9">
      <c r="D336" s="1282"/>
      <c r="E336" s="1282"/>
      <c r="F336" s="1282"/>
      <c r="I336" s="491"/>
    </row>
    <row r="337" spans="1:9">
      <c r="D337" s="1282"/>
      <c r="E337" s="1282"/>
      <c r="F337" s="1282"/>
      <c r="I337" s="491"/>
    </row>
    <row r="338" spans="1:9">
      <c r="D338" s="1282"/>
      <c r="E338" s="1282"/>
      <c r="F338" s="1282"/>
      <c r="I338" s="491"/>
    </row>
    <row r="339" spans="1:9">
      <c r="D339" s="1282"/>
      <c r="E339" s="1282"/>
      <c r="F339" s="1282"/>
      <c r="I339" s="491"/>
    </row>
    <row r="340" spans="1:9">
      <c r="D340" s="1282"/>
      <c r="E340" s="1282"/>
      <c r="F340" s="1282"/>
      <c r="I340" s="491"/>
    </row>
    <row r="341" spans="1:9">
      <c r="D341" s="1282"/>
      <c r="E341" s="1282"/>
      <c r="F341" s="1282"/>
      <c r="I341" s="491"/>
    </row>
    <row r="342" spans="1:9">
      <c r="D342" s="1282"/>
      <c r="E342" s="1282"/>
      <c r="F342" s="1282"/>
      <c r="I342" s="491"/>
    </row>
    <row r="343" spans="1:9">
      <c r="D343" s="447"/>
      <c r="E343" s="447"/>
      <c r="F343" s="447"/>
      <c r="I343" s="491"/>
    </row>
    <row r="344" spans="1:9" ht="14.25" customHeight="1">
      <c r="A344" s="485"/>
      <c r="B344" s="486" t="s">
        <v>2731</v>
      </c>
      <c r="D344" s="1282" t="s">
        <v>1903</v>
      </c>
      <c r="E344" s="1282"/>
      <c r="F344" s="1282"/>
      <c r="I344" s="491"/>
    </row>
    <row r="345" spans="1:9">
      <c r="D345" s="1282"/>
      <c r="E345" s="1282"/>
      <c r="F345" s="1282"/>
      <c r="I345" s="491"/>
    </row>
    <row r="346" spans="1:9">
      <c r="D346" s="1282"/>
      <c r="E346" s="1282"/>
      <c r="F346" s="1282"/>
      <c r="I346" s="491"/>
    </row>
    <row r="347" spans="1:9">
      <c r="D347" s="1282"/>
      <c r="E347" s="1282"/>
      <c r="F347" s="1282"/>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5" thickBot="1">
      <c r="A351" s="1023"/>
      <c r="B351" s="1023"/>
      <c r="C351" s="1023"/>
      <c r="D351" s="1295" t="s">
        <v>979</v>
      </c>
      <c r="E351" s="1295"/>
      <c r="F351" s="1295"/>
      <c r="G351" s="1028"/>
      <c r="H351" s="1028"/>
      <c r="I351" s="1158"/>
    </row>
    <row r="352" spans="1:9" ht="13.5" thickTop="1">
      <c r="D352" s="1293" t="s">
        <v>2249</v>
      </c>
      <c r="E352" s="1293"/>
      <c r="F352" s="1293"/>
      <c r="I352" s="491"/>
    </row>
    <row r="353" spans="1:9">
      <c r="D353" s="447"/>
      <c r="E353" s="447"/>
      <c r="F353" s="447"/>
      <c r="I353" s="491"/>
    </row>
    <row r="354" spans="1:9">
      <c r="A354" s="477"/>
      <c r="B354" s="477"/>
      <c r="C354" s="477"/>
      <c r="D354" s="448"/>
      <c r="E354" s="448"/>
      <c r="F354" s="447"/>
      <c r="I354" s="491"/>
    </row>
    <row r="355" spans="1:9">
      <c r="A355" s="485"/>
      <c r="B355" s="486" t="s">
        <v>2731</v>
      </c>
      <c r="C355" s="488"/>
      <c r="D355" s="1283" t="s">
        <v>1901</v>
      </c>
      <c r="E355" s="1283"/>
      <c r="F355" s="1283"/>
      <c r="I355" s="491"/>
    </row>
    <row r="356" spans="1:9" ht="12.75" customHeight="1">
      <c r="D356" s="1038"/>
      <c r="E356" s="96" t="s">
        <v>1900</v>
      </c>
      <c r="F356" s="1038"/>
      <c r="I356" s="491"/>
    </row>
    <row r="357" spans="1:9">
      <c r="D357" s="1282" t="s">
        <v>1239</v>
      </c>
      <c r="E357" s="1282"/>
      <c r="F357" s="1282"/>
      <c r="I357" s="491"/>
    </row>
    <row r="358" spans="1:9">
      <c r="D358" s="1282"/>
      <c r="E358" s="1282"/>
      <c r="F358" s="1282"/>
      <c r="I358" s="491"/>
    </row>
    <row r="359" spans="1:9">
      <c r="D359" s="1282"/>
      <c r="E359" s="1282"/>
      <c r="F359" s="1282"/>
      <c r="I359" s="491"/>
    </row>
    <row r="360" spans="1:9">
      <c r="A360" s="485"/>
      <c r="B360" s="486" t="s">
        <v>2731</v>
      </c>
      <c r="C360" s="477"/>
      <c r="D360" s="1294" t="s">
        <v>2058</v>
      </c>
      <c r="E360" s="1294"/>
      <c r="F360" s="1294"/>
      <c r="I360" s="481"/>
    </row>
    <row r="361" spans="1:9">
      <c r="A361" s="477"/>
      <c r="B361" s="477"/>
      <c r="C361" s="477"/>
      <c r="D361" s="448"/>
      <c r="E361" s="448"/>
      <c r="F361" s="447"/>
      <c r="I361" s="491"/>
    </row>
    <row r="362" spans="1:9">
      <c r="A362" s="477"/>
      <c r="B362" s="486" t="s">
        <v>2731</v>
      </c>
      <c r="C362" s="477"/>
      <c r="D362" s="1262" t="s">
        <v>2059</v>
      </c>
      <c r="E362" s="1262"/>
      <c r="F362" s="1262"/>
      <c r="I362" s="491"/>
    </row>
    <row r="363" spans="1:9">
      <c r="A363" s="477"/>
      <c r="B363" s="477"/>
      <c r="C363" s="477"/>
      <c r="D363" s="1262"/>
      <c r="E363" s="1262"/>
      <c r="F363" s="1262"/>
      <c r="I363" s="491"/>
    </row>
    <row r="364" spans="1:9">
      <c r="A364" s="477"/>
      <c r="B364" s="477"/>
      <c r="C364" s="477"/>
      <c r="D364" s="1262"/>
      <c r="E364" s="1262"/>
      <c r="F364" s="1262"/>
      <c r="I364" s="491"/>
    </row>
    <row r="365" spans="1:9">
      <c r="A365" s="477"/>
      <c r="B365" s="477"/>
      <c r="C365" s="477"/>
      <c r="D365" s="1262"/>
      <c r="E365" s="1262"/>
      <c r="F365" s="1262"/>
      <c r="I365" s="491"/>
    </row>
    <row r="366" spans="1:9">
      <c r="A366" s="477"/>
      <c r="B366" s="477"/>
      <c r="C366" s="477"/>
      <c r="D366" s="1262"/>
      <c r="E366" s="1262"/>
      <c r="F366" s="1262"/>
      <c r="I366" s="491"/>
    </row>
    <row r="367" spans="1:9">
      <c r="A367" s="477"/>
      <c r="B367" s="477"/>
      <c r="C367" s="477"/>
      <c r="D367" s="1262"/>
      <c r="E367" s="1262"/>
      <c r="F367" s="1262"/>
      <c r="I367" s="491"/>
    </row>
    <row r="368" spans="1:9">
      <c r="A368" s="477"/>
      <c r="B368" s="477"/>
      <c r="C368" s="477"/>
      <c r="D368" s="1262"/>
      <c r="E368" s="1262"/>
      <c r="F368" s="1262"/>
      <c r="I368" s="491"/>
    </row>
    <row r="369" spans="1:9">
      <c r="A369" s="477"/>
      <c r="B369" s="477"/>
      <c r="C369" s="477"/>
      <c r="D369" s="1262"/>
      <c r="E369" s="1262"/>
      <c r="F369" s="1262"/>
      <c r="I369" s="491"/>
    </row>
    <row r="370" spans="1:9">
      <c r="A370" s="477"/>
      <c r="B370" s="477"/>
      <c r="C370" s="477"/>
      <c r="D370" s="1262"/>
      <c r="E370" s="1262"/>
      <c r="F370" s="1262"/>
      <c r="I370" s="491"/>
    </row>
    <row r="371" spans="1:9">
      <c r="A371" s="477"/>
      <c r="B371" s="477"/>
      <c r="C371" s="477"/>
      <c r="D371" s="1262"/>
      <c r="E371" s="1262"/>
      <c r="F371" s="1262"/>
      <c r="I371" s="491"/>
    </row>
    <row r="372" spans="1:9">
      <c r="A372" s="477"/>
      <c r="B372" s="477"/>
      <c r="C372" s="477"/>
      <c r="D372" s="1262"/>
      <c r="E372" s="1262"/>
      <c r="F372" s="1262"/>
      <c r="I372" s="491"/>
    </row>
    <row r="373" spans="1:9">
      <c r="A373" s="477"/>
      <c r="B373" s="477"/>
      <c r="C373" s="477"/>
      <c r="D373" s="1262"/>
      <c r="E373" s="1262"/>
      <c r="F373" s="1262"/>
      <c r="I373" s="491"/>
    </row>
    <row r="374" spans="1:9">
      <c r="A374" s="477"/>
      <c r="B374" s="477"/>
      <c r="C374" s="477"/>
      <c r="D374" s="452"/>
      <c r="E374" s="452"/>
      <c r="F374" s="452"/>
      <c r="I374" s="491"/>
    </row>
    <row r="375" spans="1:9" ht="12.4" customHeight="1">
      <c r="A375" s="477"/>
      <c r="B375" s="486" t="s">
        <v>2731</v>
      </c>
      <c r="C375" s="477"/>
      <c r="D375" s="1279" t="s">
        <v>1221</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2731</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c r="A387" s="485"/>
      <c r="B387" s="486" t="s">
        <v>2731</v>
      </c>
      <c r="C387" s="477"/>
      <c r="D387" s="1262" t="s">
        <v>1133</v>
      </c>
      <c r="E387" s="1262"/>
      <c r="F387" s="1262"/>
      <c r="I387" s="491"/>
    </row>
    <row r="388" spans="1:9">
      <c r="A388" s="477"/>
      <c r="B388" s="477"/>
      <c r="C388" s="477"/>
      <c r="D388" s="1262"/>
      <c r="E388" s="1262"/>
      <c r="F388" s="1262"/>
      <c r="I388" s="491"/>
    </row>
    <row r="389" spans="1:9">
      <c r="A389" s="477"/>
      <c r="B389" s="477"/>
      <c r="C389" s="477"/>
      <c r="D389" s="1262"/>
      <c r="E389" s="1262"/>
      <c r="F389" s="1262"/>
      <c r="I389" s="491"/>
    </row>
    <row r="390" spans="1:9">
      <c r="A390" s="477"/>
      <c r="B390" s="477"/>
      <c r="C390" s="477"/>
      <c r="D390" s="1262"/>
      <c r="E390" s="1262"/>
      <c r="F390" s="1262"/>
      <c r="I390" s="491"/>
    </row>
    <row r="391" spans="1:9">
      <c r="A391" s="477"/>
      <c r="B391" s="477"/>
      <c r="C391" s="477"/>
      <c r="D391" s="448"/>
      <c r="E391" s="448"/>
      <c r="F391" s="447"/>
      <c r="I391" s="491"/>
    </row>
    <row r="392" spans="1:9">
      <c r="A392" s="477"/>
      <c r="B392" s="477"/>
      <c r="C392" s="477"/>
      <c r="D392" s="1262" t="s">
        <v>1134</v>
      </c>
      <c r="E392" s="1262"/>
      <c r="F392" s="1262"/>
      <c r="I392" s="491"/>
    </row>
    <row r="393" spans="1:9">
      <c r="A393" s="477"/>
      <c r="B393" s="477"/>
      <c r="C393" s="477"/>
      <c r="D393" s="1262"/>
      <c r="E393" s="1262"/>
      <c r="F393" s="1262"/>
      <c r="I393" s="491"/>
    </row>
    <row r="394" spans="1:9">
      <c r="A394" s="477"/>
      <c r="B394" s="477"/>
      <c r="C394" s="477"/>
      <c r="D394" s="1262"/>
      <c r="E394" s="1262"/>
      <c r="F394" s="1262"/>
      <c r="I394" s="491"/>
    </row>
    <row r="395" spans="1:9">
      <c r="A395" s="477"/>
      <c r="B395" s="477"/>
      <c r="C395" s="477"/>
      <c r="D395" s="1262"/>
      <c r="E395" s="1262"/>
      <c r="F395" s="1262"/>
      <c r="I395" s="491"/>
    </row>
    <row r="396" spans="1:9" ht="18" customHeight="1">
      <c r="A396" s="477"/>
      <c r="B396" s="477"/>
      <c r="C396" s="477"/>
      <c r="D396" s="1262"/>
      <c r="E396" s="1262"/>
      <c r="F396" s="1262"/>
      <c r="I396" s="491"/>
    </row>
    <row r="397" spans="1:9">
      <c r="A397" s="477"/>
      <c r="B397" s="477"/>
      <c r="C397" s="477"/>
      <c r="D397" s="1262"/>
      <c r="E397" s="1262"/>
      <c r="F397" s="1262"/>
      <c r="I397" s="491"/>
    </row>
    <row r="398" spans="1:9">
      <c r="A398" s="477"/>
      <c r="B398" s="477"/>
      <c r="C398" s="477"/>
      <c r="D398" s="1262"/>
      <c r="E398" s="1262"/>
      <c r="F398" s="1262"/>
      <c r="I398" s="491"/>
    </row>
    <row r="399" spans="1:9">
      <c r="A399" s="477"/>
      <c r="B399" s="477"/>
      <c r="C399" s="477"/>
      <c r="D399" s="1262"/>
      <c r="E399" s="1262"/>
      <c r="F399" s="1262"/>
      <c r="I399" s="491"/>
    </row>
    <row r="400" spans="1:9" ht="8.25" customHeight="1">
      <c r="A400" s="477"/>
      <c r="B400" s="477"/>
      <c r="C400" s="477"/>
      <c r="D400" s="1262"/>
      <c r="E400" s="1262"/>
      <c r="F400" s="1262"/>
      <c r="I400" s="491"/>
    </row>
    <row r="401" spans="1:9" ht="13.75" customHeight="1">
      <c r="A401" s="477"/>
      <c r="B401" s="477"/>
      <c r="C401" s="477"/>
      <c r="D401" s="1262" t="s">
        <v>1135</v>
      </c>
      <c r="E401" s="1262"/>
      <c r="F401" s="1262"/>
      <c r="I401" s="491"/>
    </row>
    <row r="402" spans="1:9">
      <c r="A402" s="477"/>
      <c r="B402" s="477"/>
      <c r="C402" s="477"/>
      <c r="D402" s="1262"/>
      <c r="E402" s="1262"/>
      <c r="F402" s="1262"/>
      <c r="I402" s="491"/>
    </row>
    <row r="403" spans="1:9">
      <c r="A403" s="477"/>
      <c r="B403" s="477"/>
      <c r="C403" s="477"/>
      <c r="D403" s="1262"/>
      <c r="E403" s="1262"/>
      <c r="F403" s="1262"/>
      <c r="I403" s="491"/>
    </row>
    <row r="404" spans="1:9">
      <c r="A404" s="477"/>
      <c r="B404" s="477"/>
      <c r="C404" s="477"/>
      <c r="D404" s="1262"/>
      <c r="E404" s="1262"/>
      <c r="F404" s="1262"/>
      <c r="I404" s="491"/>
    </row>
    <row r="405" spans="1:9">
      <c r="A405" s="477"/>
      <c r="B405" s="477"/>
      <c r="C405" s="477"/>
      <c r="D405" s="1262"/>
      <c r="E405" s="1262"/>
      <c r="F405" s="1262"/>
      <c r="I405" s="491"/>
    </row>
    <row r="406" spans="1:9">
      <c r="A406" s="477"/>
      <c r="B406" s="477"/>
      <c r="C406" s="477"/>
      <c r="D406" s="1262"/>
      <c r="E406" s="1262"/>
      <c r="F406" s="1262"/>
      <c r="I406" s="491"/>
    </row>
    <row r="407" spans="1:9">
      <c r="A407" s="477"/>
      <c r="B407" s="477"/>
      <c r="C407" s="477"/>
      <c r="D407" s="1262"/>
      <c r="E407" s="1262"/>
      <c r="F407" s="1262"/>
      <c r="I407" s="491"/>
    </row>
    <row r="408" spans="1:9">
      <c r="A408" s="477"/>
      <c r="B408" s="477"/>
      <c r="C408" s="477"/>
      <c r="D408" s="1262"/>
      <c r="E408" s="1262"/>
      <c r="F408" s="1262"/>
      <c r="I408" s="491"/>
    </row>
    <row r="409" spans="1:9">
      <c r="A409" s="477"/>
      <c r="B409" s="477"/>
      <c r="C409" s="477"/>
      <c r="D409" s="1262"/>
      <c r="E409" s="1262"/>
      <c r="F409" s="1262"/>
      <c r="I409" s="491"/>
    </row>
    <row r="410" spans="1:9">
      <c r="A410" s="477"/>
      <c r="B410" s="477"/>
      <c r="C410" s="477"/>
      <c r="D410" s="1262"/>
      <c r="E410" s="1262"/>
      <c r="F410" s="1262"/>
      <c r="I410" s="491"/>
    </row>
    <row r="411" spans="1:9">
      <c r="A411" s="477"/>
      <c r="B411" s="477"/>
      <c r="C411" s="477"/>
      <c r="D411" s="1262"/>
      <c r="E411" s="1262"/>
      <c r="F411" s="1262"/>
      <c r="I411" s="491"/>
    </row>
    <row r="412" spans="1:9">
      <c r="A412" s="477"/>
      <c r="B412" s="477"/>
      <c r="C412" s="477"/>
      <c r="D412" s="1262"/>
      <c r="E412" s="1262"/>
      <c r="F412" s="1262"/>
      <c r="I412" s="491"/>
    </row>
    <row r="413" spans="1:9">
      <c r="A413" s="477"/>
      <c r="B413" s="477"/>
      <c r="C413" s="497"/>
      <c r="D413" s="1262"/>
      <c r="E413" s="1262"/>
      <c r="F413" s="1262"/>
      <c r="I413" s="491"/>
    </row>
    <row r="414" spans="1:9">
      <c r="A414" s="477"/>
      <c r="B414" s="477"/>
      <c r="C414" s="497"/>
      <c r="D414" s="1262"/>
      <c r="E414" s="1262"/>
      <c r="F414" s="1262"/>
      <c r="I414" s="491"/>
    </row>
    <row r="415" spans="1:9">
      <c r="A415" s="477"/>
      <c r="B415" s="477"/>
      <c r="C415" s="477"/>
      <c r="D415" s="1262"/>
      <c r="E415" s="1262"/>
      <c r="F415" s="1262"/>
      <c r="I415" s="491"/>
    </row>
    <row r="416" spans="1:9">
      <c r="A416" s="477"/>
      <c r="B416" s="477"/>
      <c r="C416" s="497"/>
      <c r="D416" s="1262"/>
      <c r="E416" s="1262"/>
      <c r="F416" s="1262"/>
      <c r="I416" s="491"/>
    </row>
    <row r="417" spans="1:9">
      <c r="A417" s="477"/>
      <c r="B417" s="477"/>
      <c r="C417" s="497"/>
      <c r="D417" s="1262"/>
      <c r="E417" s="1262"/>
      <c r="F417" s="1262"/>
      <c r="I417" s="491"/>
    </row>
    <row r="418" spans="1:9">
      <c r="A418" s="477"/>
      <c r="B418" s="477"/>
      <c r="C418" s="497"/>
      <c r="D418" s="1262"/>
      <c r="E418" s="1262"/>
      <c r="F418" s="1262"/>
      <c r="I418" s="491"/>
    </row>
    <row r="419" spans="1:9">
      <c r="A419" s="477"/>
      <c r="B419" s="477"/>
      <c r="C419" s="477"/>
      <c r="D419" s="448"/>
      <c r="E419" s="448"/>
      <c r="F419" s="447"/>
      <c r="I419" s="491"/>
    </row>
    <row r="420" spans="1:9">
      <c r="A420" s="477"/>
      <c r="B420" s="486" t="s">
        <v>2731</v>
      </c>
      <c r="C420" s="477"/>
      <c r="D420" s="1262" t="s">
        <v>1136</v>
      </c>
      <c r="E420" s="1262"/>
      <c r="F420" s="1262"/>
      <c r="I420" s="491"/>
    </row>
    <row r="421" spans="1:9">
      <c r="A421" s="477"/>
      <c r="B421" s="477"/>
      <c r="C421" s="477"/>
      <c r="D421" s="1262"/>
      <c r="E421" s="1262"/>
      <c r="F421" s="1262"/>
      <c r="I421" s="491"/>
    </row>
    <row r="422" spans="1:9">
      <c r="A422" s="477"/>
      <c r="B422" s="477"/>
      <c r="C422" s="477"/>
      <c r="D422" s="452"/>
      <c r="E422" s="452"/>
      <c r="F422" s="452"/>
      <c r="I422" s="491"/>
    </row>
    <row r="423" spans="1:9" ht="14.5" customHeight="1">
      <c r="A423" s="485"/>
      <c r="B423" s="486" t="s">
        <v>2731</v>
      </c>
      <c r="D423" s="1262" t="s">
        <v>1882</v>
      </c>
      <c r="E423" s="1262"/>
      <c r="F423" s="1262"/>
      <c r="I423" s="491"/>
    </row>
    <row r="424" spans="1:9" ht="14.5" customHeight="1">
      <c r="A424" s="485"/>
      <c r="D424" s="1262"/>
      <c r="E424" s="1262"/>
      <c r="F424" s="1262"/>
      <c r="I424" s="491"/>
    </row>
    <row r="425" spans="1:9" ht="14.5" customHeight="1">
      <c r="A425" s="485"/>
      <c r="D425" s="1262"/>
      <c r="E425" s="1262"/>
      <c r="F425" s="1262"/>
      <c r="I425" s="491"/>
    </row>
    <row r="426" spans="1:9" ht="14.5" customHeight="1">
      <c r="A426" s="485"/>
      <c r="D426" s="1262"/>
      <c r="E426" s="1262"/>
      <c r="F426" s="1262"/>
      <c r="I426" s="491"/>
    </row>
    <row r="427" spans="1:9" ht="14.5" customHeight="1">
      <c r="A427" s="485"/>
      <c r="D427" s="1262"/>
      <c r="E427" s="1262"/>
      <c r="F427" s="1262"/>
      <c r="I427" s="491"/>
    </row>
    <row r="428" spans="1:9" ht="14.5" customHeight="1">
      <c r="A428" s="485"/>
      <c r="D428" s="386"/>
      <c r="E428" s="386"/>
      <c r="F428" s="386"/>
      <c r="I428" s="491"/>
    </row>
    <row r="429" spans="1:9" ht="13.75" customHeight="1">
      <c r="A429" s="485"/>
      <c r="B429" s="486" t="s">
        <v>2731</v>
      </c>
      <c r="C429" s="477"/>
      <c r="D429" s="1262" t="s">
        <v>1240</v>
      </c>
      <c r="E429" s="1262"/>
      <c r="F429" s="1262"/>
      <c r="I429" s="491"/>
    </row>
    <row r="430" spans="1:9">
      <c r="A430" s="498"/>
      <c r="B430" s="498"/>
      <c r="C430" s="477"/>
      <c r="D430" s="1262"/>
      <c r="E430" s="1262"/>
      <c r="F430" s="1262"/>
      <c r="I430" s="491"/>
    </row>
    <row r="431" spans="1:9">
      <c r="A431" s="498"/>
      <c r="B431" s="498"/>
      <c r="C431" s="477"/>
      <c r="D431" s="1262"/>
      <c r="E431" s="1262"/>
      <c r="F431" s="1262"/>
      <c r="I431" s="491"/>
    </row>
    <row r="432" spans="1:9">
      <c r="A432" s="498"/>
      <c r="B432" s="498"/>
      <c r="C432" s="477"/>
      <c r="D432" s="1262"/>
      <c r="E432" s="1262"/>
      <c r="F432" s="1262"/>
      <c r="I432" s="491"/>
    </row>
    <row r="433" spans="1:9" ht="15.75" customHeight="1">
      <c r="A433" s="498"/>
      <c r="B433" s="498"/>
      <c r="C433" s="477"/>
      <c r="D433" s="1296" t="s">
        <v>2075</v>
      </c>
      <c r="E433" s="1262"/>
      <c r="F433" s="1262"/>
      <c r="I433" s="491"/>
    </row>
    <row r="434" spans="1:9">
      <c r="D434" s="447"/>
      <c r="E434" s="447"/>
      <c r="F434" s="447"/>
      <c r="I434" s="491"/>
    </row>
    <row r="435" spans="1:9">
      <c r="A435" s="485"/>
      <c r="B435" s="486" t="s">
        <v>2731</v>
      </c>
      <c r="C435" s="488"/>
      <c r="D435" s="1282" t="s">
        <v>2060</v>
      </c>
      <c r="E435" s="1282"/>
      <c r="F435" s="1282"/>
      <c r="I435" s="491"/>
    </row>
    <row r="436" spans="1:9">
      <c r="A436" s="485"/>
      <c r="B436" s="485"/>
      <c r="D436" s="1282"/>
      <c r="E436" s="1282"/>
      <c r="F436" s="1282"/>
      <c r="I436" s="491"/>
    </row>
    <row r="437" spans="1:9">
      <c r="D437" s="1282"/>
      <c r="E437" s="1282"/>
      <c r="F437" s="1282"/>
      <c r="I437" s="491"/>
    </row>
    <row r="438" spans="1:9">
      <c r="D438" s="1282"/>
      <c r="E438" s="1282"/>
      <c r="F438" s="1282"/>
      <c r="I438" s="491"/>
    </row>
    <row r="439" spans="1:9">
      <c r="D439" s="1282"/>
      <c r="E439" s="1282"/>
      <c r="F439" s="1282"/>
      <c r="I439" s="491"/>
    </row>
    <row r="440" spans="1:9">
      <c r="D440" s="1282"/>
      <c r="E440" s="1282"/>
      <c r="F440" s="1282"/>
      <c r="I440" s="491"/>
    </row>
    <row r="441" spans="1:9">
      <c r="D441" s="1282"/>
      <c r="E441" s="1282"/>
      <c r="F441" s="1282"/>
      <c r="I441" s="491"/>
    </row>
    <row r="442" spans="1:9">
      <c r="D442" s="1282"/>
      <c r="E442" s="1282"/>
      <c r="F442" s="1282"/>
      <c r="I442" s="491"/>
    </row>
    <row r="443" spans="1:9">
      <c r="D443" s="1282"/>
      <c r="E443" s="1282"/>
      <c r="F443" s="1282"/>
      <c r="I443" s="491"/>
    </row>
    <row r="444" spans="1:9">
      <c r="D444" s="1282"/>
      <c r="E444" s="1282"/>
      <c r="F444" s="1282"/>
      <c r="I444" s="491"/>
    </row>
    <row r="445" spans="1:9">
      <c r="D445" s="1282"/>
      <c r="E445" s="1282"/>
      <c r="F445" s="1282"/>
      <c r="I445" s="491"/>
    </row>
    <row r="446" spans="1:9">
      <c r="D446" s="1282"/>
      <c r="E446" s="1282"/>
      <c r="F446" s="1282"/>
      <c r="I446" s="491"/>
    </row>
    <row r="447" spans="1:9">
      <c r="D447" s="1282"/>
      <c r="E447" s="1282"/>
      <c r="F447" s="1282"/>
      <c r="I447" s="491"/>
    </row>
    <row r="448" spans="1:9">
      <c r="A448" s="403"/>
      <c r="B448" s="403"/>
      <c r="C448" s="403"/>
      <c r="D448" s="1282"/>
      <c r="E448" s="1282"/>
      <c r="F448" s="1282"/>
      <c r="I448" s="491"/>
    </row>
    <row r="449" spans="1:9">
      <c r="A449" s="403"/>
      <c r="B449" s="403"/>
      <c r="C449" s="403"/>
      <c r="D449" s="1282"/>
      <c r="E449" s="1282"/>
      <c r="F449" s="1282"/>
      <c r="I449" s="491"/>
    </row>
    <row r="450" spans="1:9">
      <c r="A450" s="403"/>
      <c r="B450" s="403"/>
      <c r="C450" s="403"/>
      <c r="D450" s="1282"/>
      <c r="E450" s="1282"/>
      <c r="F450" s="1282"/>
      <c r="I450" s="491"/>
    </row>
    <row r="451" spans="1:9">
      <c r="A451" s="403"/>
      <c r="B451" s="403"/>
      <c r="C451" s="403"/>
      <c r="D451" s="1282"/>
      <c r="E451" s="1282"/>
      <c r="F451" s="1282"/>
      <c r="I451" s="491"/>
    </row>
    <row r="452" spans="1:9">
      <c r="A452" s="403"/>
      <c r="B452" s="403"/>
      <c r="C452" s="403"/>
      <c r="D452" s="1282"/>
      <c r="E452" s="1282"/>
      <c r="F452" s="1282"/>
      <c r="I452" s="491"/>
    </row>
    <row r="453" spans="1:9">
      <c r="A453" s="403"/>
      <c r="B453" s="403"/>
      <c r="C453" s="403"/>
      <c r="D453" s="1282"/>
      <c r="E453" s="1282"/>
      <c r="F453" s="1282"/>
      <c r="I453" s="491"/>
    </row>
    <row r="454" spans="1:9">
      <c r="A454" s="403"/>
      <c r="B454" s="403"/>
      <c r="C454" s="403"/>
      <c r="D454" s="1282"/>
      <c r="E454" s="1282"/>
      <c r="F454" s="1282"/>
      <c r="I454" s="491"/>
    </row>
    <row r="455" spans="1:9">
      <c r="A455" s="403"/>
      <c r="B455" s="403"/>
      <c r="C455" s="403"/>
      <c r="D455" s="1282"/>
      <c r="E455" s="1282"/>
      <c r="F455" s="1282"/>
      <c r="I455" s="491"/>
    </row>
    <row r="456" spans="1:9">
      <c r="A456" s="403"/>
      <c r="B456" s="403"/>
      <c r="C456" s="403"/>
      <c r="D456" s="1282"/>
      <c r="E456" s="1282"/>
      <c r="F456" s="1282"/>
      <c r="I456" s="491"/>
    </row>
    <row r="457" spans="1:9">
      <c r="A457" s="403"/>
      <c r="B457" s="403"/>
      <c r="C457" s="403"/>
      <c r="D457" s="1282"/>
      <c r="E457" s="1282"/>
      <c r="F457" s="1282"/>
      <c r="I457" s="491"/>
    </row>
    <row r="458" spans="1:9">
      <c r="A458" s="403"/>
      <c r="B458" s="403"/>
      <c r="C458" s="403"/>
      <c r="D458" s="1282"/>
      <c r="E458" s="1282"/>
      <c r="F458" s="1282"/>
      <c r="I458" s="491"/>
    </row>
    <row r="459" spans="1:9">
      <c r="A459" s="403"/>
      <c r="B459" s="403"/>
      <c r="C459" s="403"/>
      <c r="D459" s="1282"/>
      <c r="E459" s="1282"/>
      <c r="F459" s="1282"/>
      <c r="I459" s="491"/>
    </row>
    <row r="460" spans="1:9">
      <c r="A460" s="403"/>
      <c r="B460" s="403"/>
      <c r="C460" s="403"/>
      <c r="D460" s="1282"/>
      <c r="E460" s="1282"/>
      <c r="F460" s="1282"/>
      <c r="I460" s="491"/>
    </row>
    <row r="461" spans="1:9">
      <c r="A461" s="403"/>
      <c r="B461" s="403"/>
      <c r="C461" s="403"/>
      <c r="D461" s="1282"/>
      <c r="E461" s="1282"/>
      <c r="F461" s="1282"/>
      <c r="I461" s="491"/>
    </row>
    <row r="462" spans="1:9">
      <c r="A462" s="403"/>
      <c r="B462" s="403"/>
      <c r="C462" s="403"/>
      <c r="D462" s="1282"/>
      <c r="E462" s="1282"/>
      <c r="F462" s="1282"/>
      <c r="I462" s="491"/>
    </row>
    <row r="463" spans="1:9">
      <c r="A463" s="403"/>
      <c r="B463" s="403"/>
      <c r="C463" s="403"/>
      <c r="D463" s="1282"/>
      <c r="E463" s="1282"/>
      <c r="F463" s="1282"/>
      <c r="I463" s="491"/>
    </row>
    <row r="464" spans="1:9">
      <c r="D464" s="1282"/>
      <c r="E464" s="1282"/>
      <c r="F464" s="1282"/>
      <c r="I464" s="491"/>
    </row>
    <row r="465" spans="1:9" ht="40.75" customHeight="1">
      <c r="D465" s="1282"/>
      <c r="E465" s="1282"/>
      <c r="F465" s="1282"/>
      <c r="I465" s="491"/>
    </row>
    <row r="466" spans="1:9">
      <c r="D466" s="447"/>
      <c r="E466" s="447"/>
      <c r="F466" s="447"/>
      <c r="I466" s="491"/>
    </row>
    <row r="467" spans="1:9">
      <c r="A467" s="485"/>
      <c r="B467" s="486" t="s">
        <v>2731</v>
      </c>
      <c r="C467" s="488"/>
      <c r="D467" s="1282" t="s">
        <v>1137</v>
      </c>
      <c r="E467" s="1282"/>
      <c r="F467" s="1282"/>
      <c r="I467" s="491"/>
    </row>
    <row r="468" spans="1:9">
      <c r="D468" s="1282"/>
      <c r="E468" s="1282"/>
      <c r="F468" s="1282"/>
      <c r="I468" s="491"/>
    </row>
    <row r="469" spans="1:9">
      <c r="D469" s="1282"/>
      <c r="E469" s="1282"/>
      <c r="F469" s="1282"/>
      <c r="I469" s="491"/>
    </row>
    <row r="470" spans="1:9">
      <c r="D470" s="446"/>
      <c r="E470" s="446"/>
      <c r="F470" s="446"/>
      <c r="I470" s="491"/>
    </row>
    <row r="471" spans="1:9">
      <c r="B471" s="486" t="s">
        <v>2731</v>
      </c>
      <c r="C471" s="485"/>
      <c r="D471" s="1282" t="s">
        <v>1197</v>
      </c>
      <c r="E471" s="1282"/>
      <c r="F471" s="1282"/>
      <c r="I471" s="491"/>
    </row>
    <row r="472" spans="1:9">
      <c r="D472" s="1282"/>
      <c r="E472" s="1282"/>
      <c r="F472" s="1282"/>
      <c r="I472" s="491"/>
    </row>
    <row r="473" spans="1:9">
      <c r="D473" s="447"/>
      <c r="E473" s="447"/>
      <c r="F473" s="447"/>
      <c r="I473" s="491"/>
    </row>
    <row r="474" spans="1:9">
      <c r="B474" s="486" t="s">
        <v>2731</v>
      </c>
      <c r="C474" s="485"/>
      <c r="D474" s="1282" t="s">
        <v>1138</v>
      </c>
      <c r="E474" s="1282"/>
      <c r="F474" s="1282"/>
      <c r="I474" s="491"/>
    </row>
    <row r="475" spans="1:9">
      <c r="D475" s="1282"/>
      <c r="E475" s="1282"/>
      <c r="F475" s="1282"/>
      <c r="I475" s="491"/>
    </row>
    <row r="476" spans="1:9">
      <c r="D476" s="1282"/>
      <c r="E476" s="1282"/>
      <c r="F476" s="1282"/>
      <c r="I476" s="491"/>
    </row>
    <row r="477" spans="1:9">
      <c r="D477" s="1282"/>
      <c r="E477" s="1282"/>
      <c r="F477" s="1282"/>
      <c r="I477" s="491"/>
    </row>
    <row r="478" spans="1:9">
      <c r="B478" s="486" t="s">
        <v>2731</v>
      </c>
      <c r="D478" s="1282"/>
      <c r="E478" s="1282"/>
      <c r="F478" s="1282"/>
      <c r="I478" s="491"/>
    </row>
    <row r="479" spans="1:9">
      <c r="A479" s="403"/>
      <c r="B479" s="403"/>
      <c r="C479" s="403"/>
      <c r="D479" s="1282"/>
      <c r="E479" s="1282"/>
      <c r="F479" s="1282"/>
      <c r="I479" s="491"/>
    </row>
    <row r="480" spans="1:9">
      <c r="A480" s="403"/>
      <c r="C480" s="403"/>
      <c r="D480" s="1282"/>
      <c r="E480" s="1282"/>
      <c r="F480" s="1282"/>
      <c r="I480" s="491"/>
    </row>
    <row r="481" spans="1:9">
      <c r="A481" s="403"/>
      <c r="B481" s="486" t="s">
        <v>2731</v>
      </c>
      <c r="C481" s="403"/>
      <c r="D481" s="1282"/>
      <c r="E481" s="1282"/>
      <c r="F481" s="1282"/>
      <c r="I481" s="491"/>
    </row>
    <row r="482" spans="1:9">
      <c r="A482" s="403"/>
      <c r="B482" s="403"/>
      <c r="C482" s="403"/>
      <c r="D482" s="1282"/>
      <c r="E482" s="1282"/>
      <c r="F482" s="1282"/>
      <c r="I482" s="491"/>
    </row>
    <row r="483" spans="1:9">
      <c r="A483" s="403"/>
      <c r="C483" s="403"/>
      <c r="D483" s="1282"/>
      <c r="E483" s="1282"/>
      <c r="F483" s="1282"/>
      <c r="I483" s="491"/>
    </row>
    <row r="484" spans="1:9">
      <c r="A484" s="403"/>
      <c r="C484" s="403"/>
      <c r="D484" s="1282"/>
      <c r="E484" s="1282"/>
      <c r="F484" s="1282"/>
      <c r="I484" s="491"/>
    </row>
    <row r="485" spans="1:9">
      <c r="A485" s="403"/>
      <c r="C485" s="403"/>
      <c r="D485" s="1282"/>
      <c r="E485" s="1282"/>
      <c r="F485" s="1282"/>
      <c r="I485" s="491"/>
    </row>
    <row r="486" spans="1:9">
      <c r="A486" s="403"/>
      <c r="B486" s="486" t="s">
        <v>2731</v>
      </c>
      <c r="C486" s="403"/>
      <c r="D486" s="1282"/>
      <c r="E486" s="1282"/>
      <c r="F486" s="1282"/>
      <c r="I486" s="491"/>
    </row>
    <row r="487" spans="1:9">
      <c r="A487" s="403"/>
      <c r="C487" s="403"/>
      <c r="D487" s="1282"/>
      <c r="E487" s="1282"/>
      <c r="F487" s="1282"/>
      <c r="I487" s="491"/>
    </row>
    <row r="488" spans="1:9">
      <c r="A488" s="403"/>
      <c r="B488" s="486" t="s">
        <v>2731</v>
      </c>
      <c r="C488" s="403"/>
      <c r="D488" s="1282" t="s">
        <v>1139</v>
      </c>
      <c r="E488" s="1282"/>
      <c r="F488" s="1282"/>
      <c r="I488" s="491"/>
    </row>
    <row r="489" spans="1:9">
      <c r="A489" s="403"/>
      <c r="B489" s="403"/>
      <c r="C489" s="403"/>
      <c r="D489" s="1282"/>
      <c r="E489" s="1282"/>
      <c r="F489" s="1282"/>
      <c r="I489" s="491"/>
    </row>
    <row r="490" spans="1:9">
      <c r="A490" s="403"/>
      <c r="B490" s="403"/>
      <c r="C490" s="403"/>
      <c r="D490" s="1282"/>
      <c r="E490" s="1282"/>
      <c r="F490" s="1282"/>
      <c r="I490" s="491"/>
    </row>
    <row r="491" spans="1:9">
      <c r="A491" s="403"/>
      <c r="B491" s="403"/>
      <c r="C491" s="403"/>
      <c r="D491" s="1282"/>
      <c r="E491" s="1282"/>
      <c r="F491" s="1282"/>
      <c r="I491" s="491"/>
    </row>
    <row r="492" spans="1:9">
      <c r="D492" s="1282"/>
      <c r="E492" s="1282"/>
      <c r="F492" s="1282"/>
      <c r="I492" s="491"/>
    </row>
    <row r="493" spans="1:9">
      <c r="D493" s="447"/>
      <c r="E493" s="447"/>
      <c r="F493" s="447"/>
      <c r="I493" s="491"/>
    </row>
    <row r="494" spans="1:9">
      <c r="B494" s="486" t="s">
        <v>2731</v>
      </c>
      <c r="D494" s="1283" t="s">
        <v>1140</v>
      </c>
      <c r="E494" s="1283"/>
      <c r="F494" s="1283"/>
      <c r="I494" s="491"/>
    </row>
    <row r="495" spans="1:9">
      <c r="A495" s="447"/>
      <c r="B495" s="447"/>
      <c r="I495" s="491"/>
    </row>
    <row r="496" spans="1:9">
      <c r="A496" s="1285" t="s">
        <v>1050</v>
      </c>
      <c r="B496" s="1285"/>
      <c r="C496" s="1285"/>
      <c r="D496" s="1285"/>
      <c r="E496" s="1285"/>
      <c r="F496" s="1285"/>
      <c r="G496" s="1285"/>
      <c r="H496" s="1029"/>
      <c r="I496" s="1155"/>
    </row>
    <row r="497" spans="1:9">
      <c r="A497" s="447"/>
      <c r="B497" s="447"/>
      <c r="I497" s="491"/>
    </row>
    <row r="498" spans="1:9">
      <c r="D498" s="1298" t="s">
        <v>883</v>
      </c>
      <c r="E498" s="1298"/>
      <c r="F498" s="1298"/>
      <c r="I498" s="491"/>
    </row>
    <row r="499" spans="1:9">
      <c r="A499" s="485"/>
      <c r="B499" s="485"/>
      <c r="D499" s="1294" t="s">
        <v>1141</v>
      </c>
      <c r="E499" s="1294"/>
      <c r="F499" s="1294"/>
      <c r="I499" s="491"/>
    </row>
    <row r="500" spans="1:9">
      <c r="A500" s="485"/>
      <c r="B500" s="485"/>
      <c r="D500" s="448"/>
      <c r="I500" s="491"/>
    </row>
    <row r="501" spans="1:9">
      <c r="A501" s="485"/>
      <c r="B501" s="486" t="s">
        <v>2731</v>
      </c>
      <c r="D501" s="1262" t="s">
        <v>1142</v>
      </c>
      <c r="E501" s="1262"/>
      <c r="F501" s="1262"/>
      <c r="I501" s="491"/>
    </row>
    <row r="502" spans="1:9">
      <c r="A502" s="485"/>
      <c r="B502" s="485"/>
      <c r="D502" s="1262"/>
      <c r="E502" s="1262"/>
      <c r="F502" s="1262"/>
      <c r="I502" s="491"/>
    </row>
    <row r="503" spans="1:9">
      <c r="A503" s="485"/>
      <c r="B503" s="485"/>
      <c r="D503" s="447"/>
      <c r="I503" s="491"/>
    </row>
    <row r="504" spans="1:9" ht="12.75" customHeight="1">
      <c r="B504" s="486" t="s">
        <v>2731</v>
      </c>
      <c r="D504" s="1286" t="s">
        <v>1273</v>
      </c>
      <c r="E504" s="1286"/>
      <c r="F504" s="1286"/>
      <c r="I504" s="491"/>
    </row>
    <row r="505" spans="1:9">
      <c r="A505" s="485"/>
      <c r="D505" s="1286"/>
      <c r="E505" s="1286"/>
      <c r="F505" s="1286"/>
      <c r="I505" s="491"/>
    </row>
    <row r="506" spans="1:9">
      <c r="A506" s="485"/>
      <c r="B506" s="485"/>
      <c r="D506" s="1286"/>
      <c r="E506" s="1286"/>
      <c r="F506" s="1286"/>
      <c r="I506" s="491"/>
    </row>
    <row r="507" spans="1:9">
      <c r="A507" s="485"/>
      <c r="B507" s="485"/>
      <c r="D507" s="1286"/>
      <c r="E507" s="1286"/>
      <c r="F507" s="1286"/>
      <c r="I507" s="491"/>
    </row>
    <row r="508" spans="1:9">
      <c r="A508" s="485"/>
      <c r="D508" s="521"/>
      <c r="E508" s="521"/>
      <c r="F508" s="521"/>
      <c r="I508" s="491"/>
    </row>
    <row r="509" spans="1:9">
      <c r="A509" s="485"/>
      <c r="B509" s="486" t="s">
        <v>2731</v>
      </c>
      <c r="D509" s="1283" t="s">
        <v>1143</v>
      </c>
      <c r="E509" s="1283"/>
      <c r="F509" s="1283"/>
      <c r="I509" s="491"/>
    </row>
    <row r="510" spans="1:9">
      <c r="A510" s="485"/>
      <c r="B510" s="485"/>
      <c r="D510" s="447"/>
      <c r="I510" s="491"/>
    </row>
    <row r="511" spans="1:9">
      <c r="A511" s="485"/>
      <c r="B511" s="486" t="s">
        <v>2731</v>
      </c>
      <c r="D511" s="1282" t="s">
        <v>1144</v>
      </c>
      <c r="E511" s="1282"/>
      <c r="F511" s="1282"/>
      <c r="I511" s="491"/>
    </row>
    <row r="512" spans="1:9">
      <c r="A512" s="485"/>
      <c r="D512" s="1282"/>
      <c r="E512" s="1282"/>
      <c r="F512" s="1282"/>
      <c r="I512" s="491"/>
    </row>
    <row r="513" spans="1:9">
      <c r="A513" s="491"/>
      <c r="B513" s="491"/>
      <c r="D513" s="448"/>
      <c r="I513" s="491"/>
    </row>
    <row r="514" spans="1:9">
      <c r="A514" s="491"/>
      <c r="B514" s="486" t="s">
        <v>2731</v>
      </c>
      <c r="D514" s="1283" t="s">
        <v>1145</v>
      </c>
      <c r="E514" s="1283"/>
      <c r="F514" s="1283"/>
      <c r="I514" s="491"/>
    </row>
    <row r="515" spans="1:9">
      <c r="D515" s="447"/>
      <c r="E515" s="447"/>
      <c r="F515" s="447"/>
      <c r="I515" s="491"/>
    </row>
    <row r="516" spans="1:9">
      <c r="B516" s="486" t="s">
        <v>2731</v>
      </c>
      <c r="D516" s="1282" t="s">
        <v>2283</v>
      </c>
      <c r="E516" s="1282"/>
      <c r="F516" s="1282"/>
      <c r="I516" s="491"/>
    </row>
    <row r="517" spans="1:9">
      <c r="D517" s="1282"/>
      <c r="E517" s="1282"/>
      <c r="F517" s="1282"/>
      <c r="I517" s="491"/>
    </row>
    <row r="518" spans="1:9">
      <c r="D518" s="1282"/>
      <c r="E518" s="1282"/>
      <c r="F518" s="1282"/>
      <c r="I518" s="491"/>
    </row>
    <row r="519" spans="1:9">
      <c r="D519" s="447"/>
      <c r="E519" s="447"/>
      <c r="F519" s="447"/>
      <c r="I519" s="491"/>
    </row>
    <row r="520" spans="1:9">
      <c r="A520" s="485"/>
      <c r="B520" s="485"/>
      <c r="D520" s="447"/>
      <c r="I520" s="491"/>
    </row>
    <row r="521" spans="1:9">
      <c r="A521" s="1285" t="s">
        <v>1051</v>
      </c>
      <c r="B521" s="1285"/>
      <c r="C521" s="1285"/>
      <c r="D521" s="1285"/>
      <c r="E521" s="1285"/>
      <c r="F521" s="1285"/>
      <c r="G521" s="1285"/>
      <c r="H521" s="1029"/>
      <c r="I521" s="1155"/>
    </row>
    <row r="522" spans="1:9" ht="12" customHeight="1">
      <c r="A522" s="485"/>
      <c r="B522" s="485"/>
      <c r="D522" s="447"/>
      <c r="I522" s="491"/>
    </row>
    <row r="523" spans="1:9">
      <c r="C523" s="483"/>
      <c r="D523" s="1290" t="s">
        <v>794</v>
      </c>
      <c r="E523" s="1290"/>
      <c r="F523" s="1290"/>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75" customHeight="1">
      <c r="A527" s="484"/>
      <c r="B527" s="486" t="s">
        <v>2730</v>
      </c>
      <c r="C527" s="484"/>
      <c r="D527" s="1262" t="s">
        <v>2061</v>
      </c>
      <c r="E527" s="1262"/>
      <c r="F527" s="1262"/>
      <c r="I527" s="491"/>
    </row>
    <row r="528" spans="1:9">
      <c r="A528" s="484"/>
      <c r="B528" s="484"/>
      <c r="C528" s="484"/>
      <c r="D528" s="1262"/>
      <c r="E528" s="1262"/>
      <c r="F528" s="1262"/>
      <c r="I528" s="491"/>
    </row>
    <row r="529" spans="1:9">
      <c r="A529" s="484"/>
      <c r="B529" s="484"/>
      <c r="C529" s="484"/>
      <c r="D529" s="452"/>
      <c r="E529" s="452"/>
      <c r="F529" s="452"/>
      <c r="I529" s="481"/>
    </row>
    <row r="530" spans="1:9" ht="12.75" customHeight="1">
      <c r="A530" s="484"/>
      <c r="B530" s="486" t="s">
        <v>2730</v>
      </c>
      <c r="D530" s="387" t="s">
        <v>1904</v>
      </c>
      <c r="E530" s="386"/>
      <c r="F530" s="386"/>
      <c r="I530" s="491"/>
    </row>
    <row r="531" spans="1:9">
      <c r="A531" s="484"/>
      <c r="B531" s="484"/>
      <c r="C531" s="484"/>
      <c r="D531" s="386"/>
      <c r="E531" s="96" t="s">
        <v>1905</v>
      </c>
      <c r="I531" s="491"/>
    </row>
    <row r="532" spans="1:9">
      <c r="A532" s="484"/>
      <c r="B532" s="484"/>
      <c r="D532" s="1279" t="s">
        <v>2062</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2731</v>
      </c>
      <c r="C536" s="484"/>
      <c r="D536" s="1282" t="s">
        <v>2063</v>
      </c>
      <c r="E536" s="1282"/>
      <c r="F536" s="1282"/>
      <c r="I536" s="491"/>
    </row>
    <row r="537" spans="1:9">
      <c r="A537" s="484"/>
      <c r="B537" s="484"/>
      <c r="C537" s="484"/>
      <c r="D537" s="1282"/>
      <c r="E537" s="1282"/>
      <c r="F537" s="1282"/>
      <c r="I537" s="491"/>
    </row>
    <row r="538" spans="1:9" ht="12" customHeight="1">
      <c r="A538" s="447"/>
      <c r="B538" s="447"/>
      <c r="C538" s="488"/>
      <c r="D538" s="447"/>
      <c r="F538" s="449"/>
      <c r="I538" s="491"/>
    </row>
    <row r="539" spans="1:9">
      <c r="A539" s="1285" t="s">
        <v>1052</v>
      </c>
      <c r="B539" s="1285"/>
      <c r="C539" s="1285"/>
      <c r="D539" s="1285"/>
      <c r="E539" s="1285"/>
      <c r="F539" s="1285"/>
      <c r="G539" s="1285"/>
      <c r="H539" s="1029"/>
      <c r="I539" s="1155"/>
    </row>
    <row r="540" spans="1:9">
      <c r="A540" s="447"/>
      <c r="B540" s="447"/>
      <c r="C540" s="488"/>
      <c r="F540" s="449"/>
      <c r="I540" s="491"/>
    </row>
    <row r="541" spans="1:9">
      <c r="B541" s="1288" t="s">
        <v>447</v>
      </c>
      <c r="C541" s="1288"/>
      <c r="D541" s="1288"/>
      <c r="E541" s="1288"/>
      <c r="F541" s="1288"/>
      <c r="I541" s="491"/>
    </row>
    <row r="542" spans="1:9">
      <c r="A542" s="447"/>
      <c r="B542" s="447"/>
      <c r="C542" s="488"/>
      <c r="D542" s="447"/>
      <c r="F542" s="447"/>
      <c r="I542" s="491"/>
    </row>
    <row r="543" spans="1:9">
      <c r="A543" s="1289" t="s">
        <v>1053</v>
      </c>
      <c r="B543" s="1289"/>
      <c r="C543" s="1289"/>
      <c r="D543" s="1289"/>
      <c r="E543" s="1289"/>
      <c r="F543" s="1289"/>
      <c r="G543" s="1289"/>
      <c r="H543" s="1029"/>
      <c r="I543" s="1155"/>
    </row>
    <row r="544" spans="1:9">
      <c r="A544" s="447"/>
      <c r="B544" s="447"/>
      <c r="C544" s="488"/>
      <c r="D544" s="447"/>
      <c r="F544" s="447"/>
      <c r="I544" s="491"/>
    </row>
    <row r="545" spans="1:9">
      <c r="C545" s="488"/>
      <c r="D545" s="1290" t="s">
        <v>684</v>
      </c>
      <c r="E545" s="1290"/>
      <c r="F545" s="1290"/>
      <c r="I545" s="491"/>
    </row>
    <row r="546" spans="1:9">
      <c r="C546" s="488"/>
      <c r="D546" s="1283" t="s">
        <v>1081</v>
      </c>
      <c r="E546" s="1283"/>
      <c r="F546" s="1283"/>
      <c r="I546" s="491"/>
    </row>
    <row r="547" spans="1:9">
      <c r="C547" s="488"/>
      <c r="D547" s="447"/>
      <c r="E547" s="447"/>
      <c r="F547" s="447"/>
      <c r="I547" s="491"/>
    </row>
    <row r="548" spans="1:9" ht="13.75" customHeight="1">
      <c r="A548" s="485"/>
      <c r="B548" s="486" t="s">
        <v>2730</v>
      </c>
      <c r="C548" s="488"/>
      <c r="D548" s="1283" t="s">
        <v>884</v>
      </c>
      <c r="E548" s="1283"/>
      <c r="F548" s="1283"/>
      <c r="I548" s="491"/>
    </row>
    <row r="549" spans="1:9" ht="13.75" customHeight="1">
      <c r="A549" s="488"/>
      <c r="B549" s="488"/>
      <c r="C549" s="488"/>
      <c r="D549" s="447"/>
      <c r="I549" s="491"/>
    </row>
    <row r="550" spans="1:9">
      <c r="A550" s="485"/>
      <c r="B550" s="486" t="s">
        <v>2730</v>
      </c>
      <c r="C550" s="488"/>
      <c r="D550" s="1282" t="s">
        <v>1082</v>
      </c>
      <c r="E550" s="1282"/>
      <c r="F550" s="1282"/>
      <c r="I550" s="491"/>
    </row>
    <row r="551" spans="1:9">
      <c r="A551" s="488"/>
      <c r="B551" s="488"/>
      <c r="C551" s="488"/>
      <c r="D551" s="1282"/>
      <c r="E551" s="1282"/>
      <c r="F551" s="1282"/>
      <c r="I551" s="491"/>
    </row>
    <row r="552" spans="1:9">
      <c r="A552" s="488"/>
      <c r="B552" s="488"/>
      <c r="C552" s="488"/>
      <c r="D552" s="447"/>
      <c r="E552" s="447"/>
      <c r="F552" s="447"/>
      <c r="I552" s="491"/>
    </row>
    <row r="553" spans="1:9">
      <c r="A553" s="485"/>
      <c r="B553" s="486" t="s">
        <v>2730</v>
      </c>
      <c r="C553" s="488"/>
      <c r="D553" s="1282" t="s">
        <v>1083</v>
      </c>
      <c r="E553" s="1282"/>
      <c r="F553" s="1282"/>
      <c r="I553" s="491"/>
    </row>
    <row r="554" spans="1:9">
      <c r="A554" s="488"/>
      <c r="B554" s="488"/>
      <c r="C554" s="488"/>
      <c r="D554" s="1282"/>
      <c r="E554" s="1282"/>
      <c r="F554" s="1282"/>
      <c r="I554" s="491"/>
    </row>
    <row r="555" spans="1:9">
      <c r="A555" s="488"/>
      <c r="B555" s="488"/>
      <c r="C555" s="488"/>
      <c r="D555" s="447"/>
      <c r="E555" s="447"/>
      <c r="F555" s="447"/>
      <c r="I555" s="491"/>
    </row>
    <row r="556" spans="1:9">
      <c r="A556" s="485"/>
      <c r="B556" s="486" t="s">
        <v>2730</v>
      </c>
      <c r="C556" s="488"/>
      <c r="D556" s="1282" t="s">
        <v>1084</v>
      </c>
      <c r="E556" s="1282"/>
      <c r="F556" s="1282"/>
      <c r="I556" s="491"/>
    </row>
    <row r="557" spans="1:9">
      <c r="A557" s="488"/>
      <c r="B557" s="488"/>
      <c r="C557" s="488"/>
      <c r="D557" s="1282"/>
      <c r="E557" s="1282"/>
      <c r="F557" s="1282"/>
      <c r="I557" s="491"/>
    </row>
    <row r="558" spans="1:9">
      <c r="A558" s="488"/>
      <c r="B558" s="488"/>
      <c r="C558" s="488"/>
      <c r="D558" s="447"/>
      <c r="E558" s="447"/>
      <c r="F558" s="447"/>
      <c r="I558" s="491"/>
    </row>
    <row r="559" spans="1:9">
      <c r="A559" s="485"/>
      <c r="B559" s="486" t="s">
        <v>2730</v>
      </c>
      <c r="C559" s="488"/>
      <c r="D559" s="1282" t="s">
        <v>1085</v>
      </c>
      <c r="E559" s="1282"/>
      <c r="F559" s="1282"/>
      <c r="I559" s="491"/>
    </row>
    <row r="560" spans="1:9">
      <c r="A560" s="488"/>
      <c r="B560" s="488"/>
      <c r="C560" s="488"/>
      <c r="D560" s="1282"/>
      <c r="E560" s="1282"/>
      <c r="F560" s="1282"/>
      <c r="I560" s="491"/>
    </row>
    <row r="561" spans="1:9">
      <c r="A561" s="488"/>
      <c r="B561" s="488"/>
      <c r="C561" s="488"/>
      <c r="D561" s="1282"/>
      <c r="E561" s="1282"/>
      <c r="F561" s="1282"/>
      <c r="I561" s="491"/>
    </row>
    <row r="562" spans="1:9">
      <c r="A562" s="488"/>
      <c r="B562" s="488"/>
      <c r="C562" s="488"/>
      <c r="D562" s="447"/>
      <c r="E562" s="447"/>
      <c r="F562" s="447"/>
      <c r="I562" s="491"/>
    </row>
    <row r="563" spans="1:9">
      <c r="A563" s="485"/>
      <c r="B563" s="486" t="s">
        <v>2731</v>
      </c>
      <c r="C563" s="488"/>
      <c r="D563" s="1282" t="s">
        <v>2250</v>
      </c>
      <c r="E563" s="1282"/>
      <c r="F563" s="1282"/>
      <c r="I563" s="491"/>
    </row>
    <row r="564" spans="1:9">
      <c r="A564" s="488"/>
      <c r="B564" s="488"/>
      <c r="C564" s="488"/>
      <c r="D564" s="1282"/>
      <c r="E564" s="1282"/>
      <c r="F564" s="1282"/>
      <c r="I564" s="491"/>
    </row>
    <row r="565" spans="1:9">
      <c r="A565" s="488"/>
      <c r="B565" s="488"/>
      <c r="C565" s="488"/>
      <c r="D565" s="447"/>
      <c r="E565" s="447"/>
      <c r="F565" s="447"/>
      <c r="I565" s="491"/>
    </row>
    <row r="566" spans="1:9">
      <c r="A566" s="485"/>
      <c r="B566" s="486" t="s">
        <v>2730</v>
      </c>
      <c r="C566" s="488"/>
      <c r="D566" s="1282" t="s">
        <v>1086</v>
      </c>
      <c r="E566" s="1282"/>
      <c r="F566" s="1282"/>
      <c r="I566" s="491"/>
    </row>
    <row r="567" spans="1:9">
      <c r="A567" s="488"/>
      <c r="B567" s="488"/>
      <c r="C567" s="488"/>
      <c r="D567" s="1282"/>
      <c r="E567" s="1282"/>
      <c r="F567" s="1282"/>
      <c r="I567" s="491"/>
    </row>
    <row r="568" spans="1:9">
      <c r="A568" s="488"/>
      <c r="B568" s="488"/>
      <c r="C568" s="488"/>
      <c r="D568" s="447"/>
      <c r="E568" s="447"/>
      <c r="F568" s="447"/>
      <c r="I568" s="491"/>
    </row>
    <row r="569" spans="1:9">
      <c r="A569" s="485"/>
      <c r="B569" s="486" t="s">
        <v>2730</v>
      </c>
      <c r="C569" s="488"/>
      <c r="D569" s="1283" t="s">
        <v>1087</v>
      </c>
      <c r="E569" s="1283"/>
      <c r="F569" s="1283"/>
      <c r="I569" s="491"/>
    </row>
    <row r="570" spans="1:9">
      <c r="A570" s="491"/>
      <c r="B570" s="491"/>
      <c r="C570" s="488"/>
      <c r="D570" s="1283" t="s">
        <v>1907</v>
      </c>
      <c r="E570" s="1283"/>
      <c r="F570" s="1283"/>
      <c r="I570" s="491"/>
    </row>
    <row r="571" spans="1:9">
      <c r="A571" s="491"/>
      <c r="B571" s="491"/>
      <c r="C571" s="488"/>
      <c r="E571" s="96" t="s">
        <v>1906</v>
      </c>
      <c r="F571" s="405"/>
      <c r="I571" s="491"/>
    </row>
    <row r="572" spans="1:9">
      <c r="A572" s="485"/>
      <c r="B572" s="485"/>
      <c r="C572" s="488"/>
      <c r="E572" s="447"/>
      <c r="F572" s="447"/>
      <c r="I572" s="491"/>
    </row>
    <row r="573" spans="1:9">
      <c r="A573" s="485"/>
      <c r="B573" s="486" t="s">
        <v>2730</v>
      </c>
      <c r="C573" s="488"/>
      <c r="D573" s="1283" t="s">
        <v>1088</v>
      </c>
      <c r="E573" s="1283"/>
      <c r="F573" s="1283"/>
      <c r="I573" s="491"/>
    </row>
    <row r="574" spans="1:9">
      <c r="C574" s="488"/>
      <c r="D574" s="1282" t="s">
        <v>1089</v>
      </c>
      <c r="E574" s="1282"/>
      <c r="F574" s="1282"/>
      <c r="I574" s="491"/>
    </row>
    <row r="575" spans="1:9">
      <c r="A575" s="488"/>
      <c r="B575" s="488"/>
      <c r="C575" s="488"/>
      <c r="D575" s="1282"/>
      <c r="E575" s="1282"/>
      <c r="F575" s="1282"/>
      <c r="I575" s="491"/>
    </row>
    <row r="576" spans="1:9">
      <c r="A576" s="488"/>
      <c r="B576" s="488"/>
      <c r="C576" s="488"/>
      <c r="D576" s="1282"/>
      <c r="E576" s="1282"/>
      <c r="F576" s="1282"/>
      <c r="I576" s="491"/>
    </row>
    <row r="577" spans="1:9">
      <c r="A577" s="488"/>
      <c r="B577" s="488"/>
      <c r="C577" s="488"/>
      <c r="D577" s="447"/>
      <c r="E577" s="447"/>
      <c r="F577" s="447"/>
      <c r="I577" s="491"/>
    </row>
    <row r="578" spans="1:9">
      <c r="A578" s="485"/>
      <c r="B578" s="486" t="s">
        <v>2730</v>
      </c>
      <c r="C578" s="488"/>
      <c r="D578" s="1282" t="s">
        <v>2064</v>
      </c>
      <c r="E578" s="1282"/>
      <c r="F578" s="1282"/>
      <c r="I578" s="491"/>
    </row>
    <row r="579" spans="1:9">
      <c r="A579" s="485"/>
      <c r="B579" s="485"/>
      <c r="C579" s="488"/>
      <c r="D579" s="1282"/>
      <c r="E579" s="1282"/>
      <c r="F579" s="1282"/>
      <c r="I579" s="491"/>
    </row>
    <row r="580" spans="1:9">
      <c r="A580" s="485"/>
      <c r="B580" s="485"/>
      <c r="C580" s="488"/>
      <c r="D580" s="1282"/>
      <c r="E580" s="1282"/>
      <c r="F580" s="1282"/>
      <c r="I580" s="491"/>
    </row>
    <row r="581" spans="1:9">
      <c r="A581" s="485"/>
      <c r="B581" s="485"/>
      <c r="C581" s="488"/>
      <c r="D581" s="1282"/>
      <c r="E581" s="1282"/>
      <c r="F581" s="1282"/>
      <c r="I581" s="491"/>
    </row>
    <row r="582" spans="1:9">
      <c r="A582" s="485"/>
      <c r="B582" s="485"/>
      <c r="C582" s="488"/>
      <c r="D582" s="447"/>
      <c r="E582" s="447"/>
      <c r="F582" s="447"/>
      <c r="I582" s="491"/>
    </row>
    <row r="583" spans="1:9">
      <c r="A583" s="1285" t="s">
        <v>1054</v>
      </c>
      <c r="B583" s="1285"/>
      <c r="C583" s="1285"/>
      <c r="D583" s="1285"/>
      <c r="E583" s="1285"/>
      <c r="F583" s="1285"/>
      <c r="G583" s="1285"/>
      <c r="H583" s="1029"/>
      <c r="I583" s="1155"/>
    </row>
    <row r="584" spans="1:9">
      <c r="A584" s="488"/>
      <c r="B584" s="488"/>
      <c r="C584" s="488"/>
      <c r="E584" s="447"/>
      <c r="F584" s="447"/>
      <c r="I584" s="491"/>
    </row>
    <row r="585" spans="1:9" ht="12.75" customHeight="1">
      <c r="C585" s="483"/>
      <c r="D585" s="1284" t="s">
        <v>210</v>
      </c>
      <c r="E585" s="1284"/>
      <c r="F585" s="1284"/>
      <c r="I585" s="491"/>
    </row>
    <row r="586" spans="1:9">
      <c r="A586" s="484"/>
      <c r="B586" s="484"/>
      <c r="C586" s="484"/>
      <c r="D586" s="1286" t="s">
        <v>1067</v>
      </c>
      <c r="E586" s="1286"/>
      <c r="F586" s="1286"/>
      <c r="I586" s="491"/>
    </row>
    <row r="587" spans="1:9">
      <c r="A587" s="403"/>
      <c r="B587" s="403"/>
      <c r="C587" s="484"/>
      <c r="D587" s="500"/>
      <c r="I587" s="491"/>
    </row>
    <row r="588" spans="1:9">
      <c r="A588" s="484"/>
      <c r="B588" s="486" t="s">
        <v>2730</v>
      </c>
      <c r="D588" s="1286" t="s">
        <v>888</v>
      </c>
      <c r="E588" s="1286"/>
      <c r="F588" s="1286"/>
      <c r="I588" s="491"/>
    </row>
    <row r="589" spans="1:9">
      <c r="A589" s="491"/>
      <c r="B589" s="491"/>
      <c r="D589" s="477"/>
      <c r="I589" s="491"/>
    </row>
    <row r="590" spans="1:9">
      <c r="A590" s="491"/>
      <c r="B590" s="486" t="s">
        <v>2731</v>
      </c>
      <c r="D590" s="1286" t="s">
        <v>2065</v>
      </c>
      <c r="E590" s="1286"/>
      <c r="F590" s="1286"/>
      <c r="I590" s="491"/>
    </row>
    <row r="591" spans="1:9">
      <c r="A591" s="491"/>
      <c r="B591" s="491"/>
      <c r="D591" s="1286"/>
      <c r="E591" s="1286"/>
      <c r="F591" s="1286"/>
      <c r="I591" s="491"/>
    </row>
    <row r="592" spans="1:9">
      <c r="A592" s="491"/>
      <c r="B592" s="491"/>
      <c r="D592" s="1286"/>
      <c r="E592" s="1286"/>
      <c r="F592" s="1286"/>
      <c r="I592" s="491"/>
    </row>
    <row r="593" spans="1:9">
      <c r="A593" s="491"/>
      <c r="B593" s="491"/>
      <c r="D593" s="1286"/>
      <c r="E593" s="1286"/>
      <c r="F593" s="1286"/>
      <c r="I593" s="491"/>
    </row>
    <row r="594" spans="1:9">
      <c r="A594" s="491"/>
      <c r="B594" s="486" t="s">
        <v>2731</v>
      </c>
      <c r="D594" s="1286" t="s">
        <v>1068</v>
      </c>
      <c r="E594" s="1286"/>
      <c r="F594" s="1286"/>
      <c r="I594" s="491"/>
    </row>
    <row r="595" spans="1:9">
      <c r="A595" s="491"/>
      <c r="B595" s="491"/>
      <c r="D595" s="1286"/>
      <c r="E595" s="1286"/>
      <c r="F595" s="1286"/>
      <c r="I595" s="491"/>
    </row>
    <row r="596" spans="1:9">
      <c r="A596" s="491"/>
      <c r="B596" s="491"/>
      <c r="D596" s="1286"/>
      <c r="E596" s="1286"/>
      <c r="F596" s="1286"/>
      <c r="I596" s="491"/>
    </row>
    <row r="597" spans="1:9">
      <c r="A597" s="491"/>
      <c r="B597" s="491"/>
      <c r="D597" s="1286"/>
      <c r="E597" s="1286"/>
      <c r="F597" s="1286"/>
      <c r="I597" s="491"/>
    </row>
    <row r="598" spans="1:9">
      <c r="A598" s="491"/>
      <c r="B598" s="491"/>
      <c r="D598" s="441"/>
      <c r="E598" s="441"/>
      <c r="F598" s="441"/>
      <c r="I598" s="491"/>
    </row>
    <row r="599" spans="1:9">
      <c r="A599" s="491"/>
      <c r="B599" s="486" t="s">
        <v>2731</v>
      </c>
      <c r="D599" s="1286" t="s">
        <v>2066</v>
      </c>
      <c r="E599" s="1286"/>
      <c r="F599" s="1286"/>
      <c r="I599" s="491"/>
    </row>
    <row r="600" spans="1:9">
      <c r="A600" s="491"/>
      <c r="B600" s="491"/>
      <c r="D600" s="1286"/>
      <c r="E600" s="1286"/>
      <c r="F600" s="1286"/>
      <c r="I600" s="491"/>
    </row>
    <row r="601" spans="1:9">
      <c r="A601" s="491"/>
      <c r="B601" s="491"/>
      <c r="D601" s="500"/>
      <c r="I601" s="491"/>
    </row>
    <row r="602" spans="1:9">
      <c r="A602" s="491"/>
      <c r="B602" s="486" t="s">
        <v>2731</v>
      </c>
      <c r="D602" s="1286" t="s">
        <v>1069</v>
      </c>
      <c r="E602" s="1286"/>
      <c r="F602" s="1286"/>
      <c r="I602" s="491"/>
    </row>
    <row r="603" spans="1:9">
      <c r="A603" s="491"/>
      <c r="B603" s="491"/>
      <c r="D603" s="1286"/>
      <c r="E603" s="1286"/>
      <c r="F603" s="1286"/>
      <c r="I603" s="491"/>
    </row>
    <row r="604" spans="1:9">
      <c r="A604" s="485"/>
      <c r="B604" s="485"/>
      <c r="D604" s="500"/>
      <c r="I604" s="491"/>
    </row>
    <row r="605" spans="1:9">
      <c r="A605" s="1285" t="s">
        <v>1055</v>
      </c>
      <c r="B605" s="1285"/>
      <c r="C605" s="1285"/>
      <c r="D605" s="1285"/>
      <c r="E605" s="1285"/>
      <c r="F605" s="1285"/>
      <c r="G605" s="1285"/>
      <c r="H605" s="1029"/>
      <c r="I605" s="1155"/>
    </row>
    <row r="606" spans="1:9">
      <c r="I606" s="491"/>
    </row>
    <row r="607" spans="1:9">
      <c r="D607" s="1290" t="s">
        <v>1107</v>
      </c>
      <c r="E607" s="1290"/>
      <c r="F607" s="1290"/>
      <c r="I607" s="491"/>
    </row>
    <row r="608" spans="1:9">
      <c r="D608" s="1291" t="s">
        <v>1108</v>
      </c>
      <c r="E608" s="1291"/>
      <c r="F608" s="1291"/>
      <c r="I608" s="491"/>
    </row>
    <row r="609" spans="1:9">
      <c r="D609" s="445"/>
      <c r="I609" s="491"/>
    </row>
    <row r="610" spans="1:9" ht="14.25" customHeight="1">
      <c r="A610" s="485"/>
      <c r="B610" s="486" t="s">
        <v>2730</v>
      </c>
      <c r="D610" s="1311" t="s">
        <v>1908</v>
      </c>
      <c r="E610" s="1311"/>
      <c r="F610" s="1311"/>
      <c r="I610" s="491"/>
    </row>
    <row r="611" spans="1:9">
      <c r="D611" s="1311"/>
      <c r="E611" s="1311"/>
      <c r="F611" s="1311"/>
      <c r="I611" s="491"/>
    </row>
    <row r="612" spans="1:9">
      <c r="D612" s="386"/>
      <c r="E612" s="1037" t="s">
        <v>1909</v>
      </c>
      <c r="F612" s="386"/>
      <c r="I612" s="491"/>
    </row>
    <row r="613" spans="1:9">
      <c r="I613" s="491"/>
    </row>
    <row r="614" spans="1:9">
      <c r="A614" s="1285" t="s">
        <v>1056</v>
      </c>
      <c r="B614" s="1285"/>
      <c r="C614" s="1285"/>
      <c r="D614" s="1285"/>
      <c r="E614" s="1285"/>
      <c r="F614" s="1285"/>
      <c r="G614" s="1285"/>
      <c r="H614" s="1029"/>
      <c r="I614" s="1155"/>
    </row>
    <row r="615" spans="1:9">
      <c r="A615" s="447"/>
      <c r="B615" s="447"/>
      <c r="I615" s="491"/>
    </row>
    <row r="616" spans="1:9">
      <c r="A616" s="483"/>
      <c r="B616" s="483"/>
      <c r="C616" s="483"/>
      <c r="D616" s="1319" t="s">
        <v>1109</v>
      </c>
      <c r="E616" s="1319"/>
      <c r="F616" s="1319"/>
      <c r="I616" s="491"/>
    </row>
    <row r="617" spans="1:9">
      <c r="A617" s="483"/>
      <c r="B617" s="483"/>
      <c r="C617" s="483"/>
      <c r="D617" s="1319"/>
      <c r="E617" s="1319"/>
      <c r="F617" s="1319"/>
      <c r="I617" s="491"/>
    </row>
    <row r="618" spans="1:9">
      <c r="C618" s="484"/>
      <c r="D618" s="1291" t="s">
        <v>1110</v>
      </c>
      <c r="E618" s="1291"/>
      <c r="F618" s="1291"/>
      <c r="I618" s="491"/>
    </row>
    <row r="619" spans="1:9">
      <c r="C619" s="484"/>
      <c r="D619" s="445"/>
      <c r="E619" s="445"/>
      <c r="F619" s="445"/>
      <c r="I619" s="491"/>
    </row>
    <row r="620" spans="1:9" ht="12.75" customHeight="1">
      <c r="A620" s="491"/>
      <c r="B620" s="486" t="s">
        <v>2730</v>
      </c>
      <c r="D620" s="1307" t="s">
        <v>1111</v>
      </c>
      <c r="E620" s="1307"/>
      <c r="F620" s="1307"/>
      <c r="I620" s="491"/>
    </row>
    <row r="621" spans="1:9">
      <c r="D621" s="1307"/>
      <c r="E621" s="1307"/>
      <c r="F621" s="1307"/>
      <c r="I621" s="491"/>
    </row>
    <row r="622" spans="1:9">
      <c r="I622" s="491"/>
    </row>
    <row r="623" spans="1:9">
      <c r="B623" s="486" t="s">
        <v>2730</v>
      </c>
      <c r="D623" s="1307" t="s">
        <v>1112</v>
      </c>
      <c r="E623" s="1307"/>
      <c r="F623" s="1307"/>
      <c r="I623" s="491"/>
    </row>
    <row r="624" spans="1:9">
      <c r="C624" s="501"/>
      <c r="D624" s="1307"/>
      <c r="E624" s="1307"/>
      <c r="F624" s="1307"/>
      <c r="I624" s="491"/>
    </row>
    <row r="625" spans="1:9">
      <c r="C625" s="501"/>
      <c r="I625" s="491"/>
    </row>
    <row r="626" spans="1:9">
      <c r="B626" s="486" t="s">
        <v>2730</v>
      </c>
      <c r="C626" s="501"/>
      <c r="D626" s="1307" t="s">
        <v>1113</v>
      </c>
      <c r="E626" s="1307"/>
      <c r="F626" s="1307"/>
      <c r="I626" s="491"/>
    </row>
    <row r="627" spans="1:9">
      <c r="C627" s="501"/>
      <c r="D627" s="1307"/>
      <c r="E627" s="1307"/>
      <c r="F627" s="1307"/>
      <c r="I627" s="501"/>
    </row>
    <row r="628" spans="1:9">
      <c r="C628" s="501"/>
      <c r="I628" s="491"/>
    </row>
    <row r="629" spans="1:9">
      <c r="A629" s="1285" t="s">
        <v>1057</v>
      </c>
      <c r="B629" s="1285"/>
      <c r="C629" s="1285"/>
      <c r="D629" s="1285"/>
      <c r="E629" s="1285"/>
      <c r="F629" s="1285"/>
      <c r="G629" s="1285"/>
      <c r="H629" s="1029"/>
      <c r="I629" s="1155"/>
    </row>
    <row r="630" spans="1:9">
      <c r="A630" s="483"/>
      <c r="B630" s="483"/>
      <c r="C630" s="483"/>
      <c r="I630" s="491"/>
    </row>
    <row r="631" spans="1:9">
      <c r="C631" s="491"/>
      <c r="D631" s="1290" t="s">
        <v>1114</v>
      </c>
      <c r="E631" s="1290"/>
      <c r="F631" s="1290"/>
      <c r="I631" s="491"/>
    </row>
    <row r="632" spans="1:9">
      <c r="A632" s="491"/>
      <c r="B632" s="491"/>
      <c r="D632" s="405"/>
      <c r="I632" s="491"/>
    </row>
    <row r="633" spans="1:9" ht="14.25" customHeight="1">
      <c r="A633" s="485"/>
      <c r="B633" s="486" t="s">
        <v>2730</v>
      </c>
      <c r="D633" s="1311" t="s">
        <v>2067</v>
      </c>
      <c r="E633" s="1311"/>
      <c r="F633" s="1311"/>
      <c r="I633" s="491"/>
    </row>
    <row r="634" spans="1:9">
      <c r="D634" s="1311"/>
      <c r="E634" s="1311"/>
      <c r="F634" s="1311"/>
      <c r="I634" s="491"/>
    </row>
    <row r="635" spans="1:9">
      <c r="D635" s="386"/>
      <c r="E635" s="1037" t="s">
        <v>1911</v>
      </c>
      <c r="F635" s="386"/>
      <c r="I635" s="491"/>
    </row>
    <row r="636" spans="1:9">
      <c r="D636" s="1282" t="s">
        <v>1910</v>
      </c>
      <c r="E636" s="1282"/>
      <c r="F636" s="1282"/>
      <c r="I636" s="491"/>
    </row>
    <row r="637" spans="1:9">
      <c r="D637" s="1282"/>
      <c r="E637" s="1282"/>
      <c r="F637" s="1282"/>
      <c r="I637" s="491"/>
    </row>
    <row r="638" spans="1:9">
      <c r="D638" s="1282"/>
      <c r="E638" s="1282"/>
      <c r="F638" s="1282"/>
      <c r="I638" s="491"/>
    </row>
    <row r="639" spans="1:9">
      <c r="D639" s="446"/>
      <c r="E639" s="446"/>
      <c r="F639" s="446"/>
      <c r="I639" s="491"/>
    </row>
    <row r="640" spans="1:9">
      <c r="A640" s="485"/>
      <c r="B640" s="486" t="s">
        <v>2731</v>
      </c>
      <c r="D640" s="1282" t="s">
        <v>1115</v>
      </c>
      <c r="E640" s="1282"/>
      <c r="F640" s="1282"/>
      <c r="I640" s="491"/>
    </row>
    <row r="641" spans="1:9">
      <c r="A641" s="488"/>
      <c r="B641" s="488"/>
      <c r="C641" s="488"/>
      <c r="D641" s="1282"/>
      <c r="E641" s="1282"/>
      <c r="F641" s="1282"/>
      <c r="I641" s="491"/>
    </row>
    <row r="642" spans="1:9">
      <c r="A642" s="488"/>
      <c r="B642" s="488"/>
      <c r="C642" s="488"/>
      <c r="D642" s="447"/>
      <c r="E642" s="447"/>
      <c r="F642" s="447"/>
      <c r="I642" s="491"/>
    </row>
    <row r="643" spans="1:9">
      <c r="A643" s="485"/>
      <c r="B643" s="486" t="s">
        <v>2731</v>
      </c>
      <c r="C643" s="488"/>
      <c r="D643" s="1282" t="s">
        <v>1225</v>
      </c>
      <c r="E643" s="1282"/>
      <c r="F643" s="1282"/>
      <c r="I643" s="491"/>
    </row>
    <row r="644" spans="1:9">
      <c r="A644" s="485"/>
      <c r="B644" s="485"/>
      <c r="C644" s="488"/>
      <c r="D644" s="1282"/>
      <c r="E644" s="1282"/>
      <c r="F644" s="1282"/>
      <c r="I644" s="491"/>
    </row>
    <row r="645" spans="1:9">
      <c r="A645" s="485"/>
      <c r="B645" s="485"/>
      <c r="C645" s="488"/>
      <c r="D645" s="1282"/>
      <c r="E645" s="1282"/>
      <c r="F645" s="1282"/>
      <c r="I645" s="491"/>
    </row>
    <row r="646" spans="1:9">
      <c r="A646" s="488"/>
      <c r="B646" s="486" t="s">
        <v>2731</v>
      </c>
      <c r="C646" s="488"/>
      <c r="D646" s="1283" t="s">
        <v>1116</v>
      </c>
      <c r="E646" s="1283"/>
      <c r="F646" s="1283"/>
      <c r="I646" s="491"/>
    </row>
    <row r="647" spans="1:9">
      <c r="A647" s="488"/>
      <c r="B647" s="488"/>
      <c r="C647" s="488"/>
      <c r="D647" s="447"/>
      <c r="E647" s="447"/>
      <c r="F647" s="447"/>
      <c r="I647" s="491"/>
    </row>
    <row r="648" spans="1:9">
      <c r="A648" s="1285" t="s">
        <v>1058</v>
      </c>
      <c r="B648" s="1285"/>
      <c r="C648" s="1285"/>
      <c r="D648" s="1285"/>
      <c r="E648" s="1285"/>
      <c r="F648" s="1285"/>
      <c r="G648" s="1285"/>
      <c r="H648" s="1029"/>
      <c r="I648" s="1155"/>
    </row>
    <row r="649" spans="1:9">
      <c r="A649" s="447"/>
      <c r="B649" s="447"/>
      <c r="C649" s="488"/>
      <c r="D649" s="447"/>
      <c r="E649" s="447"/>
      <c r="F649" s="447"/>
      <c r="I649" s="491"/>
    </row>
    <row r="650" spans="1:9">
      <c r="C650" s="483"/>
      <c r="D650" s="1290" t="s">
        <v>1146</v>
      </c>
      <c r="E650" s="1290"/>
      <c r="F650" s="1290"/>
      <c r="I650" s="491"/>
    </row>
    <row r="651" spans="1:9">
      <c r="A651" s="484"/>
      <c r="B651" s="484"/>
      <c r="C651" s="484"/>
      <c r="D651" s="1283" t="s">
        <v>1147</v>
      </c>
      <c r="E651" s="1283"/>
      <c r="F651" s="1283"/>
      <c r="I651" s="491"/>
    </row>
    <row r="652" spans="1:9">
      <c r="A652" s="484"/>
      <c r="B652" s="484"/>
      <c r="C652" s="484"/>
      <c r="D652" s="447"/>
      <c r="E652" s="447"/>
      <c r="F652" s="447"/>
      <c r="I652" s="491"/>
    </row>
    <row r="653" spans="1:9" ht="12.75" customHeight="1">
      <c r="B653" s="486" t="s">
        <v>2731</v>
      </c>
      <c r="C653" s="488"/>
      <c r="D653" s="1282" t="s">
        <v>1281</v>
      </c>
      <c r="E653" s="1282"/>
      <c r="F653" s="1282"/>
      <c r="I653" s="491"/>
    </row>
    <row r="654" spans="1:9">
      <c r="D654" s="1282"/>
      <c r="E654" s="1282"/>
      <c r="F654" s="1282"/>
      <c r="I654" s="491"/>
    </row>
    <row r="655" spans="1:9">
      <c r="D655" s="1282"/>
      <c r="E655" s="1282"/>
      <c r="F655" s="1282"/>
      <c r="I655" s="491"/>
    </row>
    <row r="656" spans="1:9">
      <c r="D656" s="1282"/>
      <c r="E656" s="1282"/>
      <c r="F656" s="1282"/>
      <c r="I656" s="491"/>
    </row>
    <row r="657" spans="1:9" ht="14.5" customHeight="1">
      <c r="A657" s="485"/>
      <c r="B657" s="485"/>
      <c r="C657" s="488"/>
      <c r="D657" s="386"/>
      <c r="E657" s="386"/>
      <c r="F657" s="386"/>
      <c r="I657" s="491"/>
    </row>
    <row r="658" spans="1:9" ht="12.75" customHeight="1">
      <c r="A658" s="484"/>
      <c r="B658" s="486" t="s">
        <v>2731</v>
      </c>
      <c r="C658" s="488"/>
      <c r="D658" s="1282" t="s">
        <v>1283</v>
      </c>
      <c r="E658" s="1282"/>
      <c r="F658" s="1282"/>
      <c r="I658" s="491"/>
    </row>
    <row r="659" spans="1:9">
      <c r="A659" s="484"/>
      <c r="B659" s="485"/>
      <c r="C659" s="488"/>
      <c r="D659" s="1282"/>
      <c r="E659" s="1282"/>
      <c r="F659" s="1282"/>
      <c r="I659" s="491"/>
    </row>
    <row r="660" spans="1:9">
      <c r="A660" s="484"/>
      <c r="B660" s="485"/>
      <c r="C660" s="488"/>
      <c r="D660" s="1282"/>
      <c r="E660" s="1282"/>
      <c r="F660" s="1282"/>
      <c r="I660" s="491"/>
    </row>
    <row r="661" spans="1:9">
      <c r="A661" s="484"/>
      <c r="B661" s="485"/>
      <c r="C661" s="488"/>
      <c r="D661" s="1282"/>
      <c r="E661" s="1282"/>
      <c r="F661" s="1282"/>
      <c r="I661" s="491"/>
    </row>
    <row r="662" spans="1:9">
      <c r="A662" s="484"/>
      <c r="B662" s="485"/>
      <c r="C662" s="488"/>
      <c r="D662" s="1282"/>
      <c r="E662" s="1282"/>
      <c r="F662" s="1282"/>
      <c r="I662" s="491"/>
    </row>
    <row r="663" spans="1:9" ht="14.25" customHeight="1">
      <c r="A663" s="484"/>
      <c r="B663" s="485"/>
      <c r="C663" s="488"/>
      <c r="F663" s="387"/>
      <c r="I663" s="491"/>
    </row>
    <row r="664" spans="1:9" ht="12.75" customHeight="1">
      <c r="A664" s="484"/>
      <c r="B664" s="486" t="s">
        <v>2731</v>
      </c>
      <c r="C664" s="488"/>
      <c r="D664" s="1282" t="s">
        <v>1282</v>
      </c>
      <c r="E664" s="1282"/>
      <c r="F664" s="1282"/>
      <c r="I664" s="491"/>
    </row>
    <row r="665" spans="1:9">
      <c r="A665" s="484"/>
      <c r="B665" s="485"/>
      <c r="C665" s="488"/>
      <c r="D665" s="1282"/>
      <c r="E665" s="1282"/>
      <c r="F665" s="1282"/>
      <c r="I665" s="491"/>
    </row>
    <row r="666" spans="1:9">
      <c r="A666" s="485"/>
      <c r="B666" s="485"/>
      <c r="C666" s="488"/>
      <c r="D666" s="1282"/>
      <c r="E666" s="1282"/>
      <c r="F666" s="1282"/>
      <c r="I666" s="491"/>
    </row>
    <row r="667" spans="1:9">
      <c r="A667" s="485"/>
      <c r="B667" s="485"/>
      <c r="C667" s="488"/>
      <c r="D667" s="1282"/>
      <c r="E667" s="1282"/>
      <c r="F667" s="1282"/>
      <c r="I667" s="491"/>
    </row>
    <row r="668" spans="1:9">
      <c r="A668" s="485"/>
      <c r="B668" s="485"/>
      <c r="C668" s="488"/>
      <c r="D668" s="446"/>
      <c r="E668" s="446"/>
      <c r="F668" s="446"/>
      <c r="I668" s="491"/>
    </row>
    <row r="669" spans="1:9" ht="12.75" customHeight="1">
      <c r="A669" s="484"/>
      <c r="B669" s="486" t="s">
        <v>2731</v>
      </c>
      <c r="C669" s="488"/>
      <c r="D669" s="1282" t="s">
        <v>2068</v>
      </c>
      <c r="E669" s="1282"/>
      <c r="F669" s="1282"/>
      <c r="I669" s="491"/>
    </row>
    <row r="670" spans="1:9" ht="12.75" customHeight="1">
      <c r="A670" s="484"/>
      <c r="B670" s="485"/>
      <c r="C670" s="488"/>
      <c r="D670" s="1282"/>
      <c r="E670" s="1282"/>
      <c r="F670" s="1282"/>
      <c r="I670" s="491"/>
    </row>
    <row r="671" spans="1:9" ht="12.75" customHeight="1">
      <c r="A671" s="484"/>
      <c r="B671" s="485"/>
      <c r="C671" s="488"/>
      <c r="D671" s="1282"/>
      <c r="E671" s="1282"/>
      <c r="F671" s="1282"/>
      <c r="I671" s="491"/>
    </row>
    <row r="672" spans="1:9" ht="12.75" customHeight="1">
      <c r="A672" s="484"/>
      <c r="B672" s="485"/>
      <c r="C672" s="488"/>
      <c r="D672" s="1282"/>
      <c r="E672" s="1282"/>
      <c r="F672" s="1282"/>
      <c r="I672" s="491"/>
    </row>
    <row r="673" spans="1:11" ht="12.75" customHeight="1">
      <c r="A673" s="484"/>
      <c r="B673" s="485"/>
      <c r="C673" s="488"/>
      <c r="D673" s="1282"/>
      <c r="E673" s="1282"/>
      <c r="F673" s="1282"/>
      <c r="I673" s="491"/>
    </row>
    <row r="674" spans="1:11" ht="12.75" customHeight="1">
      <c r="A674" s="484"/>
      <c r="B674" s="485"/>
      <c r="C674" s="488"/>
      <c r="D674" s="1282"/>
      <c r="E674" s="1282"/>
      <c r="F674" s="1282"/>
      <c r="I674" s="491"/>
    </row>
    <row r="675" spans="1:11" ht="12.75" customHeight="1">
      <c r="A675" s="484"/>
      <c r="B675" s="485"/>
      <c r="C675" s="488"/>
      <c r="D675" s="1282"/>
      <c r="E675" s="1282"/>
      <c r="F675" s="1282"/>
      <c r="I675" s="491"/>
    </row>
    <row r="676" spans="1:11" ht="12.75" customHeight="1">
      <c r="A676" s="484"/>
      <c r="B676" s="485"/>
      <c r="C676" s="488"/>
      <c r="D676" s="1282"/>
      <c r="E676" s="1282"/>
      <c r="F676" s="1282"/>
      <c r="I676" s="491"/>
    </row>
    <row r="677" spans="1:11" ht="12.75" customHeight="1">
      <c r="A677" s="484"/>
      <c r="B677" s="485"/>
      <c r="C677" s="488"/>
      <c r="D677" s="1282"/>
      <c r="E677" s="1282"/>
      <c r="F677" s="1282"/>
      <c r="I677" s="491"/>
    </row>
    <row r="678" spans="1:11">
      <c r="A678" s="488"/>
      <c r="B678" s="488"/>
      <c r="C678" s="488"/>
      <c r="D678" s="447"/>
      <c r="E678" s="447"/>
      <c r="F678" s="447"/>
      <c r="I678" s="491"/>
    </row>
    <row r="679" spans="1:11">
      <c r="A679" s="1285" t="s">
        <v>1059</v>
      </c>
      <c r="B679" s="1285"/>
      <c r="C679" s="1285"/>
      <c r="D679" s="1285"/>
      <c r="E679" s="1285"/>
      <c r="F679" s="1285"/>
      <c r="G679" s="1285"/>
      <c r="H679" s="1031"/>
      <c r="I679" s="1159"/>
      <c r="J679" s="502"/>
      <c r="K679" s="502"/>
    </row>
    <row r="680" spans="1:11">
      <c r="A680" s="449"/>
      <c r="B680" s="449"/>
      <c r="C680" s="449"/>
      <c r="D680" s="449"/>
      <c r="E680" s="449"/>
      <c r="F680" s="449"/>
      <c r="G680" s="449"/>
      <c r="H680" s="502"/>
      <c r="I680" s="484"/>
      <c r="J680" s="502"/>
      <c r="K680" s="502"/>
    </row>
    <row r="681" spans="1:11">
      <c r="C681" s="483"/>
      <c r="D681" s="1290" t="s">
        <v>99</v>
      </c>
      <c r="E681" s="1290"/>
      <c r="F681" s="1290"/>
      <c r="H681" s="502"/>
      <c r="I681" s="484"/>
      <c r="J681" s="502"/>
      <c r="K681" s="502"/>
    </row>
    <row r="682" spans="1:11">
      <c r="A682" s="483"/>
      <c r="B682" s="483"/>
      <c r="C682" s="483"/>
      <c r="D682" s="1290" t="s">
        <v>123</v>
      </c>
      <c r="E682" s="1290"/>
      <c r="F682" s="1290"/>
      <c r="H682" s="502"/>
      <c r="I682" s="484"/>
      <c r="J682" s="502"/>
      <c r="K682" s="502"/>
    </row>
    <row r="683" spans="1:11">
      <c r="A683" s="484"/>
      <c r="B683" s="484"/>
      <c r="C683" s="484"/>
      <c r="D683" s="1283" t="s">
        <v>1076</v>
      </c>
      <c r="E683" s="1283"/>
      <c r="F683" s="1283"/>
      <c r="H683" s="502"/>
      <c r="I683" s="484"/>
      <c r="J683" s="502"/>
      <c r="K683" s="502"/>
    </row>
    <row r="684" spans="1:11">
      <c r="A684" s="484"/>
      <c r="B684" s="484"/>
      <c r="C684" s="484"/>
      <c r="H684" s="502"/>
      <c r="I684" s="484"/>
      <c r="J684" s="502"/>
      <c r="K684" s="502"/>
    </row>
    <row r="685" spans="1:11">
      <c r="A685" s="485"/>
      <c r="B685" s="486" t="s">
        <v>2730</v>
      </c>
      <c r="C685" s="484"/>
      <c r="D685" s="1283" t="s">
        <v>885</v>
      </c>
      <c r="E685" s="1283"/>
      <c r="F685" s="1283"/>
      <c r="H685" s="502"/>
      <c r="I685" s="484"/>
      <c r="J685" s="502"/>
      <c r="K685" s="502"/>
    </row>
    <row r="686" spans="1:11">
      <c r="A686" s="484"/>
      <c r="B686" s="484"/>
      <c r="C686" s="484"/>
      <c r="D686" s="1283" t="s">
        <v>894</v>
      </c>
      <c r="E686" s="1283"/>
      <c r="F686" s="1283"/>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c r="A690" s="485"/>
      <c r="B690" s="486" t="s">
        <v>2731</v>
      </c>
      <c r="C690" s="484"/>
      <c r="D690" s="1282" t="s">
        <v>2069</v>
      </c>
      <c r="E690" s="1282"/>
      <c r="F690" s="1282"/>
      <c r="H690" s="502"/>
      <c r="I690" s="484"/>
      <c r="J690" s="502"/>
      <c r="K690" s="502"/>
    </row>
    <row r="691" spans="1:11">
      <c r="A691" s="491"/>
      <c r="B691" s="491"/>
      <c r="C691" s="484"/>
      <c r="D691" s="1282"/>
      <c r="E691" s="1282"/>
      <c r="F691" s="1282"/>
      <c r="H691" s="502"/>
      <c r="I691" s="484"/>
      <c r="J691" s="502"/>
      <c r="K691" s="502"/>
    </row>
    <row r="692" spans="1:11">
      <c r="A692" s="484"/>
      <c r="B692" s="484"/>
      <c r="C692" s="484"/>
      <c r="D692" s="1282"/>
      <c r="E692" s="1282"/>
      <c r="F692" s="1282"/>
      <c r="H692" s="502"/>
      <c r="I692" s="484"/>
      <c r="J692" s="502"/>
      <c r="K692" s="502"/>
    </row>
    <row r="693" spans="1:11">
      <c r="A693" s="484"/>
      <c r="B693" s="484"/>
      <c r="C693" s="484"/>
      <c r="H693" s="502"/>
      <c r="J693" s="502"/>
      <c r="K693" s="502"/>
    </row>
    <row r="694" spans="1:11">
      <c r="A694" s="485"/>
      <c r="B694" s="486" t="s">
        <v>2730</v>
      </c>
      <c r="C694" s="484"/>
      <c r="D694" s="1283" t="s">
        <v>917</v>
      </c>
      <c r="E694" s="1283"/>
      <c r="F694" s="1283"/>
      <c r="H694" s="502"/>
      <c r="I694" s="484"/>
      <c r="J694" s="502"/>
      <c r="K694" s="502"/>
    </row>
    <row r="695" spans="1:11">
      <c r="A695" s="485"/>
      <c r="B695" s="485"/>
      <c r="C695" s="484"/>
      <c r="D695" s="1283" t="s">
        <v>894</v>
      </c>
      <c r="E695" s="1283"/>
      <c r="F695" s="1283"/>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c r="A698" s="485"/>
      <c r="B698" s="486" t="s">
        <v>2731</v>
      </c>
      <c r="C698" s="484"/>
      <c r="D698" s="1283" t="s">
        <v>2472</v>
      </c>
      <c r="E698" s="1283"/>
      <c r="F698" s="1283"/>
      <c r="H698" s="502"/>
      <c r="I698" s="484"/>
      <c r="J698" s="502"/>
      <c r="K698" s="502"/>
    </row>
    <row r="699" spans="1:11">
      <c r="A699" s="485"/>
      <c r="B699" s="485"/>
      <c r="C699" s="484"/>
      <c r="D699" s="1283" t="s">
        <v>894</v>
      </c>
      <c r="E699" s="1283"/>
      <c r="F699" s="1283"/>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c r="A702" s="485"/>
      <c r="B702" s="486" t="s">
        <v>2731</v>
      </c>
      <c r="C702" s="484"/>
      <c r="D702" s="1282" t="s">
        <v>2247</v>
      </c>
      <c r="E702" s="1282"/>
      <c r="F702" s="1282"/>
      <c r="H702" s="502"/>
      <c r="I702" s="484"/>
      <c r="J702" s="502"/>
      <c r="K702" s="502"/>
    </row>
    <row r="703" spans="1:11">
      <c r="A703" s="484"/>
      <c r="B703" s="484"/>
      <c r="C703" s="484"/>
      <c r="D703" s="1282"/>
      <c r="E703" s="1282"/>
      <c r="F703" s="1282"/>
      <c r="H703" s="502"/>
      <c r="I703" s="484"/>
      <c r="J703" s="502"/>
      <c r="K703" s="502"/>
    </row>
    <row r="704" spans="1:11">
      <c r="A704" s="484"/>
      <c r="B704" s="484"/>
      <c r="C704" s="484"/>
      <c r="D704" s="1282"/>
      <c r="E704" s="1282"/>
      <c r="F704" s="1282"/>
      <c r="H704" s="502"/>
      <c r="I704" s="484"/>
      <c r="J704" s="502"/>
      <c r="K704" s="502"/>
    </row>
    <row r="705" spans="1:11">
      <c r="A705" s="484"/>
      <c r="B705" s="484"/>
      <c r="C705" s="484"/>
      <c r="D705" s="1282"/>
      <c r="E705" s="1282"/>
      <c r="F705" s="1282"/>
      <c r="H705" s="502"/>
      <c r="I705" s="484"/>
      <c r="J705" s="502"/>
      <c r="K705" s="502"/>
    </row>
    <row r="706" spans="1:11">
      <c r="A706" s="484"/>
      <c r="B706" s="484"/>
      <c r="C706" s="484"/>
      <c r="D706" s="1282"/>
      <c r="E706" s="1282"/>
      <c r="F706" s="1282"/>
      <c r="H706" s="502"/>
      <c r="I706" s="484"/>
      <c r="J706" s="502"/>
      <c r="K706" s="502"/>
    </row>
    <row r="707" spans="1:11">
      <c r="A707" s="484"/>
      <c r="B707" s="484"/>
      <c r="C707" s="484"/>
      <c r="D707" s="1282"/>
      <c r="E707" s="1282"/>
      <c r="F707" s="1282"/>
      <c r="H707" s="502"/>
      <c r="I707" s="484"/>
      <c r="J707" s="502"/>
      <c r="K707" s="502"/>
    </row>
    <row r="708" spans="1:11">
      <c r="A708" s="484"/>
      <c r="B708" s="484"/>
      <c r="C708" s="484"/>
      <c r="D708" s="446"/>
      <c r="E708" s="446"/>
      <c r="F708" s="446"/>
      <c r="H708" s="502"/>
      <c r="I708" s="484"/>
      <c r="J708" s="502"/>
      <c r="K708" s="502"/>
    </row>
    <row r="709" spans="1:11">
      <c r="A709" s="484"/>
      <c r="B709" s="486" t="s">
        <v>2731</v>
      </c>
      <c r="C709" s="484"/>
      <c r="D709" s="1282" t="s">
        <v>1201</v>
      </c>
      <c r="E709" s="1282"/>
      <c r="F709" s="1282"/>
      <c r="H709" s="502"/>
      <c r="I709" s="484"/>
      <c r="J709" s="502"/>
      <c r="K709" s="502"/>
    </row>
    <row r="710" spans="1:11">
      <c r="A710" s="484"/>
      <c r="B710" s="484"/>
      <c r="C710" s="484"/>
      <c r="D710" s="1282"/>
      <c r="E710" s="1282"/>
      <c r="F710" s="1282"/>
      <c r="H710" s="502"/>
      <c r="I710" s="484"/>
      <c r="J710" s="502"/>
      <c r="K710" s="502"/>
    </row>
    <row r="711" spans="1:11">
      <c r="A711" s="484"/>
      <c r="B711" s="484"/>
      <c r="C711" s="484"/>
      <c r="D711" s="446"/>
      <c r="E711" s="446"/>
      <c r="F711" s="446"/>
      <c r="H711" s="502"/>
      <c r="I711" s="484"/>
      <c r="J711" s="502"/>
      <c r="K711" s="502"/>
    </row>
    <row r="712" spans="1:11">
      <c r="A712" s="485"/>
      <c r="B712" s="486" t="s">
        <v>2731</v>
      </c>
      <c r="C712" s="484"/>
      <c r="D712" s="1282" t="s">
        <v>1077</v>
      </c>
      <c r="E712" s="1282"/>
      <c r="F712" s="1282"/>
      <c r="H712" s="502"/>
      <c r="I712" s="484"/>
      <c r="J712" s="502"/>
      <c r="K712" s="502"/>
    </row>
    <row r="713" spans="1:11">
      <c r="A713" s="484"/>
      <c r="B713" s="484"/>
      <c r="C713" s="484"/>
      <c r="D713" s="1282"/>
      <c r="E713" s="1282"/>
      <c r="F713" s="1282"/>
      <c r="H713" s="502"/>
      <c r="I713" s="484"/>
      <c r="J713" s="502"/>
      <c r="K713" s="502"/>
    </row>
    <row r="714" spans="1:11">
      <c r="A714" s="484"/>
      <c r="B714" s="484"/>
      <c r="C714" s="484"/>
      <c r="D714" s="1282"/>
      <c r="E714" s="1282"/>
      <c r="F714" s="1282"/>
      <c r="H714" s="502"/>
      <c r="I714" s="484"/>
      <c r="J714" s="502"/>
      <c r="K714" s="502"/>
    </row>
    <row r="715" spans="1:11" ht="15" customHeight="1">
      <c r="A715" s="484"/>
      <c r="B715" s="484"/>
      <c r="C715" s="484"/>
      <c r="D715" s="1282"/>
      <c r="E715" s="1282"/>
      <c r="F715" s="1282"/>
      <c r="H715" s="502"/>
      <c r="I715" s="484"/>
      <c r="J715" s="502"/>
      <c r="K715" s="502"/>
    </row>
    <row r="716" spans="1:11" ht="15" customHeight="1">
      <c r="A716" s="484"/>
      <c r="B716" s="484"/>
      <c r="C716" s="484"/>
      <c r="D716" s="1282"/>
      <c r="E716" s="1282"/>
      <c r="F716" s="1282"/>
      <c r="H716" s="502"/>
      <c r="I716" s="484"/>
      <c r="J716" s="502"/>
      <c r="K716" s="502"/>
    </row>
    <row r="717" spans="1:11">
      <c r="A717" s="484"/>
      <c r="B717" s="484"/>
      <c r="C717" s="484"/>
      <c r="D717" s="1282"/>
      <c r="E717" s="1282"/>
      <c r="F717" s="1282"/>
      <c r="H717" s="502"/>
      <c r="I717" s="484"/>
      <c r="J717" s="502"/>
      <c r="K717" s="502"/>
    </row>
    <row r="718" spans="1:11">
      <c r="A718" s="484"/>
      <c r="B718" s="484"/>
      <c r="C718" s="484"/>
      <c r="D718" s="1282"/>
      <c r="E718" s="1282"/>
      <c r="F718" s="1282"/>
      <c r="H718" s="502"/>
      <c r="I718" s="484"/>
      <c r="J718" s="502"/>
      <c r="K718" s="502"/>
    </row>
    <row r="719" spans="1:11">
      <c r="A719" s="484"/>
      <c r="B719" s="484"/>
      <c r="C719" s="484"/>
      <c r="D719" s="1282"/>
      <c r="E719" s="1282"/>
      <c r="F719" s="1282"/>
      <c r="H719" s="502"/>
      <c r="I719" s="484"/>
      <c r="J719" s="502"/>
      <c r="K719" s="502"/>
    </row>
    <row r="720" spans="1:11" ht="15" customHeight="1">
      <c r="A720" s="484"/>
      <c r="B720" s="484"/>
      <c r="C720" s="484"/>
      <c r="D720" s="1282"/>
      <c r="E720" s="1282"/>
      <c r="F720" s="1282"/>
      <c r="H720" s="502"/>
      <c r="I720" s="484"/>
      <c r="J720" s="502"/>
      <c r="K720" s="502"/>
    </row>
    <row r="721" spans="1:11">
      <c r="A721" s="484"/>
      <c r="B721" s="484"/>
      <c r="C721" s="484"/>
      <c r="D721" s="1282"/>
      <c r="E721" s="1282"/>
      <c r="F721" s="1282"/>
      <c r="H721" s="502"/>
      <c r="I721" s="484"/>
      <c r="J721" s="502"/>
      <c r="K721" s="502"/>
    </row>
    <row r="722" spans="1:11">
      <c r="A722" s="484"/>
      <c r="B722" s="484"/>
      <c r="C722" s="484"/>
      <c r="D722" s="1282"/>
      <c r="E722" s="1282"/>
      <c r="F722" s="1282"/>
      <c r="H722" s="502"/>
      <c r="I722" s="484"/>
      <c r="J722" s="502"/>
      <c r="K722" s="502"/>
    </row>
    <row r="723" spans="1:11">
      <c r="A723" s="484"/>
      <c r="B723" s="484"/>
      <c r="C723" s="484"/>
      <c r="D723" s="1282"/>
      <c r="E723" s="1282"/>
      <c r="F723" s="1282"/>
      <c r="H723" s="502"/>
      <c r="I723" s="484"/>
      <c r="J723" s="502"/>
      <c r="K723" s="502"/>
    </row>
    <row r="724" spans="1:11">
      <c r="A724" s="484"/>
      <c r="B724" s="484"/>
      <c r="C724" s="484"/>
      <c r="D724" s="1282"/>
      <c r="E724" s="1282"/>
      <c r="F724" s="1282"/>
      <c r="H724" s="502"/>
      <c r="I724" s="484"/>
      <c r="J724" s="502"/>
      <c r="K724" s="502"/>
    </row>
    <row r="725" spans="1:11">
      <c r="A725" s="484"/>
      <c r="B725" s="486" t="s">
        <v>2731</v>
      </c>
      <c r="C725" s="484"/>
      <c r="D725" s="1282" t="s">
        <v>2465</v>
      </c>
      <c r="E725" s="1282"/>
      <c r="F725" s="1282"/>
      <c r="H725" s="502"/>
      <c r="I725" s="484"/>
      <c r="J725" s="502"/>
      <c r="K725" s="502"/>
    </row>
    <row r="726" spans="1:11">
      <c r="A726" s="484"/>
      <c r="B726" s="484"/>
      <c r="C726" s="484"/>
      <c r="D726" s="1282"/>
      <c r="E726" s="1282"/>
      <c r="F726" s="1282"/>
      <c r="H726" s="502"/>
      <c r="I726" s="484"/>
      <c r="J726" s="502"/>
      <c r="K726" s="502"/>
    </row>
    <row r="727" spans="1:11">
      <c r="A727" s="484"/>
      <c r="B727" s="484"/>
      <c r="C727" s="484"/>
      <c r="D727" s="1282"/>
      <c r="E727" s="1282"/>
      <c r="F727" s="1282"/>
      <c r="H727" s="502"/>
      <c r="I727" s="484"/>
      <c r="J727" s="502"/>
      <c r="K727" s="502"/>
    </row>
    <row r="728" spans="1:11">
      <c r="A728" s="484"/>
      <c r="B728" s="484"/>
      <c r="C728" s="484"/>
      <c r="D728" s="446"/>
      <c r="E728" s="446"/>
      <c r="F728" s="446"/>
      <c r="H728" s="502"/>
      <c r="I728" s="484"/>
      <c r="J728" s="502"/>
      <c r="K728" s="502"/>
    </row>
    <row r="729" spans="1:11">
      <c r="A729" s="484"/>
      <c r="B729" s="486" t="s">
        <v>2731</v>
      </c>
      <c r="C729" s="484"/>
      <c r="D729" s="1282" t="s">
        <v>2464</v>
      </c>
      <c r="E729" s="1282"/>
      <c r="F729" s="1282"/>
      <c r="H729" s="502"/>
      <c r="I729" s="484"/>
      <c r="J729" s="502"/>
      <c r="K729" s="502"/>
    </row>
    <row r="730" spans="1:11">
      <c r="A730" s="484"/>
      <c r="B730" s="484"/>
      <c r="C730" s="484"/>
      <c r="D730" s="1282"/>
      <c r="E730" s="1282"/>
      <c r="F730" s="1282"/>
      <c r="H730" s="502"/>
      <c r="I730" s="484"/>
      <c r="J730" s="502"/>
      <c r="K730" s="502"/>
    </row>
    <row r="731" spans="1:11">
      <c r="A731" s="484"/>
      <c r="B731" s="484"/>
      <c r="C731" s="484"/>
      <c r="D731" s="1282"/>
      <c r="E731" s="1282"/>
      <c r="F731" s="1282"/>
      <c r="H731" s="502"/>
      <c r="I731" s="484"/>
      <c r="J731" s="502"/>
      <c r="K731" s="502"/>
    </row>
    <row r="732" spans="1:11">
      <c r="A732" s="484"/>
      <c r="B732" s="484"/>
      <c r="C732" s="484"/>
      <c r="H732" s="502"/>
      <c r="I732" s="484"/>
      <c r="J732" s="502"/>
      <c r="K732" s="502"/>
    </row>
    <row r="733" spans="1:11">
      <c r="A733" s="484"/>
      <c r="B733" s="486" t="s">
        <v>2731</v>
      </c>
      <c r="C733" s="484"/>
      <c r="D733" s="1282" t="s">
        <v>2463</v>
      </c>
      <c r="E733" s="1282"/>
      <c r="F733" s="1282"/>
      <c r="H733" s="502"/>
      <c r="I733" s="484"/>
      <c r="J733" s="502"/>
      <c r="K733" s="502"/>
    </row>
    <row r="734" spans="1:11">
      <c r="A734" s="484"/>
      <c r="B734" s="484"/>
      <c r="C734" s="484"/>
      <c r="D734" s="1282"/>
      <c r="E734" s="1282"/>
      <c r="F734" s="1282"/>
      <c r="H734" s="502"/>
      <c r="I734" s="484"/>
      <c r="J734" s="502"/>
      <c r="K734" s="502"/>
    </row>
    <row r="735" spans="1:11">
      <c r="A735" s="484"/>
      <c r="B735" s="484"/>
      <c r="C735" s="484"/>
      <c r="D735" s="1282"/>
      <c r="E735" s="1282"/>
      <c r="F735" s="1282"/>
      <c r="H735" s="502"/>
      <c r="I735" s="484"/>
      <c r="J735" s="502"/>
      <c r="K735" s="502"/>
    </row>
    <row r="736" spans="1:11">
      <c r="A736" s="484"/>
      <c r="B736" s="484"/>
      <c r="C736" s="484"/>
      <c r="D736" s="1282"/>
      <c r="E736" s="1282"/>
      <c r="F736" s="1282"/>
      <c r="H736" s="502"/>
      <c r="I736" s="484"/>
      <c r="J736" s="502"/>
      <c r="K736" s="502"/>
    </row>
    <row r="737" spans="1:11">
      <c r="A737" s="484"/>
      <c r="B737" s="484"/>
      <c r="C737" s="484"/>
      <c r="H737" s="502"/>
      <c r="I737" s="484"/>
      <c r="J737" s="502"/>
      <c r="K737" s="502"/>
    </row>
    <row r="738" spans="1:11">
      <c r="A738" s="485"/>
      <c r="B738" s="486" t="s">
        <v>2731</v>
      </c>
      <c r="C738" s="484"/>
      <c r="D738" s="1282" t="s">
        <v>1078</v>
      </c>
      <c r="E738" s="1282"/>
      <c r="F738" s="1282"/>
      <c r="H738" s="502"/>
      <c r="I738" s="484"/>
      <c r="J738" s="502"/>
      <c r="K738" s="502"/>
    </row>
    <row r="739" spans="1:11">
      <c r="A739" s="484"/>
      <c r="B739" s="484"/>
      <c r="C739" s="484"/>
      <c r="D739" s="1282"/>
      <c r="E739" s="1282"/>
      <c r="F739" s="1282"/>
      <c r="H739" s="502"/>
      <c r="I739" s="484"/>
      <c r="J739" s="502"/>
      <c r="K739" s="502"/>
    </row>
    <row r="740" spans="1:11">
      <c r="A740" s="484"/>
      <c r="B740" s="484"/>
      <c r="C740" s="484"/>
      <c r="D740" s="1282"/>
      <c r="E740" s="1282"/>
      <c r="F740" s="1282"/>
      <c r="H740" s="502"/>
      <c r="I740" s="484"/>
      <c r="J740" s="502"/>
      <c r="K740" s="502"/>
    </row>
    <row r="741" spans="1:11">
      <c r="A741" s="484"/>
      <c r="B741" s="484"/>
      <c r="C741" s="484"/>
      <c r="D741" s="1282"/>
      <c r="E741" s="1282"/>
      <c r="F741" s="1282"/>
      <c r="H741" s="502"/>
      <c r="I741" s="484"/>
      <c r="J741" s="502"/>
      <c r="K741" s="502"/>
    </row>
    <row r="742" spans="1:11">
      <c r="A742" s="484"/>
      <c r="B742" s="484"/>
      <c r="C742" s="484"/>
      <c r="D742" s="1282"/>
      <c r="E742" s="1282"/>
      <c r="F742" s="1282"/>
      <c r="H742" s="502"/>
      <c r="I742" s="484"/>
      <c r="J742" s="502"/>
      <c r="K742" s="502"/>
    </row>
    <row r="743" spans="1:11">
      <c r="A743" s="484"/>
      <c r="B743" s="484"/>
      <c r="C743" s="484"/>
      <c r="D743" s="493"/>
      <c r="H743" s="502"/>
      <c r="I743" s="484"/>
      <c r="J743" s="502"/>
      <c r="K743" s="502"/>
    </row>
    <row r="744" spans="1:11">
      <c r="A744" s="485"/>
      <c r="B744" s="486" t="s">
        <v>2731</v>
      </c>
      <c r="C744" s="484"/>
      <c r="D744" s="1282" t="s">
        <v>2147</v>
      </c>
      <c r="E744" s="1282"/>
      <c r="F744" s="1282"/>
      <c r="H744" s="502"/>
      <c r="I744" s="484"/>
      <c r="J744" s="502"/>
      <c r="K744" s="502"/>
    </row>
    <row r="745" spans="1:11">
      <c r="A745" s="484"/>
      <c r="B745" s="484"/>
      <c r="C745" s="484"/>
      <c r="D745" s="1282"/>
      <c r="E745" s="1282"/>
      <c r="F745" s="1282"/>
      <c r="H745" s="502"/>
      <c r="I745" s="484"/>
      <c r="J745" s="502"/>
      <c r="K745" s="502"/>
    </row>
    <row r="746" spans="1:11">
      <c r="A746" s="484"/>
      <c r="B746" s="484"/>
      <c r="C746" s="484"/>
      <c r="D746" s="1282"/>
      <c r="E746" s="1282"/>
      <c r="F746" s="1282"/>
      <c r="H746" s="502"/>
      <c r="I746" s="484"/>
      <c r="J746" s="502"/>
      <c r="K746" s="502"/>
    </row>
    <row r="747" spans="1:11">
      <c r="A747" s="484"/>
      <c r="B747" s="484"/>
      <c r="C747" s="484"/>
      <c r="D747" s="1282"/>
      <c r="E747" s="1282"/>
      <c r="F747" s="1282"/>
      <c r="H747" s="502"/>
      <c r="I747" s="484"/>
      <c r="J747" s="502"/>
      <c r="K747" s="502"/>
    </row>
    <row r="748" spans="1:11">
      <c r="A748" s="484"/>
      <c r="B748" s="484"/>
      <c r="C748" s="484"/>
      <c r="D748" s="1282"/>
      <c r="E748" s="1282"/>
      <c r="F748" s="1282"/>
      <c r="H748" s="502"/>
      <c r="I748" s="484"/>
      <c r="J748" s="502"/>
      <c r="K748" s="502"/>
    </row>
    <row r="749" spans="1:11">
      <c r="A749" s="484"/>
      <c r="B749" s="484"/>
      <c r="C749" s="484"/>
      <c r="D749" s="1282"/>
      <c r="E749" s="1282"/>
      <c r="F749" s="1282"/>
      <c r="H749" s="502"/>
      <c r="I749" s="484"/>
      <c r="J749" s="502"/>
      <c r="K749" s="502"/>
    </row>
    <row r="750" spans="1:11">
      <c r="A750" s="484"/>
      <c r="B750" s="484"/>
      <c r="C750" s="484"/>
      <c r="D750" s="1282"/>
      <c r="E750" s="1282"/>
      <c r="F750" s="1282"/>
      <c r="H750" s="502"/>
      <c r="I750" s="484"/>
      <c r="J750" s="502"/>
      <c r="K750" s="502"/>
    </row>
    <row r="751" spans="1:11">
      <c r="A751" s="484"/>
      <c r="B751" s="484"/>
      <c r="C751" s="484"/>
      <c r="D751" s="1320" t="s">
        <v>2076</v>
      </c>
      <c r="E751" s="1320"/>
      <c r="F751" s="1320"/>
      <c r="H751" s="502"/>
      <c r="I751" s="484"/>
      <c r="J751" s="502"/>
      <c r="K751" s="502"/>
    </row>
    <row r="752" spans="1:11">
      <c r="A752" s="484"/>
      <c r="B752" s="484"/>
      <c r="C752" s="484"/>
      <c r="D752" s="342"/>
      <c r="H752" s="502"/>
      <c r="I752" s="484"/>
      <c r="J752" s="502"/>
      <c r="K752" s="502"/>
    </row>
    <row r="753" spans="1:11">
      <c r="A753" s="1289" t="s">
        <v>1060</v>
      </c>
      <c r="B753" s="1289"/>
      <c r="C753" s="1289"/>
      <c r="D753" s="1289"/>
      <c r="E753" s="1289"/>
      <c r="F753" s="1289"/>
      <c r="G753" s="1289"/>
      <c r="H753" s="1031"/>
      <c r="I753" s="1159"/>
      <c r="J753" s="502"/>
      <c r="K753" s="502"/>
    </row>
    <row r="754" spans="1:11">
      <c r="A754" s="484"/>
      <c r="B754" s="484"/>
      <c r="C754" s="484"/>
      <c r="D754" s="493"/>
      <c r="G754" s="502"/>
      <c r="H754" s="502"/>
      <c r="I754" s="484"/>
      <c r="J754" s="502"/>
      <c r="K754" s="502"/>
    </row>
    <row r="755" spans="1:11" ht="13.75" customHeight="1">
      <c r="C755" s="484"/>
      <c r="D755" s="1284" t="s">
        <v>1070</v>
      </c>
      <c r="E755" s="1284"/>
      <c r="F755" s="1284"/>
      <c r="G755" s="502"/>
      <c r="H755" s="502"/>
      <c r="I755" s="484"/>
      <c r="J755" s="502"/>
      <c r="K755" s="502"/>
    </row>
    <row r="756" spans="1:11">
      <c r="A756" s="484"/>
      <c r="B756" s="484"/>
      <c r="C756" s="484"/>
      <c r="D756" s="1288" t="s">
        <v>1071</v>
      </c>
      <c r="E756" s="1288"/>
      <c r="F756" s="1288"/>
      <c r="G756" s="502"/>
      <c r="H756" s="502"/>
      <c r="I756" s="484"/>
      <c r="J756" s="502"/>
      <c r="K756" s="502"/>
    </row>
    <row r="757" spans="1:11">
      <c r="A757" s="484"/>
      <c r="B757" s="484"/>
      <c r="C757" s="484"/>
      <c r="G757" s="502"/>
      <c r="H757" s="502"/>
      <c r="I757" s="484"/>
      <c r="J757" s="502"/>
      <c r="K757" s="502"/>
    </row>
    <row r="758" spans="1:11">
      <c r="A758" s="485"/>
      <c r="B758" s="486" t="s">
        <v>2730</v>
      </c>
      <c r="D758" s="1282" t="s">
        <v>1072</v>
      </c>
      <c r="E758" s="1282"/>
      <c r="F758" s="1282"/>
      <c r="G758" s="502"/>
      <c r="H758" s="502"/>
      <c r="I758" s="484"/>
      <c r="J758" s="502"/>
      <c r="K758" s="502"/>
    </row>
    <row r="759" spans="1:11" ht="10.5" customHeight="1">
      <c r="D759" s="1282"/>
      <c r="E759" s="1282"/>
      <c r="F759" s="1282"/>
      <c r="G759" s="502"/>
      <c r="H759" s="502"/>
      <c r="I759" s="484"/>
      <c r="J759" s="502"/>
      <c r="K759" s="502"/>
    </row>
    <row r="760" spans="1:11">
      <c r="D760" s="1282"/>
      <c r="E760" s="1282"/>
      <c r="F760" s="1282"/>
      <c r="G760" s="502"/>
      <c r="H760" s="502"/>
      <c r="I760" s="484"/>
      <c r="J760" s="502"/>
      <c r="K760" s="502"/>
    </row>
    <row r="761" spans="1:11">
      <c r="D761" s="1282"/>
      <c r="E761" s="1282"/>
      <c r="F761" s="1282"/>
      <c r="G761" s="502"/>
      <c r="H761" s="502"/>
      <c r="I761" s="484"/>
      <c r="J761" s="502"/>
      <c r="K761" s="502"/>
    </row>
    <row r="762" spans="1:11">
      <c r="D762" s="1282"/>
      <c r="E762" s="1282"/>
      <c r="F762" s="1282"/>
      <c r="G762" s="502"/>
      <c r="H762" s="502"/>
      <c r="I762" s="484"/>
      <c r="J762" s="502"/>
      <c r="K762" s="502"/>
    </row>
    <row r="763" spans="1:11" ht="15.65" customHeight="1">
      <c r="D763" s="1282"/>
      <c r="E763" s="1282"/>
      <c r="F763" s="1282"/>
      <c r="G763" s="502"/>
      <c r="H763" s="502"/>
      <c r="I763" s="484"/>
      <c r="J763" s="502"/>
      <c r="K763" s="502"/>
    </row>
    <row r="764" spans="1:11">
      <c r="D764" s="500"/>
      <c r="E764" s="447"/>
      <c r="F764" s="447"/>
      <c r="G764" s="502"/>
      <c r="H764" s="502"/>
      <c r="I764" s="484"/>
      <c r="J764" s="502"/>
      <c r="K764" s="502"/>
    </row>
    <row r="765" spans="1:11" s="506" customFormat="1">
      <c r="A765" s="504"/>
      <c r="B765" s="486" t="s">
        <v>2730</v>
      </c>
      <c r="C765" s="505"/>
      <c r="D765" s="1282" t="s">
        <v>1241</v>
      </c>
      <c r="E765" s="1282"/>
      <c r="F765" s="1282"/>
      <c r="I765" s="1160"/>
    </row>
    <row r="766" spans="1:11" s="506" customFormat="1">
      <c r="A766" s="505"/>
      <c r="B766" s="505"/>
      <c r="C766" s="505"/>
      <c r="D766" s="1282"/>
      <c r="E766" s="1282"/>
      <c r="F766" s="1282"/>
      <c r="I766" s="1160"/>
    </row>
    <row r="767" spans="1:11" s="506" customFormat="1">
      <c r="A767" s="505"/>
      <c r="B767" s="505"/>
      <c r="C767" s="505"/>
      <c r="D767" s="1282"/>
      <c r="E767" s="1282"/>
      <c r="F767" s="1282"/>
      <c r="I767" s="1160"/>
    </row>
    <row r="768" spans="1:11" s="506" customFormat="1">
      <c r="A768" s="505"/>
      <c r="B768" s="505"/>
      <c r="C768" s="505"/>
      <c r="D768" s="1282"/>
      <c r="E768" s="1282"/>
      <c r="F768" s="1282"/>
      <c r="I768" s="1160"/>
    </row>
    <row r="769" spans="1:11" s="506" customFormat="1">
      <c r="A769" s="505"/>
      <c r="B769" s="505"/>
      <c r="C769" s="505"/>
      <c r="D769" s="500"/>
      <c r="I769" s="1160"/>
    </row>
    <row r="770" spans="1:11" s="506" customFormat="1">
      <c r="A770" s="485"/>
      <c r="B770" s="486" t="s">
        <v>2730</v>
      </c>
      <c r="C770" s="505"/>
      <c r="D770" s="1307" t="s">
        <v>1242</v>
      </c>
      <c r="E770" s="1307"/>
      <c r="F770" s="1307"/>
      <c r="I770" s="1160"/>
    </row>
    <row r="771" spans="1:11" s="506" customFormat="1">
      <c r="A771" s="505"/>
      <c r="B771" s="505"/>
      <c r="C771" s="505"/>
      <c r="D771" s="1307"/>
      <c r="E771" s="1307"/>
      <c r="F771" s="1307"/>
      <c r="I771" s="1160"/>
    </row>
    <row r="772" spans="1:11" s="506" customFormat="1">
      <c r="A772" s="505"/>
      <c r="B772" s="505"/>
      <c r="C772" s="505"/>
      <c r="D772" s="1307"/>
      <c r="E772" s="1307"/>
      <c r="F772" s="1307"/>
      <c r="I772" s="1160"/>
    </row>
    <row r="773" spans="1:11">
      <c r="D773" s="500"/>
      <c r="E773" s="447"/>
      <c r="F773" s="447"/>
      <c r="G773" s="502"/>
      <c r="H773" s="502"/>
      <c r="I773" s="484"/>
      <c r="J773" s="502"/>
      <c r="K773" s="502"/>
    </row>
    <row r="774" spans="1:11">
      <c r="A774" s="485"/>
      <c r="B774" s="486" t="s">
        <v>2731</v>
      </c>
      <c r="D774" s="1282" t="s">
        <v>1198</v>
      </c>
      <c r="E774" s="1282"/>
      <c r="F774" s="1282"/>
      <c r="G774" s="502"/>
      <c r="H774" s="502"/>
      <c r="I774" s="484"/>
      <c r="J774" s="502"/>
      <c r="K774" s="502"/>
    </row>
    <row r="775" spans="1:11">
      <c r="D775" s="1282"/>
      <c r="E775" s="1282"/>
      <c r="F775" s="1282"/>
      <c r="G775" s="502"/>
      <c r="H775" s="502"/>
      <c r="I775" s="484"/>
      <c r="J775" s="502"/>
      <c r="K775" s="502"/>
    </row>
    <row r="776" spans="1:11">
      <c r="D776" s="446"/>
      <c r="E776" s="446"/>
      <c r="F776" s="446"/>
      <c r="G776" s="502"/>
      <c r="H776" s="502"/>
      <c r="I776" s="484"/>
      <c r="J776" s="502"/>
      <c r="K776" s="502"/>
    </row>
    <row r="777" spans="1:11">
      <c r="B777" s="486" t="s">
        <v>2731</v>
      </c>
      <c r="D777" s="1282" t="s">
        <v>1215</v>
      </c>
      <c r="E777" s="1282"/>
      <c r="F777" s="1282"/>
      <c r="G777" s="502"/>
      <c r="H777" s="502"/>
      <c r="I777" s="484"/>
      <c r="J777" s="502"/>
      <c r="K777" s="502"/>
    </row>
    <row r="778" spans="1:11">
      <c r="D778" s="1282"/>
      <c r="E778" s="1282"/>
      <c r="F778" s="1282"/>
      <c r="G778" s="502"/>
      <c r="H778" s="502"/>
      <c r="I778" s="484"/>
      <c r="J778" s="502"/>
      <c r="K778" s="502"/>
    </row>
    <row r="779" spans="1:11">
      <c r="D779" s="1282"/>
      <c r="E779" s="1282"/>
      <c r="F779" s="1282"/>
      <c r="G779" s="502"/>
      <c r="H779" s="502"/>
      <c r="I779" s="484"/>
      <c r="J779" s="502"/>
      <c r="K779" s="502"/>
    </row>
    <row r="780" spans="1:11">
      <c r="D780" s="446"/>
      <c r="E780" s="446"/>
      <c r="F780" s="446"/>
      <c r="G780" s="502"/>
      <c r="H780" s="502"/>
      <c r="I780" s="484"/>
      <c r="J780" s="502"/>
      <c r="K780" s="502"/>
    </row>
    <row r="781" spans="1:11">
      <c r="A781" s="1314" t="s">
        <v>1801</v>
      </c>
      <c r="B781" s="1314"/>
      <c r="C781" s="1314"/>
      <c r="D781" s="1314"/>
      <c r="E781" s="1314"/>
      <c r="F781" s="1314"/>
      <c r="G781" s="1314"/>
      <c r="H781" s="1029"/>
      <c r="I781" s="1155"/>
    </row>
    <row r="782" spans="1:11">
      <c r="A782" s="57"/>
      <c r="B782" s="57"/>
      <c r="C782" s="355"/>
      <c r="D782" s="3"/>
      <c r="E782" s="3"/>
      <c r="F782" s="3"/>
      <c r="G782" s="3"/>
      <c r="I782" s="491"/>
    </row>
    <row r="783" spans="1:11">
      <c r="A783" s="57"/>
      <c r="B783" s="57"/>
      <c r="C783" s="355"/>
      <c r="D783" s="1313" t="s">
        <v>1855</v>
      </c>
      <c r="E783" s="1313"/>
      <c r="F783" s="1313"/>
      <c r="G783" s="3"/>
      <c r="I783" s="491"/>
    </row>
    <row r="784" spans="1:11">
      <c r="A784" s="57"/>
      <c r="B784" s="57"/>
      <c r="C784" s="355"/>
      <c r="D784" s="1294" t="s">
        <v>1755</v>
      </c>
      <c r="E784" s="1294"/>
      <c r="F784" s="1294"/>
      <c r="G784" s="3"/>
      <c r="I784" s="491"/>
    </row>
    <row r="785" spans="1:9">
      <c r="A785" s="57"/>
      <c r="B785" s="57"/>
      <c r="C785" s="355"/>
      <c r="D785" s="448"/>
      <c r="E785" s="448"/>
      <c r="F785" s="448"/>
      <c r="G785" s="3"/>
      <c r="I785" s="491"/>
    </row>
    <row r="786" spans="1:9">
      <c r="A786" s="57"/>
      <c r="B786" s="486" t="s">
        <v>2730</v>
      </c>
      <c r="C786" s="355"/>
      <c r="D786" s="1315" t="s">
        <v>1756</v>
      </c>
      <c r="E786" s="1315"/>
      <c r="F786" s="1315"/>
      <c r="G786" s="3"/>
      <c r="I786" s="484"/>
    </row>
    <row r="787" spans="1:9">
      <c r="A787" s="57"/>
      <c r="B787" s="57"/>
      <c r="C787" s="355"/>
      <c r="D787" s="1315"/>
      <c r="E787" s="1315"/>
      <c r="F787" s="1315"/>
      <c r="G787" s="3"/>
      <c r="I787" s="491"/>
    </row>
    <row r="788" spans="1:9">
      <c r="A788" s="174"/>
      <c r="B788" s="174"/>
      <c r="C788" s="174"/>
      <c r="D788" s="1315"/>
      <c r="E788" s="1315"/>
      <c r="F788" s="1315"/>
      <c r="G788" s="118"/>
      <c r="I788" s="491"/>
    </row>
    <row r="789" spans="1:9">
      <c r="A789" s="355"/>
      <c r="B789" s="355"/>
      <c r="C789" s="355"/>
      <c r="D789" s="173"/>
      <c r="E789" s="3"/>
      <c r="F789" s="3"/>
      <c r="G789" s="3"/>
      <c r="I789" s="491"/>
    </row>
    <row r="790" spans="1:9">
      <c r="A790" s="172"/>
      <c r="B790" s="486" t="s">
        <v>2731</v>
      </c>
      <c r="C790" s="172"/>
      <c r="D790" s="1315" t="s">
        <v>1757</v>
      </c>
      <c r="E790" s="1315"/>
      <c r="F790" s="1315"/>
      <c r="G790" s="3"/>
      <c r="I790" s="484"/>
    </row>
    <row r="791" spans="1:9">
      <c r="A791" s="172"/>
      <c r="B791" s="172"/>
      <c r="C791" s="172"/>
      <c r="D791" s="1315"/>
      <c r="E791" s="1315"/>
      <c r="F791" s="1315"/>
      <c r="G791" s="3"/>
      <c r="I791" s="491"/>
    </row>
    <row r="792" spans="1:9">
      <c r="A792" s="172"/>
      <c r="B792" s="172"/>
      <c r="C792" s="172"/>
      <c r="D792" s="1315"/>
      <c r="E792" s="1315"/>
      <c r="F792" s="1315"/>
      <c r="G792" s="3"/>
      <c r="I792" s="491"/>
    </row>
    <row r="793" spans="1:9">
      <c r="A793" s="174"/>
      <c r="B793" s="174"/>
      <c r="C793" s="174"/>
      <c r="D793" s="3"/>
      <c r="E793" s="989"/>
      <c r="F793" s="989"/>
      <c r="G793" s="989"/>
      <c r="I793" s="491"/>
    </row>
    <row r="794" spans="1:9">
      <c r="A794" s="175"/>
      <c r="B794" s="486" t="s">
        <v>2731</v>
      </c>
      <c r="C794" s="990"/>
      <c r="D794" s="1315" t="s">
        <v>1758</v>
      </c>
      <c r="E794" s="1315"/>
      <c r="F794" s="1315"/>
      <c r="G794" s="989"/>
      <c r="I794" s="484"/>
    </row>
    <row r="795" spans="1:9">
      <c r="A795" s="175"/>
      <c r="B795" s="175"/>
      <c r="C795" s="990"/>
      <c r="D795" s="1315"/>
      <c r="E795" s="1315"/>
      <c r="F795" s="1315"/>
      <c r="G795" s="989"/>
      <c r="I795" s="491"/>
    </row>
    <row r="796" spans="1:9">
      <c r="A796" s="175"/>
      <c r="B796" s="175"/>
      <c r="C796" s="990"/>
      <c r="D796" s="1315"/>
      <c r="E796" s="1315"/>
      <c r="F796" s="1315"/>
      <c r="G796" s="989"/>
      <c r="I796" s="491"/>
    </row>
    <row r="797" spans="1:9">
      <c r="A797" s="175"/>
      <c r="B797" s="175"/>
      <c r="C797" s="990"/>
      <c r="D797" s="118"/>
      <c r="E797" s="3"/>
      <c r="F797" s="3"/>
      <c r="G797" s="989"/>
      <c r="I797" s="491"/>
    </row>
    <row r="798" spans="1:9">
      <c r="A798" s="175"/>
      <c r="B798" s="486" t="s">
        <v>2731</v>
      </c>
      <c r="C798" s="990"/>
      <c r="D798" s="1315" t="s">
        <v>1759</v>
      </c>
      <c r="E798" s="1315"/>
      <c r="F798" s="1315"/>
      <c r="G798" s="989"/>
      <c r="I798" s="484"/>
    </row>
    <row r="799" spans="1:9">
      <c r="A799" s="175"/>
      <c r="B799" s="175"/>
      <c r="C799" s="990"/>
      <c r="D799" s="1315"/>
      <c r="E799" s="1315"/>
      <c r="F799" s="1315"/>
      <c r="G799" s="989"/>
      <c r="I799" s="491"/>
    </row>
    <row r="800" spans="1:9">
      <c r="A800" s="175"/>
      <c r="B800" s="175"/>
      <c r="C800" s="990"/>
      <c r="D800" s="1315"/>
      <c r="E800" s="1315"/>
      <c r="F800" s="1315"/>
      <c r="G800" s="989"/>
      <c r="I800" s="491"/>
    </row>
    <row r="801" spans="1:9">
      <c r="A801" s="175"/>
      <c r="B801" s="175"/>
      <c r="C801" s="990"/>
      <c r="D801" s="1315"/>
      <c r="E801" s="1315"/>
      <c r="F801" s="1315"/>
      <c r="G801" s="989"/>
      <c r="I801" s="491"/>
    </row>
    <row r="802" spans="1:9">
      <c r="A802" s="175"/>
      <c r="B802" s="175"/>
      <c r="C802" s="990"/>
      <c r="D802" s="1315"/>
      <c r="E802" s="1315"/>
      <c r="F802" s="1315"/>
      <c r="G802" s="989"/>
      <c r="I802" s="491"/>
    </row>
    <row r="803" spans="1:9">
      <c r="A803" s="175"/>
      <c r="B803" s="175"/>
      <c r="C803" s="990"/>
      <c r="D803" s="1315"/>
      <c r="E803" s="1315"/>
      <c r="F803" s="1315"/>
      <c r="G803" s="989"/>
      <c r="I803" s="491"/>
    </row>
    <row r="804" spans="1:9">
      <c r="A804" s="175"/>
      <c r="B804" s="175"/>
      <c r="C804" s="990"/>
      <c r="D804" s="1315" t="s">
        <v>1802</v>
      </c>
      <c r="E804" s="1315"/>
      <c r="F804" s="1315"/>
      <c r="G804" s="989"/>
      <c r="I804" s="491"/>
    </row>
    <row r="805" spans="1:9">
      <c r="A805" s="175"/>
      <c r="B805" s="175"/>
      <c r="C805" s="990"/>
      <c r="D805" s="1315"/>
      <c r="E805" s="1315"/>
      <c r="F805" s="1315"/>
      <c r="G805" s="989"/>
      <c r="I805" s="491"/>
    </row>
    <row r="806" spans="1:9">
      <c r="A806" s="175"/>
      <c r="B806" s="175"/>
      <c r="C806" s="990"/>
      <c r="D806" s="1315"/>
      <c r="E806" s="1315"/>
      <c r="F806" s="1315"/>
      <c r="G806" s="989"/>
      <c r="I806" s="491"/>
    </row>
    <row r="807" spans="1:9">
      <c r="A807" s="175"/>
      <c r="B807" s="355"/>
      <c r="C807" s="990"/>
      <c r="D807" s="991"/>
      <c r="E807" s="991"/>
      <c r="F807" s="991"/>
      <c r="G807" s="989"/>
      <c r="I807" s="491"/>
    </row>
    <row r="808" spans="1:9">
      <c r="A808" s="175"/>
      <c r="B808" s="486" t="s">
        <v>2731</v>
      </c>
      <c r="C808" s="990"/>
      <c r="D808" s="1315" t="s">
        <v>1760</v>
      </c>
      <c r="E808" s="1315"/>
      <c r="F808" s="1315"/>
      <c r="G808" s="989"/>
      <c r="I808" s="484"/>
    </row>
    <row r="809" spans="1:9">
      <c r="A809" s="175"/>
      <c r="B809" s="175"/>
      <c r="C809" s="990"/>
      <c r="D809" s="1315"/>
      <c r="E809" s="1315"/>
      <c r="F809" s="1315"/>
      <c r="G809" s="989"/>
      <c r="I809" s="491"/>
    </row>
    <row r="810" spans="1:9">
      <c r="A810" s="175"/>
      <c r="B810" s="175"/>
      <c r="C810" s="990"/>
      <c r="D810" s="1315"/>
      <c r="E810" s="1315"/>
      <c r="F810" s="1315"/>
      <c r="G810" s="989"/>
      <c r="I810" s="491"/>
    </row>
    <row r="811" spans="1:9">
      <c r="A811" s="175"/>
      <c r="B811" s="175"/>
      <c r="C811" s="990"/>
      <c r="D811" s="1315"/>
      <c r="E811" s="1315"/>
      <c r="F811" s="1315"/>
      <c r="G811" s="989"/>
      <c r="I811" s="491"/>
    </row>
    <row r="812" spans="1:9">
      <c r="A812" s="175"/>
      <c r="B812" s="175"/>
      <c r="C812" s="990"/>
      <c r="D812" s="1315"/>
      <c r="E812" s="1315"/>
      <c r="F812" s="1315"/>
      <c r="G812" s="989"/>
      <c r="I812" s="491"/>
    </row>
    <row r="813" spans="1:9">
      <c r="A813" s="175"/>
      <c r="B813" s="175"/>
      <c r="C813" s="990"/>
      <c r="D813" s="1315"/>
      <c r="E813" s="1315"/>
      <c r="F813" s="1315"/>
      <c r="G813" s="989"/>
      <c r="I813" s="491"/>
    </row>
    <row r="814" spans="1:9">
      <c r="A814" s="175"/>
      <c r="B814" s="175"/>
      <c r="C814" s="990"/>
      <c r="D814" s="983"/>
      <c r="E814" s="983"/>
      <c r="F814" s="983"/>
      <c r="G814" s="989"/>
      <c r="I814" s="491"/>
    </row>
    <row r="815" spans="1:9">
      <c r="A815" s="175"/>
      <c r="B815" s="486" t="s">
        <v>2731</v>
      </c>
      <c r="C815" s="990"/>
      <c r="D815" s="1315" t="s">
        <v>1761</v>
      </c>
      <c r="E815" s="1315"/>
      <c r="F815" s="1315"/>
      <c r="G815" s="989"/>
      <c r="I815" s="484"/>
    </row>
    <row r="816" spans="1:9">
      <c r="A816" s="175"/>
      <c r="B816" s="175"/>
      <c r="C816" s="990"/>
      <c r="D816" s="1315"/>
      <c r="E816" s="1315"/>
      <c r="F816" s="1315"/>
      <c r="G816" s="989"/>
      <c r="I816" s="491"/>
    </row>
    <row r="817" spans="1:9">
      <c r="A817" s="175"/>
      <c r="B817" s="175"/>
      <c r="C817" s="990"/>
      <c r="D817" s="1315"/>
      <c r="E817" s="1315"/>
      <c r="F817" s="1315"/>
      <c r="G817" s="989"/>
      <c r="I817" s="491"/>
    </row>
    <row r="818" spans="1:9">
      <c r="A818" s="175"/>
      <c r="B818" s="175"/>
      <c r="C818" s="990"/>
      <c r="D818" s="1315"/>
      <c r="E818" s="1315"/>
      <c r="F818" s="1315"/>
      <c r="G818" s="989"/>
      <c r="I818" s="491"/>
    </row>
    <row r="819" spans="1:9">
      <c r="A819" s="175"/>
      <c r="B819" s="175"/>
      <c r="C819" s="990"/>
      <c r="D819" s="1315"/>
      <c r="E819" s="1315"/>
      <c r="F819" s="1315"/>
      <c r="G819" s="989"/>
      <c r="I819" s="491"/>
    </row>
    <row r="820" spans="1:9">
      <c r="A820" s="175"/>
      <c r="B820" s="175"/>
      <c r="C820" s="990"/>
      <c r="D820" s="1315"/>
      <c r="E820" s="1315"/>
      <c r="F820" s="1315"/>
      <c r="G820" s="989"/>
      <c r="I820" s="491"/>
    </row>
    <row r="821" spans="1:9">
      <c r="A821" s="175"/>
      <c r="B821" s="175"/>
      <c r="C821" s="990"/>
      <c r="D821" s="983"/>
      <c r="E821" s="983"/>
      <c r="F821" s="983"/>
      <c r="G821" s="989"/>
      <c r="I821" s="491"/>
    </row>
    <row r="822" spans="1:9">
      <c r="A822" s="175"/>
      <c r="B822" s="486" t="s">
        <v>2731</v>
      </c>
      <c r="C822" s="990"/>
      <c r="D822" s="1287" t="s">
        <v>1762</v>
      </c>
      <c r="E822" s="1287"/>
      <c r="F822" s="1287"/>
      <c r="G822" s="989"/>
      <c r="I822" s="484"/>
    </row>
    <row r="823" spans="1:9">
      <c r="A823" s="175"/>
      <c r="B823" s="175"/>
      <c r="C823" s="990"/>
      <c r="D823" s="1287"/>
      <c r="E823" s="1287"/>
      <c r="F823" s="1287"/>
      <c r="G823" s="989"/>
      <c r="I823" s="491"/>
    </row>
    <row r="824" spans="1:9">
      <c r="A824" s="13"/>
      <c r="B824" s="13"/>
      <c r="C824" s="990"/>
      <c r="D824" s="1287"/>
      <c r="E824" s="1287"/>
      <c r="F824" s="1287"/>
      <c r="G824" s="989"/>
      <c r="I824" s="491"/>
    </row>
    <row r="825" spans="1:9">
      <c r="A825" s="175"/>
      <c r="B825" s="13"/>
      <c r="C825" s="990"/>
      <c r="D825" s="1287"/>
      <c r="E825" s="1287"/>
      <c r="F825" s="1287"/>
      <c r="G825" s="989"/>
      <c r="I825" s="491"/>
    </row>
    <row r="826" spans="1:9" ht="12.75" customHeight="1">
      <c r="A826" s="175"/>
      <c r="B826" s="13"/>
      <c r="C826" s="990"/>
      <c r="D826" s="1287"/>
      <c r="E826" s="1287"/>
      <c r="F826" s="1287"/>
      <c r="G826" s="989"/>
      <c r="I826" s="491"/>
    </row>
    <row r="827" spans="1:9" ht="12.75" customHeight="1">
      <c r="A827" s="175"/>
      <c r="B827" s="13"/>
      <c r="C827" s="990"/>
      <c r="D827" s="1287"/>
      <c r="E827" s="1287"/>
      <c r="F827" s="1287"/>
      <c r="G827" s="989"/>
      <c r="I827" s="491"/>
    </row>
    <row r="828" spans="1:9" ht="12.75" customHeight="1">
      <c r="A828" s="13"/>
      <c r="B828" s="13"/>
      <c r="C828" s="990"/>
      <c r="D828" s="989"/>
      <c r="E828" s="3"/>
      <c r="F828" s="3"/>
      <c r="G828" s="989"/>
      <c r="I828" s="491"/>
    </row>
    <row r="829" spans="1:9" ht="12.75" customHeight="1">
      <c r="A829" s="1308" t="s">
        <v>1763</v>
      </c>
      <c r="B829" s="1308"/>
      <c r="C829" s="1308"/>
      <c r="D829" s="1308"/>
      <c r="E829" s="1308"/>
      <c r="F829" s="1308"/>
      <c r="G829" s="1308"/>
      <c r="H829" s="1029"/>
      <c r="I829" s="1155"/>
    </row>
    <row r="830" spans="1:9" ht="12.75" customHeight="1">
      <c r="A830" s="172"/>
      <c r="B830" s="172"/>
      <c r="C830" s="990"/>
      <c r="D830" s="989"/>
      <c r="E830" s="989"/>
      <c r="F830" s="989"/>
      <c r="G830" s="989"/>
      <c r="I830" s="491"/>
    </row>
    <row r="831" spans="1:9" ht="12.75" customHeight="1">
      <c r="A831" s="175"/>
      <c r="B831" s="175"/>
      <c r="C831" s="355"/>
      <c r="D831" s="1312" t="s">
        <v>1803</v>
      </c>
      <c r="E831" s="1312"/>
      <c r="F831" s="1312"/>
      <c r="G831" s="3"/>
      <c r="I831" s="491"/>
    </row>
    <row r="832" spans="1:9" ht="14.25" customHeight="1">
      <c r="A832" s="175"/>
      <c r="B832" s="175"/>
      <c r="C832" s="355"/>
      <c r="D832" s="1259" t="s">
        <v>1764</v>
      </c>
      <c r="E832" s="1259"/>
      <c r="F832" s="1259"/>
      <c r="G832" s="3"/>
      <c r="I832" s="491"/>
    </row>
    <row r="833" spans="1:9" ht="12.75" customHeight="1">
      <c r="A833" s="175"/>
      <c r="B833" s="175"/>
      <c r="C833" s="355"/>
      <c r="D833" s="442"/>
      <c r="E833" s="442"/>
      <c r="F833" s="442"/>
      <c r="G833" s="3"/>
      <c r="I833" s="491"/>
    </row>
    <row r="834" spans="1:9" ht="12.75" customHeight="1">
      <c r="A834" s="355"/>
      <c r="B834" s="486" t="s">
        <v>2730</v>
      </c>
      <c r="C834" s="990"/>
      <c r="D834" s="1259" t="s">
        <v>1765</v>
      </c>
      <c r="E834" s="1259"/>
      <c r="F834" s="1259"/>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17" t="s">
        <v>2077</v>
      </c>
      <c r="E837" s="1317"/>
      <c r="F837" s="1317"/>
      <c r="G837" s="3"/>
      <c r="I837" s="491"/>
    </row>
    <row r="838" spans="1:9" ht="12.75" hidden="1" customHeight="1">
      <c r="A838" s="13"/>
      <c r="B838" s="13"/>
      <c r="C838" s="990"/>
      <c r="D838" s="1317"/>
      <c r="E838" s="1317"/>
      <c r="F838" s="1317"/>
      <c r="G838" s="3"/>
      <c r="I838" s="491"/>
    </row>
    <row r="839" spans="1:9" ht="12.75" hidden="1" customHeight="1">
      <c r="A839" s="13"/>
      <c r="B839" s="13"/>
      <c r="C839" s="990"/>
      <c r="D839" s="1317"/>
      <c r="E839" s="1317"/>
      <c r="F839" s="1317"/>
      <c r="G839" s="3"/>
      <c r="I839" s="491"/>
    </row>
    <row r="840" spans="1:9" ht="12.75" hidden="1" customHeight="1">
      <c r="A840" s="13"/>
      <c r="B840" s="13"/>
      <c r="C840" s="990"/>
      <c r="D840" s="1317"/>
      <c r="E840" s="1317"/>
      <c r="F840" s="1317"/>
      <c r="G840" s="3"/>
      <c r="I840" s="491"/>
    </row>
    <row r="841" spans="1:9" ht="12.75" hidden="1" customHeight="1">
      <c r="A841" s="13"/>
      <c r="B841" s="13"/>
      <c r="C841" s="990"/>
      <c r="D841" s="1317"/>
      <c r="E841" s="1317"/>
      <c r="F841" s="1317"/>
      <c r="G841" s="3"/>
      <c r="I841" s="491"/>
    </row>
    <row r="842" spans="1:9" ht="12.75" hidden="1" customHeight="1">
      <c r="A842" s="13"/>
      <c r="B842" s="13"/>
      <c r="C842" s="990"/>
      <c r="D842" s="1317"/>
      <c r="E842" s="1317"/>
      <c r="F842" s="1317"/>
      <c r="G842" s="3"/>
      <c r="I842" s="491"/>
    </row>
    <row r="843" spans="1:9" ht="12.75" hidden="1" customHeight="1">
      <c r="A843" s="13"/>
      <c r="B843" s="13"/>
      <c r="C843" s="990"/>
      <c r="D843" s="1317"/>
      <c r="E843" s="1317"/>
      <c r="F843" s="1317"/>
      <c r="G843" s="3"/>
      <c r="I843" s="491"/>
    </row>
    <row r="844" spans="1:9" ht="12.75" hidden="1" customHeight="1">
      <c r="A844" s="13"/>
      <c r="B844" s="13"/>
      <c r="C844" s="990"/>
      <c r="D844" s="1317"/>
      <c r="E844" s="1317"/>
      <c r="F844" s="1317"/>
      <c r="G844" s="3"/>
      <c r="I844" s="491"/>
    </row>
    <row r="845" spans="1:9" ht="12.75" hidden="1" customHeight="1">
      <c r="A845" s="13"/>
      <c r="B845" s="13"/>
      <c r="C845" s="990"/>
      <c r="D845" s="1317"/>
      <c r="E845" s="1317"/>
      <c r="F845" s="1317"/>
      <c r="G845" s="3"/>
      <c r="I845" s="491"/>
    </row>
    <row r="846" spans="1:9" ht="12.75" hidden="1" customHeight="1">
      <c r="A846" s="13"/>
      <c r="B846" s="13"/>
      <c r="C846" s="990"/>
      <c r="D846" s="1317"/>
      <c r="E846" s="1317"/>
      <c r="F846" s="1317"/>
      <c r="G846" s="3"/>
      <c r="I846" s="491"/>
    </row>
    <row r="847" spans="1:9" ht="12.75" hidden="1" customHeight="1">
      <c r="A847" s="13"/>
      <c r="B847" s="13"/>
      <c r="C847" s="990"/>
      <c r="D847" s="992"/>
      <c r="E847" s="3"/>
      <c r="F847" s="3"/>
      <c r="G847" s="3"/>
      <c r="I847" s="491"/>
    </row>
    <row r="848" spans="1:9" ht="12.75" customHeight="1">
      <c r="A848" s="175"/>
      <c r="B848" s="486" t="s">
        <v>2730</v>
      </c>
      <c r="C848" s="990"/>
      <c r="D848" s="1259" t="s">
        <v>1766</v>
      </c>
      <c r="E848" s="1259"/>
      <c r="F848" s="1259"/>
      <c r="G848" s="3"/>
      <c r="I848" s="491" t="s">
        <v>1883</v>
      </c>
    </row>
    <row r="849" spans="1:9" ht="12.75" customHeight="1">
      <c r="A849" s="175"/>
      <c r="B849" s="175"/>
      <c r="C849" s="990"/>
      <c r="D849" s="1259"/>
      <c r="E849" s="1259"/>
      <c r="F849" s="1259"/>
      <c r="G849" s="3"/>
      <c r="I849" s="491"/>
    </row>
    <row r="850" spans="1:9" ht="12.75" customHeight="1">
      <c r="A850" s="175"/>
      <c r="B850" s="175"/>
      <c r="C850" s="990"/>
      <c r="D850" s="1259"/>
      <c r="E850" s="1259"/>
      <c r="F850" s="1259"/>
      <c r="G850" s="3"/>
      <c r="I850" s="491"/>
    </row>
    <row r="851" spans="1:9" ht="12.75" customHeight="1">
      <c r="A851" s="175"/>
      <c r="B851" s="175"/>
      <c r="C851" s="990"/>
      <c r="D851" s="118"/>
      <c r="E851" s="3"/>
      <c r="F851" s="3"/>
      <c r="G851" s="3"/>
      <c r="I851" s="491"/>
    </row>
    <row r="852" spans="1:9" ht="12.75" customHeight="1">
      <c r="A852" s="993"/>
      <c r="B852" s="486" t="s">
        <v>2731</v>
      </c>
      <c r="C852" s="990"/>
      <c r="D852" s="1312" t="s">
        <v>1767</v>
      </c>
      <c r="E852" s="1312"/>
      <c r="F852" s="1312"/>
      <c r="G852" s="3"/>
      <c r="I852" s="491"/>
    </row>
    <row r="853" spans="1:9" ht="12.75" customHeight="1">
      <c r="A853" s="355"/>
      <c r="B853" s="993"/>
      <c r="C853" s="990"/>
      <c r="D853" s="1312"/>
      <c r="E853" s="1312"/>
      <c r="F853" s="1312"/>
      <c r="G853" s="3"/>
      <c r="I853" s="491"/>
    </row>
    <row r="854" spans="1:9" ht="12.75" customHeight="1">
      <c r="A854" s="175"/>
      <c r="B854" s="355"/>
      <c r="C854" s="990"/>
      <c r="D854" s="1259" t="s">
        <v>2070</v>
      </c>
      <c r="E854" s="1259"/>
      <c r="F854" s="1259"/>
      <c r="G854" s="3"/>
      <c r="I854" s="491"/>
    </row>
    <row r="855" spans="1:9" ht="12.75" customHeight="1">
      <c r="A855" s="175"/>
      <c r="B855" s="175"/>
      <c r="C855" s="990"/>
      <c r="D855" s="1259"/>
      <c r="E855" s="1259"/>
      <c r="F855" s="1259"/>
      <c r="G855" s="3"/>
      <c r="I855" s="491"/>
    </row>
    <row r="856" spans="1:9" ht="12.75" customHeight="1">
      <c r="A856" s="175"/>
      <c r="B856" s="175"/>
      <c r="C856" s="990"/>
      <c r="D856" s="1259"/>
      <c r="E856" s="1259"/>
      <c r="F856" s="1259"/>
      <c r="G856" s="3"/>
      <c r="I856" s="491"/>
    </row>
    <row r="857" spans="1:9" ht="12.75" customHeight="1">
      <c r="A857" s="175"/>
      <c r="B857" s="175"/>
      <c r="C857" s="990"/>
      <c r="D857" s="1259"/>
      <c r="E857" s="1259"/>
      <c r="F857" s="1259"/>
      <c r="G857" s="3"/>
      <c r="I857" s="491"/>
    </row>
    <row r="858" spans="1:9" ht="12.75" customHeight="1">
      <c r="A858" s="175"/>
      <c r="B858" s="175"/>
      <c r="C858" s="990"/>
      <c r="D858" s="1259"/>
      <c r="E858" s="1259"/>
      <c r="F858" s="1259"/>
      <c r="G858" s="3"/>
      <c r="I858" s="491"/>
    </row>
    <row r="859" spans="1:9" ht="12.75" customHeight="1">
      <c r="A859" s="175"/>
      <c r="B859" s="175"/>
      <c r="C859" s="990"/>
      <c r="D859" s="1259"/>
      <c r="E859" s="1259"/>
      <c r="F859" s="1259"/>
      <c r="G859" s="3"/>
      <c r="I859" s="491"/>
    </row>
    <row r="860" spans="1:9" ht="12.75" customHeight="1">
      <c r="A860" s="175"/>
      <c r="B860" s="175"/>
      <c r="C860" s="990"/>
      <c r="D860" s="118"/>
      <c r="E860" s="3"/>
      <c r="F860" s="3"/>
      <c r="G860" s="3"/>
      <c r="I860" s="491"/>
    </row>
    <row r="861" spans="1:9" ht="12.75" customHeight="1">
      <c r="A861" s="175"/>
      <c r="B861" s="486" t="s">
        <v>2731</v>
      </c>
      <c r="C861" s="990"/>
      <c r="D861" s="1259" t="s">
        <v>1768</v>
      </c>
      <c r="E861" s="1259"/>
      <c r="F861" s="1259"/>
      <c r="G861" s="3"/>
      <c r="I861" s="491" t="s">
        <v>1881</v>
      </c>
    </row>
    <row r="862" spans="1:9" ht="12.75" customHeight="1">
      <c r="A862" s="175"/>
      <c r="B862" s="175"/>
      <c r="C862" s="990"/>
      <c r="D862" s="1259" t="s">
        <v>1769</v>
      </c>
      <c r="E862" s="1259"/>
      <c r="F862" s="1259"/>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2731</v>
      </c>
      <c r="C865" s="990"/>
      <c r="D865" s="1259" t="s">
        <v>1770</v>
      </c>
      <c r="E865" s="1259"/>
      <c r="F865" s="1259"/>
      <c r="G865" s="3"/>
      <c r="I865" s="491" t="s">
        <v>1884</v>
      </c>
    </row>
    <row r="866" spans="1:9" ht="12.75" customHeight="1">
      <c r="A866" s="175"/>
      <c r="B866" s="175"/>
      <c r="C866" s="990"/>
      <c r="D866" s="1259"/>
      <c r="E866" s="1259"/>
      <c r="F866" s="1259"/>
      <c r="G866" s="3"/>
      <c r="I866" s="491"/>
    </row>
    <row r="867" spans="1:9" ht="12.75" customHeight="1">
      <c r="A867" s="175"/>
      <c r="B867" s="175"/>
      <c r="C867" s="990"/>
      <c r="D867" s="1259"/>
      <c r="E867" s="1259"/>
      <c r="F867" s="1259"/>
      <c r="G867" s="3"/>
      <c r="I867" s="491"/>
    </row>
    <row r="868" spans="1:9" ht="12.75" customHeight="1">
      <c r="A868" s="175"/>
      <c r="B868" s="175"/>
      <c r="C868" s="990"/>
      <c r="D868" s="1259"/>
      <c r="E868" s="1259"/>
      <c r="F868" s="1259"/>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1" t="s">
        <v>1804</v>
      </c>
      <c r="E872" s="1321"/>
      <c r="F872" s="1321"/>
      <c r="G872" s="989"/>
      <c r="I872" s="491"/>
    </row>
    <row r="873" spans="1:9" ht="12.75" customHeight="1">
      <c r="A873" s="355"/>
      <c r="B873" s="355"/>
      <c r="C873" s="174"/>
      <c r="D873" s="1316" t="s">
        <v>1772</v>
      </c>
      <c r="E873" s="1316"/>
      <c r="F873" s="1316"/>
      <c r="G873" s="989"/>
      <c r="I873" s="491"/>
    </row>
    <row r="874" spans="1:9" ht="12.75" customHeight="1">
      <c r="A874" s="355"/>
      <c r="B874" s="355"/>
      <c r="C874" s="174"/>
      <c r="D874" s="996"/>
      <c r="E874" s="996"/>
      <c r="F874" s="996"/>
      <c r="G874" s="989"/>
      <c r="I874" s="491"/>
    </row>
    <row r="875" spans="1:9" ht="12.75" customHeight="1">
      <c r="A875" s="175"/>
      <c r="B875" s="486" t="s">
        <v>2730</v>
      </c>
      <c r="C875" s="355"/>
      <c r="D875" s="1299" t="s">
        <v>1773</v>
      </c>
      <c r="E875" s="1299"/>
      <c r="F875" s="1299"/>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2730</v>
      </c>
      <c r="C878" s="355"/>
      <c r="D878" s="1259" t="s">
        <v>1774</v>
      </c>
      <c r="E878" s="1309"/>
      <c r="F878" s="1309"/>
      <c r="G878" s="3"/>
      <c r="I878" s="491" t="s">
        <v>1884</v>
      </c>
    </row>
    <row r="879" spans="1:9" ht="12.75" customHeight="1">
      <c r="A879" s="355"/>
      <c r="B879" s="355"/>
      <c r="C879" s="355"/>
      <c r="D879" s="1309"/>
      <c r="E879" s="1309"/>
      <c r="F879" s="1309"/>
      <c r="G879" s="3"/>
      <c r="I879" s="491"/>
    </row>
    <row r="880" spans="1:9" ht="12.75" customHeight="1">
      <c r="A880" s="355"/>
      <c r="B880" s="355"/>
      <c r="C880" s="355"/>
      <c r="D880" s="118"/>
      <c r="E880" s="3"/>
      <c r="F880" s="3"/>
      <c r="G880" s="3"/>
      <c r="I880" s="491"/>
    </row>
    <row r="881" spans="1:9" ht="12.75" customHeight="1">
      <c r="A881" s="355"/>
      <c r="B881" s="486" t="s">
        <v>2731</v>
      </c>
      <c r="C881" s="355"/>
      <c r="D881" s="1310" t="s">
        <v>1775</v>
      </c>
      <c r="E881" s="1310"/>
      <c r="F881" s="1310"/>
      <c r="G881" s="989"/>
      <c r="I881" s="491"/>
    </row>
    <row r="882" spans="1:9" ht="12.75" customHeight="1">
      <c r="A882" s="355"/>
      <c r="B882" s="997"/>
      <c r="C882" s="355"/>
      <c r="D882" s="1310"/>
      <c r="E882" s="1310"/>
      <c r="F882" s="1310"/>
      <c r="G882" s="989"/>
      <c r="I882" s="491"/>
    </row>
    <row r="883" spans="1:9" ht="12.75" customHeight="1">
      <c r="A883" s="175"/>
      <c r="B883"/>
      <c r="C883" s="355"/>
      <c r="D883" s="1259" t="s">
        <v>2070</v>
      </c>
      <c r="E883" s="1259"/>
      <c r="F883" s="1259"/>
      <c r="G883" s="989"/>
      <c r="I883" s="491"/>
    </row>
    <row r="884" spans="1:9" ht="12.75" customHeight="1">
      <c r="A884" s="175"/>
      <c r="B884" s="175"/>
      <c r="C884" s="355"/>
      <c r="D884" s="1259"/>
      <c r="E884" s="1259"/>
      <c r="F884" s="1259"/>
      <c r="G884" s="989"/>
      <c r="I884" s="491"/>
    </row>
    <row r="885" spans="1:9" ht="12.75" customHeight="1">
      <c r="A885" s="175"/>
      <c r="B885" s="175"/>
      <c r="C885" s="355"/>
      <c r="D885" s="1259"/>
      <c r="E885" s="1259"/>
      <c r="F885" s="1259"/>
      <c r="G885" s="989"/>
      <c r="I885" s="491"/>
    </row>
    <row r="886" spans="1:9" ht="12.75" customHeight="1">
      <c r="A886" s="175"/>
      <c r="B886" s="175"/>
      <c r="C886" s="355"/>
      <c r="D886" s="1259"/>
      <c r="E886" s="1259"/>
      <c r="F886" s="1259"/>
      <c r="G886" s="989"/>
      <c r="I886" s="491"/>
    </row>
    <row r="887" spans="1:9" ht="12.75" customHeight="1">
      <c r="A887" s="175"/>
      <c r="B887" s="175"/>
      <c r="C887" s="355"/>
      <c r="D887" s="1259"/>
      <c r="E887" s="1259"/>
      <c r="F887" s="1259"/>
      <c r="G887" s="989"/>
      <c r="I887" s="491"/>
    </row>
    <row r="888" spans="1:9" ht="12.75" customHeight="1">
      <c r="A888" s="175"/>
      <c r="B888" s="175"/>
      <c r="C888" s="355"/>
      <c r="D888" s="1259"/>
      <c r="E888" s="1259"/>
      <c r="F888" s="1259"/>
      <c r="G888" s="989"/>
      <c r="I888" s="491"/>
    </row>
    <row r="889" spans="1:9" ht="12.75" customHeight="1">
      <c r="A889" s="175"/>
      <c r="B889" s="175"/>
      <c r="C889" s="355"/>
      <c r="D889" s="118"/>
      <c r="E889" s="989"/>
      <c r="F889" s="989"/>
      <c r="G889" s="989"/>
      <c r="I889" s="491"/>
    </row>
    <row r="890" spans="1:9" ht="12.75" customHeight="1">
      <c r="A890" s="175"/>
      <c r="B890" s="486" t="s">
        <v>2731</v>
      </c>
      <c r="C890" s="355"/>
      <c r="D890" s="1300" t="s">
        <v>1768</v>
      </c>
      <c r="E890" s="1300"/>
      <c r="F890" s="1300"/>
      <c r="G890" s="989"/>
      <c r="I890" s="491"/>
    </row>
    <row r="891" spans="1:9" ht="12.75" customHeight="1">
      <c r="A891" s="175"/>
      <c r="B891" s="175"/>
      <c r="C891" s="355"/>
      <c r="D891" s="1300" t="s">
        <v>1769</v>
      </c>
      <c r="E891" s="1300"/>
      <c r="F891" s="1300"/>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2731</v>
      </c>
      <c r="C894" s="355"/>
      <c r="D894" s="1259" t="s">
        <v>1770</v>
      </c>
      <c r="E894" s="1259"/>
      <c r="F894" s="1259"/>
      <c r="G894" s="989"/>
      <c r="I894" s="491"/>
    </row>
    <row r="895" spans="1:9" ht="12.75" customHeight="1">
      <c r="A895" s="175"/>
      <c r="B895" s="175"/>
      <c r="C895" s="355"/>
      <c r="D895" s="1259"/>
      <c r="E895" s="1259"/>
      <c r="F895" s="1259"/>
      <c r="G895" s="989"/>
      <c r="I895" s="491"/>
    </row>
    <row r="896" spans="1:9" ht="12.75" customHeight="1">
      <c r="A896" s="175"/>
      <c r="B896" s="175"/>
      <c r="C896" s="355"/>
      <c r="D896" s="1259"/>
      <c r="E896" s="1259"/>
      <c r="F896" s="1259"/>
      <c r="G896" s="989"/>
      <c r="I896" s="491"/>
    </row>
    <row r="897" spans="1:9" ht="12.75" customHeight="1">
      <c r="A897" s="175"/>
      <c r="B897" s="175"/>
      <c r="C897" s="355"/>
      <c r="D897" s="1259"/>
      <c r="E897" s="1259"/>
      <c r="F897" s="1259"/>
      <c r="G897" s="989"/>
      <c r="I897" s="491"/>
    </row>
    <row r="898" spans="1:9" ht="12.75" customHeight="1">
      <c r="A898" s="118"/>
      <c r="B898" s="118"/>
      <c r="C898" s="990"/>
      <c r="D898" s="989"/>
      <c r="E898" s="989"/>
      <c r="F898" s="989"/>
      <c r="G898" s="989"/>
      <c r="I898" s="491"/>
    </row>
    <row r="899" spans="1:9" ht="12.75" customHeight="1">
      <c r="A899" s="1308" t="s">
        <v>1805</v>
      </c>
      <c r="B899" s="1308"/>
      <c r="C899" s="1308"/>
      <c r="D899" s="1308"/>
      <c r="E899" s="1308"/>
      <c r="F899" s="1308"/>
      <c r="G899" s="1308"/>
      <c r="H899" s="1029"/>
      <c r="I899" s="1155"/>
    </row>
    <row r="900" spans="1:9" ht="12.75" customHeight="1">
      <c r="A900" s="57"/>
      <c r="B900" s="57"/>
      <c r="C900" s="57"/>
      <c r="D900" s="57"/>
      <c r="E900" s="57"/>
      <c r="F900" s="57"/>
      <c r="G900" s="57"/>
      <c r="I900" s="491"/>
    </row>
    <row r="901" spans="1:9" ht="12.75" customHeight="1">
      <c r="A901" s="57"/>
      <c r="B901" s="57"/>
      <c r="C901" s="57"/>
      <c r="D901" s="1324" t="s">
        <v>1811</v>
      </c>
      <c r="E901" s="1324"/>
      <c r="F901" s="1324"/>
      <c r="G901" s="57"/>
      <c r="I901" s="491"/>
    </row>
    <row r="902" spans="1:9" ht="12.75" customHeight="1">
      <c r="A902" s="57"/>
      <c r="B902" s="57"/>
      <c r="C902" s="57"/>
      <c r="D902" s="982"/>
      <c r="E902" s="982"/>
      <c r="F902" s="982"/>
      <c r="G902" s="57"/>
      <c r="I902" s="491"/>
    </row>
    <row r="903" spans="1:9" ht="12.75" customHeight="1">
      <c r="A903" s="57"/>
      <c r="B903" s="486" t="s">
        <v>2731</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4" t="s">
        <v>1806</v>
      </c>
      <c r="E905" s="1324"/>
      <c r="F905" s="1324"/>
      <c r="G905" s="989"/>
      <c r="I905" s="491"/>
    </row>
    <row r="906" spans="1:9" ht="12.75" customHeight="1">
      <c r="A906" s="172"/>
      <c r="B906" s="172"/>
      <c r="C906" s="172"/>
      <c r="D906" s="1299" t="s">
        <v>1776</v>
      </c>
      <c r="E906" s="1299"/>
      <c r="F906" s="1299"/>
      <c r="G906" s="989"/>
      <c r="I906" s="491"/>
    </row>
    <row r="907" spans="1:9" ht="12.75" customHeight="1">
      <c r="A907" s="990"/>
      <c r="B907" s="990"/>
      <c r="C907" s="990"/>
      <c r="D907" s="2"/>
      <c r="E907" s="989"/>
      <c r="F907" s="989"/>
      <c r="G907" s="989"/>
      <c r="I907" s="491"/>
    </row>
    <row r="908" spans="1:9" ht="12.75" customHeight="1">
      <c r="A908" s="175"/>
      <c r="B908" s="486" t="s">
        <v>2730</v>
      </c>
      <c r="C908" s="355"/>
      <c r="D908" s="1259" t="s">
        <v>1780</v>
      </c>
      <c r="E908" s="1259"/>
      <c r="F908" s="1259"/>
      <c r="G908" s="3"/>
      <c r="I908" s="491"/>
    </row>
    <row r="909" spans="1:9" ht="12.75" customHeight="1">
      <c r="A909" s="355"/>
      <c r="B909" s="355"/>
      <c r="C909" s="355"/>
      <c r="D909" s="1259"/>
      <c r="E909" s="1259"/>
      <c r="F909" s="1259"/>
      <c r="G909" s="3"/>
      <c r="I909" s="491"/>
    </row>
    <row r="910" spans="1:9" ht="12.75" customHeight="1">
      <c r="A910" s="172"/>
      <c r="B910" s="172"/>
      <c r="C910" s="172"/>
      <c r="D910" s="1259" t="s">
        <v>1779</v>
      </c>
      <c r="E910" s="1259"/>
      <c r="F910" s="1259"/>
      <c r="G910" s="989"/>
      <c r="I910" s="491"/>
    </row>
    <row r="911" spans="1:9" ht="12.75" customHeight="1">
      <c r="A911" s="172"/>
      <c r="B911" s="172"/>
      <c r="C911" s="172"/>
      <c r="D911" s="1259"/>
      <c r="E911" s="1259"/>
      <c r="F911" s="1259"/>
      <c r="G911" s="989"/>
      <c r="I911" s="491"/>
    </row>
    <row r="912" spans="1:9" ht="12.75" customHeight="1">
      <c r="A912" s="172"/>
      <c r="B912" s="172"/>
      <c r="C912" s="172"/>
      <c r="D912" s="3"/>
      <c r="E912" s="3"/>
      <c r="F912" s="989"/>
      <c r="G912" s="989"/>
      <c r="I912" s="491"/>
    </row>
    <row r="913" spans="1:9" ht="12.75" customHeight="1">
      <c r="A913" s="175"/>
      <c r="B913" s="486" t="s">
        <v>2730</v>
      </c>
      <c r="C913" s="174"/>
      <c r="D913" s="1263" t="s">
        <v>1777</v>
      </c>
      <c r="E913" s="1263"/>
      <c r="F913" s="1263"/>
      <c r="G913" s="989"/>
      <c r="I913" s="491"/>
    </row>
    <row r="914" spans="1:9" ht="12.75" customHeight="1">
      <c r="A914" s="175"/>
      <c r="B914" s="175"/>
      <c r="C914" s="174"/>
      <c r="D914" s="1263"/>
      <c r="E914" s="1263"/>
      <c r="F914" s="1263"/>
      <c r="G914" s="989"/>
      <c r="I914" s="491"/>
    </row>
    <row r="915" spans="1:9" ht="12.75" customHeight="1">
      <c r="A915" s="175"/>
      <c r="B915" s="175"/>
      <c r="C915" s="174"/>
      <c r="D915" s="1263"/>
      <c r="E915" s="1263"/>
      <c r="F915" s="1263"/>
      <c r="G915" s="989"/>
      <c r="I915" s="491"/>
    </row>
    <row r="916" spans="1:9" ht="12.75" customHeight="1">
      <c r="A916" s="175"/>
      <c r="B916" s="175"/>
      <c r="C916" s="174"/>
      <c r="D916" s="1263"/>
      <c r="E916" s="1263"/>
      <c r="F916" s="1263"/>
      <c r="G916" s="989"/>
      <c r="I916" s="491"/>
    </row>
    <row r="917" spans="1:9" ht="12.75" customHeight="1">
      <c r="A917" s="175"/>
      <c r="B917" s="175"/>
      <c r="C917" s="174"/>
      <c r="D917" s="1263"/>
      <c r="E917" s="1263"/>
      <c r="F917" s="1263"/>
      <c r="G917" s="989"/>
      <c r="I917" s="491"/>
    </row>
    <row r="918" spans="1:9" ht="12.75" customHeight="1">
      <c r="A918" s="174"/>
      <c r="B918" s="174"/>
      <c r="C918" s="174"/>
      <c r="D918" s="1263"/>
      <c r="E918" s="1263"/>
      <c r="F918" s="1263"/>
      <c r="G918" s="989"/>
      <c r="I918" s="491"/>
    </row>
    <row r="919" spans="1:9" ht="12.75" customHeight="1">
      <c r="A919" s="174"/>
      <c r="B919" s="174"/>
      <c r="C919" s="174"/>
      <c r="D919" s="1263"/>
      <c r="E919" s="1263"/>
      <c r="F919" s="1263"/>
      <c r="G919" s="989"/>
      <c r="I919" s="491"/>
    </row>
    <row r="920" spans="1:9" ht="12.75" customHeight="1">
      <c r="A920" s="174"/>
      <c r="B920" s="174"/>
      <c r="C920" s="174"/>
      <c r="D920" s="1263"/>
      <c r="E920" s="1263"/>
      <c r="F920" s="1263"/>
      <c r="G920" s="989"/>
      <c r="I920" s="491"/>
    </row>
    <row r="921" spans="1:9" ht="12.75" customHeight="1">
      <c r="A921" s="174"/>
      <c r="B921" s="174"/>
      <c r="C921" s="174"/>
      <c r="D921" s="336"/>
      <c r="E921" s="336"/>
      <c r="F921" s="336"/>
      <c r="G921" s="989"/>
      <c r="I921" s="491"/>
    </row>
    <row r="922" spans="1:9" ht="12.75" customHeight="1">
      <c r="A922" s="990"/>
      <c r="B922" s="486" t="s">
        <v>2731</v>
      </c>
      <c r="C922" s="990"/>
      <c r="D922" s="1259" t="s">
        <v>1781</v>
      </c>
      <c r="E922" s="1259"/>
      <c r="F922" s="1259"/>
      <c r="G922" s="989"/>
      <c r="I922" s="491"/>
    </row>
    <row r="923" spans="1:9" ht="12.75" customHeight="1">
      <c r="A923" s="990"/>
      <c r="B923" s="990"/>
      <c r="C923" s="990"/>
      <c r="D923" s="1259"/>
      <c r="E923" s="1259"/>
      <c r="F923" s="1259"/>
      <c r="G923" s="989"/>
      <c r="I923" s="491"/>
    </row>
    <row r="924" spans="1:9" ht="12.75" customHeight="1">
      <c r="A924" s="990"/>
      <c r="B924" s="990"/>
      <c r="C924" s="990"/>
      <c r="D924" s="989"/>
      <c r="E924" s="989"/>
      <c r="F924" s="989"/>
      <c r="G924" s="989"/>
      <c r="I924" s="491"/>
    </row>
    <row r="925" spans="1:9" ht="12.75" customHeight="1">
      <c r="A925" s="990"/>
      <c r="B925" s="486" t="s">
        <v>2731</v>
      </c>
      <c r="C925" s="990"/>
      <c r="D925" s="1287" t="s">
        <v>1782</v>
      </c>
      <c r="E925" s="1287"/>
      <c r="F925" s="1287"/>
      <c r="G925" s="989"/>
      <c r="I925" s="491"/>
    </row>
    <row r="926" spans="1:9" ht="12.75" customHeight="1">
      <c r="A926" s="990"/>
      <c r="B926" s="990"/>
      <c r="C926" s="990"/>
      <c r="D926" s="1287"/>
      <c r="E926" s="1287"/>
      <c r="F926" s="1287"/>
      <c r="G926" s="989"/>
      <c r="I926" s="491"/>
    </row>
    <row r="927" spans="1:9" ht="12.75" customHeight="1">
      <c r="A927" s="990"/>
      <c r="B927" s="990"/>
      <c r="C927" s="990"/>
      <c r="D927" s="1287"/>
      <c r="E927" s="1287"/>
      <c r="F927" s="1287"/>
      <c r="G927" s="989"/>
      <c r="I927" s="491"/>
    </row>
    <row r="928" spans="1:9" ht="12.75" customHeight="1">
      <c r="A928" s="990"/>
      <c r="B928" s="990"/>
      <c r="C928" s="990"/>
      <c r="D928" s="1287"/>
      <c r="E928" s="1287"/>
      <c r="F928" s="1287"/>
      <c r="G928" s="989"/>
      <c r="I928" s="491"/>
    </row>
    <row r="929" spans="1:9" ht="12.75" customHeight="1">
      <c r="A929" s="990"/>
      <c r="B929" s="990"/>
      <c r="C929" s="990"/>
      <c r="D929" s="118"/>
      <c r="E929" s="989"/>
      <c r="F929" s="989"/>
      <c r="G929" s="989"/>
      <c r="I929" s="491"/>
    </row>
    <row r="930" spans="1:9" ht="12.75" customHeight="1">
      <c r="A930" s="990"/>
      <c r="B930" s="486" t="s">
        <v>2731</v>
      </c>
      <c r="C930" s="990"/>
      <c r="D930" s="1299" t="s">
        <v>2071</v>
      </c>
      <c r="E930" s="1299"/>
      <c r="F930" s="1299"/>
      <c r="G930" s="989"/>
      <c r="I930" s="491"/>
    </row>
    <row r="931" spans="1:9" ht="12.75" customHeight="1">
      <c r="A931" s="990"/>
      <c r="B931" s="990"/>
      <c r="C931" s="990"/>
      <c r="D931" s="118"/>
      <c r="E931" s="989"/>
      <c r="F931" s="989"/>
      <c r="G931" s="989"/>
      <c r="I931" s="491"/>
    </row>
    <row r="932" spans="1:9" ht="12.75" customHeight="1">
      <c r="A932" s="990"/>
      <c r="B932" s="486" t="s">
        <v>2731</v>
      </c>
      <c r="C932" s="990"/>
      <c r="D932" s="1299" t="s">
        <v>2072</v>
      </c>
      <c r="E932" s="1299"/>
      <c r="F932" s="1299"/>
      <c r="G932" s="989"/>
      <c r="I932" s="491"/>
    </row>
    <row r="933" spans="1:9" ht="12.75" customHeight="1">
      <c r="A933" s="174"/>
      <c r="B933" s="174"/>
      <c r="C933" s="174"/>
      <c r="D933" s="2"/>
      <c r="E933" s="3"/>
      <c r="F933" s="989"/>
      <c r="G933" s="989"/>
      <c r="I933" s="491"/>
    </row>
    <row r="934" spans="1:9" ht="12.75" customHeight="1">
      <c r="A934" s="998"/>
      <c r="B934" s="486" t="s">
        <v>2730</v>
      </c>
      <c r="C934" s="999"/>
      <c r="D934" s="1263" t="s">
        <v>1778</v>
      </c>
      <c r="E934" s="1263"/>
      <c r="F934" s="1263"/>
      <c r="G934" s="1000"/>
      <c r="I934" s="491"/>
    </row>
    <row r="935" spans="1:9" ht="12.75" customHeight="1">
      <c r="A935" s="998"/>
      <c r="B935" s="998"/>
      <c r="C935" s="999"/>
      <c r="D935" s="1263"/>
      <c r="E935" s="1263"/>
      <c r="F935" s="1263"/>
      <c r="G935" s="1000"/>
      <c r="I935" s="491"/>
    </row>
    <row r="936" spans="1:9" ht="12.75" customHeight="1">
      <c r="A936" s="998"/>
      <c r="B936" s="998"/>
      <c r="C936" s="999"/>
      <c r="D936" s="1263"/>
      <c r="E936" s="1263"/>
      <c r="F936" s="1263"/>
      <c r="G936" s="1000"/>
      <c r="I936" s="491"/>
    </row>
    <row r="937" spans="1:9" ht="12.75" customHeight="1">
      <c r="A937" s="998"/>
      <c r="B937" s="998"/>
      <c r="C937" s="999"/>
      <c r="D937" s="1263"/>
      <c r="E937" s="1263"/>
      <c r="F937" s="1263"/>
      <c r="G937" s="1000"/>
      <c r="I937" s="491"/>
    </row>
    <row r="938" spans="1:9" ht="12.75" customHeight="1">
      <c r="A938" s="998"/>
      <c r="B938" s="998"/>
      <c r="C938" s="999"/>
      <c r="D938" s="1263"/>
      <c r="E938" s="1263"/>
      <c r="F938" s="1263"/>
      <c r="G938" s="1000"/>
      <c r="I938" s="491"/>
    </row>
    <row r="939" spans="1:9" ht="12.75" customHeight="1">
      <c r="A939" s="998"/>
      <c r="B939" s="998"/>
      <c r="C939" s="999"/>
      <c r="D939" s="1263"/>
      <c r="E939" s="1263"/>
      <c r="F939" s="1263"/>
      <c r="G939" s="1000"/>
      <c r="I939" s="491"/>
    </row>
    <row r="940" spans="1:9" ht="12.75" customHeight="1">
      <c r="A940" s="998"/>
      <c r="B940" s="998"/>
      <c r="C940" s="999"/>
      <c r="D940" s="1263"/>
      <c r="E940" s="1263"/>
      <c r="F940" s="1263"/>
      <c r="G940" s="1000"/>
      <c r="I940" s="491"/>
    </row>
    <row r="941" spans="1:9" ht="12.75" customHeight="1">
      <c r="A941" s="998"/>
      <c r="B941" s="998"/>
      <c r="C941" s="999"/>
      <c r="D941" s="1263"/>
      <c r="E941" s="1263"/>
      <c r="F941" s="1263"/>
      <c r="G941" s="1000"/>
      <c r="I941" s="491"/>
    </row>
    <row r="942" spans="1:9" ht="12.75" customHeight="1">
      <c r="A942" s="998"/>
      <c r="B942" s="998"/>
      <c r="C942" s="999"/>
      <c r="D942" s="1263"/>
      <c r="E942" s="1263"/>
      <c r="F942" s="1263"/>
      <c r="G942" s="1000"/>
      <c r="I942" s="491"/>
    </row>
    <row r="943" spans="1:9" ht="12.75" customHeight="1">
      <c r="A943" s="174"/>
      <c r="B943" s="174"/>
      <c r="C943" s="174"/>
      <c r="D943" s="2"/>
      <c r="E943" s="3"/>
      <c r="F943" s="989"/>
      <c r="G943" s="989"/>
      <c r="I943" s="491"/>
    </row>
    <row r="944" spans="1:9" ht="12.75" customHeight="1">
      <c r="A944" s="175"/>
      <c r="B944" s="486" t="s">
        <v>2730</v>
      </c>
      <c r="C944" s="174"/>
      <c r="D944" s="1318" t="s">
        <v>1887</v>
      </c>
      <c r="E944" s="1318"/>
      <c r="F944" s="1318"/>
      <c r="G944" s="989"/>
      <c r="I944" s="491"/>
    </row>
    <row r="945" spans="1:9" ht="12.75" customHeight="1">
      <c r="A945" s="175"/>
      <c r="B945" s="175"/>
      <c r="C945" s="174"/>
      <c r="D945" s="1318"/>
      <c r="E945" s="1318"/>
      <c r="F945" s="1318"/>
      <c r="G945" s="989"/>
      <c r="I945" s="491"/>
    </row>
    <row r="946" spans="1:9" ht="12.75" customHeight="1">
      <c r="A946" s="175"/>
      <c r="B946" s="175"/>
      <c r="C946" s="174"/>
      <c r="D946" s="1318"/>
      <c r="E946" s="1318"/>
      <c r="F946" s="1318"/>
      <c r="G946" s="989"/>
      <c r="I946" s="491"/>
    </row>
    <row r="947" spans="1:9" ht="12.75" customHeight="1">
      <c r="A947" s="175"/>
      <c r="B947" s="175"/>
      <c r="C947" s="174"/>
      <c r="D947" s="1318"/>
      <c r="E947" s="1318"/>
      <c r="F947" s="1318"/>
      <c r="G947" s="989"/>
      <c r="I947" s="491"/>
    </row>
    <row r="948" spans="1:9" ht="12.75" customHeight="1">
      <c r="A948" s="175"/>
      <c r="B948" s="175"/>
      <c r="C948" s="174"/>
      <c r="D948" s="1318"/>
      <c r="E948" s="1318"/>
      <c r="F948" s="1318"/>
      <c r="G948" s="989"/>
      <c r="I948" s="491"/>
    </row>
    <row r="949" spans="1:9" ht="12.75" customHeight="1">
      <c r="A949" s="175"/>
      <c r="B949" s="175"/>
      <c r="C949" s="174"/>
      <c r="D949" s="1318"/>
      <c r="E949" s="1318"/>
      <c r="F949" s="1318"/>
      <c r="G949" s="989"/>
      <c r="I949" s="491"/>
    </row>
    <row r="950" spans="1:9" ht="12.75" customHeight="1">
      <c r="A950" s="175"/>
      <c r="B950" s="175"/>
      <c r="C950" s="174"/>
      <c r="D950" s="1318"/>
      <c r="E950" s="1318"/>
      <c r="F950" s="1318"/>
      <c r="G950" s="989"/>
      <c r="I950" s="491"/>
    </row>
    <row r="951" spans="1:9" ht="12.75" customHeight="1">
      <c r="A951" s="175"/>
      <c r="B951" s="175"/>
      <c r="C951" s="174"/>
      <c r="D951" s="1027"/>
      <c r="E951" s="1027"/>
      <c r="F951" s="1027"/>
      <c r="G951" s="989"/>
      <c r="I951" s="491"/>
    </row>
    <row r="952" spans="1:9" ht="12.75" customHeight="1">
      <c r="A952" s="175"/>
      <c r="B952" s="486" t="s">
        <v>2730</v>
      </c>
      <c r="C952" s="174"/>
      <c r="D952" s="1262" t="s">
        <v>2139</v>
      </c>
      <c r="E952" s="1262"/>
      <c r="F952" s="1262"/>
      <c r="G952" s="989"/>
      <c r="I952" s="491"/>
    </row>
    <row r="953" spans="1:9" ht="12.75" customHeight="1">
      <c r="A953" s="175"/>
      <c r="B953" s="175"/>
      <c r="C953" s="174"/>
      <c r="D953" s="1262"/>
      <c r="E953" s="1262"/>
      <c r="F953" s="1262"/>
      <c r="G953" s="989"/>
      <c r="I953" s="491"/>
    </row>
    <row r="954" spans="1:9" ht="12.75" customHeight="1">
      <c r="A954" s="175"/>
      <c r="B954" s="175"/>
      <c r="C954" s="174"/>
      <c r="D954" s="1262"/>
      <c r="E954" s="1262"/>
      <c r="F954" s="1262"/>
      <c r="G954" s="989"/>
      <c r="I954" s="491"/>
    </row>
    <row r="955" spans="1:9" ht="12.75" customHeight="1">
      <c r="A955" s="175"/>
      <c r="B955" s="175"/>
      <c r="C955" s="174"/>
      <c r="D955" s="1262"/>
      <c r="E955" s="1262"/>
      <c r="F955" s="1262"/>
      <c r="G955" s="989"/>
      <c r="I955" s="491"/>
    </row>
    <row r="956" spans="1:9" ht="12.75" customHeight="1">
      <c r="A956" s="175"/>
      <c r="B956" s="175"/>
      <c r="C956" s="174"/>
      <c r="D956" s="1262"/>
      <c r="E956" s="1262"/>
      <c r="F956" s="1262"/>
      <c r="G956" s="989"/>
      <c r="I956" s="491"/>
    </row>
    <row r="957" spans="1:9" ht="12.75" customHeight="1">
      <c r="A957" s="175"/>
      <c r="B957" s="175"/>
      <c r="C957" s="174"/>
      <c r="D957" s="1262"/>
      <c r="E957" s="1262"/>
      <c r="F957" s="1262"/>
      <c r="G957" s="989"/>
      <c r="I957" s="491"/>
    </row>
    <row r="958" spans="1:9" ht="12.75" customHeight="1">
      <c r="A958" s="175"/>
      <c r="B958" s="175"/>
      <c r="C958" s="174"/>
      <c r="D958" s="1027"/>
      <c r="E958" s="1027"/>
      <c r="F958" s="1027"/>
      <c r="G958" s="989"/>
      <c r="I958" s="491"/>
    </row>
    <row r="959" spans="1:9" ht="12.75" customHeight="1">
      <c r="A959" s="990"/>
      <c r="B959" s="486" t="s">
        <v>2731</v>
      </c>
      <c r="C959" s="990"/>
      <c r="D959" s="1287" t="s">
        <v>1783</v>
      </c>
      <c r="E959" s="1287"/>
      <c r="F959" s="1287"/>
      <c r="G959" s="989"/>
      <c r="I959" s="491"/>
    </row>
    <row r="960" spans="1:9" ht="12.75" customHeight="1">
      <c r="A960" s="990"/>
      <c r="B960" s="990"/>
      <c r="C960" s="990"/>
      <c r="D960" s="1287"/>
      <c r="E960" s="1287"/>
      <c r="F960" s="1287"/>
      <c r="G960" s="989"/>
      <c r="I960" s="491"/>
    </row>
    <row r="961" spans="1:9" ht="12.75" customHeight="1">
      <c r="A961" s="990"/>
      <c r="B961" s="990"/>
      <c r="C961" s="990"/>
      <c r="D961" s="1287"/>
      <c r="E961" s="1287"/>
      <c r="F961" s="1287"/>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2731</v>
      </c>
      <c r="C964" s="174"/>
      <c r="D964" s="1263" t="s">
        <v>1886</v>
      </c>
      <c r="E964" s="1263"/>
      <c r="F964" s="1263"/>
      <c r="G964" s="989"/>
      <c r="I964" s="491"/>
    </row>
    <row r="965" spans="1:9" ht="12.75" customHeight="1">
      <c r="A965" s="175"/>
      <c r="B965" s="175"/>
      <c r="C965" s="174"/>
      <c r="D965" s="1263"/>
      <c r="E965" s="1263"/>
      <c r="F965" s="1263"/>
      <c r="G965" s="989"/>
      <c r="I965" s="491"/>
    </row>
    <row r="966" spans="1:9" ht="12.75" customHeight="1">
      <c r="A966" s="175"/>
      <c r="B966" s="175"/>
      <c r="C966" s="174"/>
      <c r="D966" s="1263"/>
      <c r="E966" s="1263"/>
      <c r="F966" s="1263"/>
      <c r="G966" s="989"/>
      <c r="I966" s="491"/>
    </row>
    <row r="967" spans="1:9" ht="12.75" customHeight="1">
      <c r="A967" s="175"/>
      <c r="B967" s="175"/>
      <c r="C967" s="174"/>
      <c r="D967" s="1263"/>
      <c r="E967" s="1263"/>
      <c r="F967" s="1263"/>
      <c r="G967" s="989"/>
      <c r="I967" s="491"/>
    </row>
    <row r="968" spans="1:9" ht="12.75" customHeight="1">
      <c r="A968" s="990"/>
      <c r="B968" s="990"/>
      <c r="C968" s="990"/>
      <c r="D968" s="981"/>
      <c r="E968" s="981"/>
      <c r="F968" s="981"/>
      <c r="G968" s="981"/>
      <c r="I968" s="491"/>
    </row>
    <row r="969" spans="1:9" ht="12.75" customHeight="1">
      <c r="A969" s="355"/>
      <c r="B969" s="355"/>
      <c r="C969" s="355"/>
      <c r="D969" s="1321" t="s">
        <v>1784</v>
      </c>
      <c r="E969" s="1321"/>
      <c r="F969" s="1321"/>
      <c r="G969" s="3"/>
      <c r="I969" s="491"/>
    </row>
    <row r="970" spans="1:9" ht="12.75" customHeight="1">
      <c r="A970" s="175"/>
      <c r="B970" s="486" t="s">
        <v>2731</v>
      </c>
      <c r="C970" s="355"/>
      <c r="D970" s="1299" t="s">
        <v>1807</v>
      </c>
      <c r="E970" s="1299"/>
      <c r="F970" s="1299"/>
      <c r="G970" s="3"/>
      <c r="I970" s="491"/>
    </row>
    <row r="971" spans="1:9" ht="12.75" customHeight="1">
      <c r="A971" s="355"/>
      <c r="B971" s="355"/>
      <c r="C971" s="355"/>
      <c r="D971" s="3"/>
      <c r="E971" s="3"/>
      <c r="F971" s="3"/>
      <c r="G971" s="3"/>
      <c r="I971" s="491"/>
    </row>
    <row r="972" spans="1:9" ht="12.75" customHeight="1">
      <c r="A972" s="355"/>
      <c r="B972" s="355"/>
      <c r="C972" s="355"/>
      <c r="D972" s="1321" t="s">
        <v>1785</v>
      </c>
      <c r="E972" s="1321"/>
      <c r="F972" s="1321"/>
      <c r="G972"/>
      <c r="I972" s="491"/>
    </row>
    <row r="973" spans="1:9" ht="12.75" customHeight="1">
      <c r="A973" s="175"/>
      <c r="B973" s="486" t="s">
        <v>2731</v>
      </c>
      <c r="C973" s="355"/>
      <c r="D973" s="1259" t="s">
        <v>2073</v>
      </c>
      <c r="E973" s="1259"/>
      <c r="F973" s="1259"/>
      <c r="G973"/>
      <c r="I973" s="491"/>
    </row>
    <row r="974" spans="1:9" ht="12.75" customHeight="1">
      <c r="A974" s="175"/>
      <c r="B974" s="175"/>
      <c r="C974" s="355"/>
      <c r="D974" s="1259"/>
      <c r="E974" s="1259"/>
      <c r="F974" s="1259"/>
      <c r="G974"/>
      <c r="I974" s="491"/>
    </row>
    <row r="975" spans="1:9" ht="12.75" customHeight="1">
      <c r="A975" s="175"/>
      <c r="B975" s="175"/>
      <c r="C975" s="355"/>
      <c r="D975" s="1259"/>
      <c r="E975" s="1259"/>
      <c r="F975" s="1259"/>
      <c r="G975"/>
      <c r="I975" s="491"/>
    </row>
    <row r="976" spans="1:9" ht="12.75" customHeight="1">
      <c r="A976" s="175"/>
      <c r="B976" s="175"/>
      <c r="C976" s="355"/>
      <c r="D976" s="1259"/>
      <c r="E976" s="1259"/>
      <c r="F976" s="1259"/>
      <c r="G976"/>
      <c r="I976" s="491"/>
    </row>
    <row r="977" spans="1:9" ht="12.75" customHeight="1">
      <c r="A977" s="175"/>
      <c r="B977" s="175"/>
      <c r="C977" s="355"/>
      <c r="D977" s="1259"/>
      <c r="E977" s="1259"/>
      <c r="F977" s="1259"/>
      <c r="G977"/>
      <c r="I977" s="491"/>
    </row>
    <row r="978" spans="1:9" ht="12.75" customHeight="1">
      <c r="A978" s="175"/>
      <c r="B978" s="175"/>
      <c r="C978" s="355"/>
      <c r="D978" s="1259"/>
      <c r="E978" s="1259"/>
      <c r="F978" s="1259"/>
      <c r="G978"/>
      <c r="I978" s="491"/>
    </row>
    <row r="979" spans="1:9" ht="12.75" customHeight="1">
      <c r="A979" s="175"/>
      <c r="B979" s="175"/>
      <c r="C979" s="355"/>
      <c r="D979" s="1259"/>
      <c r="E979" s="1259"/>
      <c r="F979" s="1259"/>
      <c r="G979"/>
      <c r="I979" s="491"/>
    </row>
    <row r="980" spans="1:9" ht="12.75" customHeight="1">
      <c r="A980" s="175"/>
      <c r="B980" s="175"/>
      <c r="C980" s="355"/>
      <c r="D980" s="1259"/>
      <c r="E980" s="1259"/>
      <c r="F980" s="1259"/>
      <c r="G980"/>
      <c r="I980" s="491"/>
    </row>
    <row r="981" spans="1:9" ht="12.75" customHeight="1">
      <c r="A981" s="175"/>
      <c r="B981" s="175"/>
      <c r="C981" s="355"/>
      <c r="D981" s="1259"/>
      <c r="E981" s="1259"/>
      <c r="F981" s="1259"/>
      <c r="G981"/>
      <c r="I981" s="491"/>
    </row>
    <row r="982" spans="1:9" ht="12.75" customHeight="1">
      <c r="A982" s="175"/>
      <c r="B982" s="175"/>
      <c r="C982" s="355"/>
      <c r="D982" s="1259"/>
      <c r="E982" s="1259"/>
      <c r="F982" s="1259"/>
      <c r="G982"/>
      <c r="I982" s="491"/>
    </row>
    <row r="983" spans="1:9" ht="12.75" customHeight="1">
      <c r="A983" s="175"/>
      <c r="B983" s="175"/>
      <c r="C983" s="355"/>
      <c r="D983" s="1259"/>
      <c r="E983" s="1259"/>
      <c r="F983" s="1259"/>
      <c r="G983"/>
      <c r="I983" s="491"/>
    </row>
    <row r="984" spans="1:9" ht="12.75" customHeight="1">
      <c r="A984" s="175"/>
      <c r="B984" s="175"/>
      <c r="C984" s="355"/>
      <c r="D984" s="1259"/>
      <c r="E984" s="1259"/>
      <c r="F984" s="1259"/>
      <c r="G984"/>
      <c r="I984" s="491"/>
    </row>
    <row r="985" spans="1:9" ht="12.75" customHeight="1">
      <c r="A985" s="175"/>
      <c r="B985" s="175"/>
      <c r="C985" s="355"/>
      <c r="D985" s="1259"/>
      <c r="E985" s="1259"/>
      <c r="F985" s="1259"/>
      <c r="G985"/>
      <c r="I985" s="491"/>
    </row>
    <row r="986" spans="1:9" ht="12.75" customHeight="1">
      <c r="A986" s="175"/>
      <c r="B986" s="175"/>
      <c r="C986" s="355"/>
      <c r="D986" s="1259"/>
      <c r="E986" s="1259"/>
      <c r="F986" s="1259"/>
      <c r="G986"/>
      <c r="I986" s="491"/>
    </row>
    <row r="987" spans="1:9" ht="12.75" customHeight="1">
      <c r="A987" s="175"/>
      <c r="B987" s="175"/>
      <c r="C987" s="355"/>
      <c r="D987" s="1259"/>
      <c r="E987" s="1259"/>
      <c r="F987" s="1259"/>
      <c r="G987" s="3"/>
      <c r="I987" s="491"/>
    </row>
    <row r="988" spans="1:9" ht="12.75" customHeight="1">
      <c r="A988" s="355"/>
      <c r="B988" s="355"/>
      <c r="C988" s="355"/>
      <c r="D988" s="3"/>
      <c r="E988" s="3"/>
      <c r="F988" s="3"/>
      <c r="G988" s="3"/>
      <c r="I988" s="491"/>
    </row>
    <row r="989" spans="1:9" ht="12.75" customHeight="1">
      <c r="A989" s="1308" t="s">
        <v>1786</v>
      </c>
      <c r="B989" s="1308"/>
      <c r="C989" s="1308"/>
      <c r="D989" s="1308"/>
      <c r="E989" s="1308"/>
      <c r="F989" s="1308"/>
      <c r="G989" s="1308"/>
      <c r="H989" s="1029"/>
      <c r="I989" s="1155"/>
    </row>
    <row r="990" spans="1:9" ht="12.75" customHeight="1">
      <c r="A990" s="118"/>
      <c r="B990" s="118"/>
      <c r="C990" s="355"/>
      <c r="D990" s="3"/>
      <c r="E990" s="3"/>
      <c r="F990" s="3"/>
      <c r="G990" s="3"/>
      <c r="I990" s="491"/>
    </row>
    <row r="991" spans="1:9" ht="12.75" customHeight="1">
      <c r="A991" s="355"/>
      <c r="B991" s="355"/>
      <c r="C991" s="990"/>
      <c r="D991" s="1321" t="s">
        <v>1808</v>
      </c>
      <c r="E991" s="1321"/>
      <c r="F991" s="1321"/>
      <c r="G991" s="3"/>
      <c r="I991" s="491"/>
    </row>
    <row r="992" spans="1:9" ht="12.75" customHeight="1">
      <c r="A992" s="172"/>
      <c r="B992" s="172"/>
      <c r="C992" s="172"/>
      <c r="D992" s="1299" t="s">
        <v>1787</v>
      </c>
      <c r="E992" s="1299"/>
      <c r="F992" s="1299"/>
      <c r="G992" s="3"/>
      <c r="I992" s="491"/>
    </row>
    <row r="993" spans="1:9" ht="12.75" customHeight="1">
      <c r="A993" s="172"/>
      <c r="B993" s="172"/>
      <c r="C993" s="172"/>
      <c r="D993" s="3"/>
      <c r="E993" s="3"/>
      <c r="F993" s="989"/>
      <c r="G993"/>
      <c r="I993" s="491"/>
    </row>
    <row r="994" spans="1:9" ht="12.75" customHeight="1">
      <c r="A994" s="355"/>
      <c r="B994" s="486" t="s">
        <v>2730</v>
      </c>
      <c r="C994" s="355"/>
      <c r="D994" s="1323" t="s">
        <v>1916</v>
      </c>
      <c r="E994" s="1323"/>
      <c r="F994" s="1323"/>
      <c r="G994"/>
      <c r="I994" s="491"/>
    </row>
    <row r="995" spans="1:9" ht="12.75" customHeight="1">
      <c r="A995" s="355"/>
      <c r="B995" s="355"/>
      <c r="C995" s="355"/>
      <c r="D995" s="1323"/>
      <c r="E995" s="1323"/>
      <c r="F995" s="1323"/>
      <c r="G995"/>
      <c r="I995" s="491"/>
    </row>
    <row r="996" spans="1:9" ht="12.75" customHeight="1">
      <c r="A996" s="355"/>
      <c r="B996" s="355"/>
      <c r="C996" s="355"/>
      <c r="D996" s="1039"/>
      <c r="E996" s="1037" t="s">
        <v>1917</v>
      </c>
      <c r="F996" s="1039"/>
      <c r="G996"/>
      <c r="I996" s="491"/>
    </row>
    <row r="997" spans="1:9" ht="12.75" customHeight="1">
      <c r="A997" s="355"/>
      <c r="B997" s="355"/>
      <c r="C997" s="355"/>
      <c r="D997" s="1265" t="s">
        <v>1915</v>
      </c>
      <c r="E997" s="1265"/>
      <c r="F997" s="1265"/>
      <c r="G997"/>
      <c r="I997" s="491"/>
    </row>
    <row r="998" spans="1:9" ht="12.75" customHeight="1">
      <c r="A998" s="355"/>
      <c r="B998" s="355"/>
      <c r="C998" s="355"/>
      <c r="D998" s="1265"/>
      <c r="E998" s="1265"/>
      <c r="F998" s="1265"/>
      <c r="G998"/>
      <c r="I998" s="491"/>
    </row>
    <row r="999" spans="1:9" ht="12.75" customHeight="1">
      <c r="A999" s="174"/>
      <c r="B999" s="174"/>
      <c r="C999" s="174"/>
      <c r="D999" s="1265"/>
      <c r="E999" s="1265"/>
      <c r="F999" s="1265"/>
      <c r="G999"/>
      <c r="I999" s="491"/>
    </row>
    <row r="1000" spans="1:9" ht="12.75" customHeight="1">
      <c r="A1000" s="174"/>
      <c r="B1000" s="174"/>
      <c r="C1000" s="174"/>
      <c r="D1000" s="1265"/>
      <c r="E1000" s="1265"/>
      <c r="F1000" s="1265"/>
      <c r="G1000"/>
      <c r="I1000" s="491"/>
    </row>
    <row r="1001" spans="1:9" ht="12.75" customHeight="1">
      <c r="A1001" s="174"/>
      <c r="B1001" s="174"/>
      <c r="C1001" s="174"/>
      <c r="D1001" s="336"/>
      <c r="E1001" s="336"/>
      <c r="F1001" s="336"/>
      <c r="G1001"/>
      <c r="I1001" s="491"/>
    </row>
    <row r="1002" spans="1:9" ht="12.75" customHeight="1">
      <c r="A1002" s="174"/>
      <c r="B1002" s="486" t="s">
        <v>2731</v>
      </c>
      <c r="C1002" s="174"/>
      <c r="D1002" s="1259" t="s">
        <v>1788</v>
      </c>
      <c r="E1002" s="1259"/>
      <c r="F1002" s="1259"/>
      <c r="G1002"/>
      <c r="I1002" s="491"/>
    </row>
    <row r="1003" spans="1:9" ht="12.75" customHeight="1">
      <c r="A1003" s="174"/>
      <c r="B1003" s="174"/>
      <c r="C1003" s="174"/>
      <c r="D1003" s="1259"/>
      <c r="E1003" s="1259"/>
      <c r="F1003" s="1259"/>
      <c r="G1003"/>
      <c r="I1003" s="491"/>
    </row>
    <row r="1004" spans="1:9" ht="12.75" customHeight="1">
      <c r="A1004" s="174"/>
      <c r="B1004" s="174"/>
      <c r="C1004" s="174"/>
      <c r="D1004" s="1259"/>
      <c r="E1004" s="1259"/>
      <c r="F1004" s="1259"/>
      <c r="G1004"/>
      <c r="I1004" s="491"/>
    </row>
    <row r="1005" spans="1:9" ht="12.75" customHeight="1">
      <c r="A1005" s="174"/>
      <c r="B1005" s="174"/>
      <c r="C1005" s="174"/>
      <c r="D1005" s="1259"/>
      <c r="E1005" s="1259"/>
      <c r="F1005" s="1259"/>
      <c r="G1005"/>
      <c r="I1005" s="491"/>
    </row>
    <row r="1006" spans="1:9" ht="12.75" customHeight="1">
      <c r="A1006" s="174"/>
      <c r="B1006" s="174"/>
      <c r="C1006" s="174"/>
      <c r="D1006" s="442"/>
      <c r="E1006" s="442"/>
      <c r="F1006" s="442"/>
      <c r="G1006"/>
      <c r="I1006" s="491"/>
    </row>
    <row r="1007" spans="1:9" ht="12.75" customHeight="1">
      <c r="A1007" s="174"/>
      <c r="B1007" s="486" t="s">
        <v>2731</v>
      </c>
      <c r="C1007" s="174"/>
      <c r="D1007" s="1259" t="s">
        <v>2233</v>
      </c>
      <c r="E1007" s="1259"/>
      <c r="F1007" s="1259"/>
      <c r="G1007"/>
      <c r="I1007" s="491"/>
    </row>
    <row r="1008" spans="1:9" ht="12.75" customHeight="1">
      <c r="A1008" s="174"/>
      <c r="B1008" s="174"/>
      <c r="C1008" s="174"/>
      <c r="D1008" s="1259"/>
      <c r="E1008" s="1259"/>
      <c r="F1008" s="1259"/>
      <c r="G1008"/>
      <c r="I1008" s="491"/>
    </row>
    <row r="1009" spans="1:9" ht="12.75" customHeight="1">
      <c r="A1009" s="174"/>
      <c r="B1009" s="174"/>
      <c r="C1009" s="174"/>
      <c r="D1009" s="442"/>
      <c r="E1009" s="442"/>
      <c r="F1009" s="442"/>
      <c r="G1009"/>
      <c r="I1009" s="491"/>
    </row>
    <row r="1010" spans="1:9" ht="12.75" customHeight="1">
      <c r="A1010" s="175"/>
      <c r="B1010" s="486" t="s">
        <v>2731</v>
      </c>
      <c r="C1010" s="355"/>
      <c r="D1010" s="1299" t="s">
        <v>1789</v>
      </c>
      <c r="E1010" s="1299"/>
      <c r="F1010" s="1299"/>
      <c r="G1010"/>
      <c r="I1010" s="491"/>
    </row>
    <row r="1011" spans="1:9" ht="12.75" customHeight="1">
      <c r="A1011" s="355"/>
      <c r="B1011" s="355"/>
      <c r="C1011" s="355"/>
      <c r="D1011" s="3"/>
      <c r="E1011" s="3"/>
      <c r="F1011" s="3"/>
      <c r="G1011"/>
      <c r="I1011" s="491"/>
    </row>
    <row r="1012" spans="1:9" ht="12.75" customHeight="1">
      <c r="A1012" s="175"/>
      <c r="B1012" s="486" t="s">
        <v>2731</v>
      </c>
      <c r="C1012" s="355"/>
      <c r="D1012" s="1299" t="s">
        <v>1790</v>
      </c>
      <c r="E1012" s="1299"/>
      <c r="F1012" s="1299"/>
      <c r="G1012"/>
      <c r="I1012" s="491"/>
    </row>
    <row r="1013" spans="1:9" ht="12.75" customHeight="1">
      <c r="A1013" s="355"/>
      <c r="B1013" s="355"/>
      <c r="C1013" s="355"/>
      <c r="D1013" s="118"/>
      <c r="E1013" s="3"/>
      <c r="F1013" s="3"/>
      <c r="G1013"/>
      <c r="I1013" s="491"/>
    </row>
    <row r="1014" spans="1:9" ht="12.75" customHeight="1">
      <c r="A1014" s="175"/>
      <c r="B1014" s="486" t="s">
        <v>2730</v>
      </c>
      <c r="C1014" s="355"/>
      <c r="D1014" s="1299" t="s">
        <v>1791</v>
      </c>
      <c r="E1014" s="1299"/>
      <c r="F1014" s="1299"/>
      <c r="G1014"/>
      <c r="I1014" s="491"/>
    </row>
    <row r="1015" spans="1:9" ht="12.75" customHeight="1">
      <c r="A1015" s="355"/>
      <c r="B1015" s="355"/>
      <c r="C1015" s="355"/>
      <c r="D1015" s="118"/>
      <c r="E1015" s="3"/>
      <c r="F1015" s="3"/>
      <c r="G1015"/>
      <c r="I1015" s="491"/>
    </row>
    <row r="1016" spans="1:9" ht="12.75" customHeight="1">
      <c r="A1016" s="175"/>
      <c r="B1016" s="486" t="s">
        <v>2730</v>
      </c>
      <c r="C1016" s="355"/>
      <c r="D1016" s="1259" t="s">
        <v>1792</v>
      </c>
      <c r="E1016" s="1259"/>
      <c r="F1016" s="1259"/>
      <c r="G1016"/>
      <c r="I1016" s="491"/>
    </row>
    <row r="1017" spans="1:9" ht="12.75" customHeight="1">
      <c r="A1017" s="175"/>
      <c r="B1017" s="175"/>
      <c r="C1017" s="355"/>
      <c r="D1017" s="1259"/>
      <c r="E1017" s="1259"/>
      <c r="F1017" s="1259"/>
      <c r="G1017"/>
      <c r="I1017" s="491"/>
    </row>
    <row r="1018" spans="1:9" ht="12.75" customHeight="1">
      <c r="A1018" s="175"/>
      <c r="B1018" s="175"/>
      <c r="C1018" s="355"/>
      <c r="D1018" s="118"/>
      <c r="E1018" s="3"/>
      <c r="F1018" s="3"/>
      <c r="G1018" s="3"/>
      <c r="I1018" s="491"/>
    </row>
    <row r="1019" spans="1:9" ht="12.75" customHeight="1">
      <c r="A1019" s="255"/>
      <c r="B1019" s="486" t="s">
        <v>2731</v>
      </c>
      <c r="C1019" s="1001"/>
      <c r="D1019" s="1315" t="s">
        <v>1793</v>
      </c>
      <c r="E1019" s="1315"/>
      <c r="F1019" s="1315"/>
      <c r="G1019" s="1002"/>
      <c r="I1019" s="491"/>
    </row>
    <row r="1020" spans="1:9" ht="12.75" customHeight="1">
      <c r="A1020" s="1001"/>
      <c r="B1020" s="1001"/>
      <c r="C1020" s="1001"/>
      <c r="D1020" s="1315"/>
      <c r="E1020" s="1315"/>
      <c r="F1020" s="1315"/>
      <c r="G1020" s="1002"/>
      <c r="I1020" s="491"/>
    </row>
    <row r="1021" spans="1:9" ht="12.75" customHeight="1">
      <c r="A1021" s="1001"/>
      <c r="B1021" s="1001"/>
      <c r="C1021" s="1001"/>
      <c r="D1021" s="985"/>
      <c r="E1021" s="1002"/>
      <c r="F1021" s="1002"/>
      <c r="G1021" s="1002"/>
      <c r="I1021" s="491"/>
    </row>
    <row r="1022" spans="1:9" ht="12.75" customHeight="1">
      <c r="A1022" s="255"/>
      <c r="B1022" s="486" t="s">
        <v>2731</v>
      </c>
      <c r="C1022" s="1001"/>
      <c r="D1022" s="1322" t="s">
        <v>1794</v>
      </c>
      <c r="E1022" s="1322"/>
      <c r="F1022" s="1322"/>
      <c r="G1022" s="1002"/>
      <c r="I1022" s="491"/>
    </row>
    <row r="1023" spans="1:9" ht="12.75" customHeight="1">
      <c r="A1023" s="1001"/>
      <c r="B1023" s="1001"/>
      <c r="C1023" s="1001"/>
      <c r="D1023" s="985"/>
      <c r="E1023" s="1002"/>
      <c r="F1023" s="1002"/>
      <c r="G1023" s="1002"/>
      <c r="I1023" s="491"/>
    </row>
    <row r="1024" spans="1:9" ht="12.75" customHeight="1">
      <c r="A1024" s="175"/>
      <c r="B1024" s="486" t="s">
        <v>2731</v>
      </c>
      <c r="C1024" s="355"/>
      <c r="D1024" s="1299" t="s">
        <v>1795</v>
      </c>
      <c r="E1024" s="1299"/>
      <c r="F1024" s="1299"/>
      <c r="G1024" s="3"/>
      <c r="I1024" s="491"/>
    </row>
    <row r="1025" spans="1:9" ht="12.75" customHeight="1">
      <c r="A1025" s="175"/>
      <c r="B1025" s="175"/>
      <c r="C1025" s="355"/>
      <c r="D1025" s="118"/>
      <c r="E1025" s="3"/>
      <c r="F1025" s="3"/>
      <c r="G1025" s="3"/>
      <c r="I1025" s="491"/>
    </row>
    <row r="1026" spans="1:9" ht="12.75" customHeight="1">
      <c r="A1026" s="175"/>
      <c r="B1026" s="486" t="s">
        <v>2731</v>
      </c>
      <c r="C1026" s="355"/>
      <c r="D1026" s="1259" t="s">
        <v>1796</v>
      </c>
      <c r="E1026" s="1259"/>
      <c r="F1026" s="1259"/>
      <c r="G1026" s="3"/>
      <c r="I1026" s="491"/>
    </row>
    <row r="1027" spans="1:9" ht="12.75" customHeight="1">
      <c r="A1027" s="175"/>
      <c r="B1027" s="175"/>
      <c r="C1027" s="355"/>
      <c r="D1027" s="1259"/>
      <c r="E1027" s="1259"/>
      <c r="F1027" s="1259"/>
      <c r="G1027" s="3"/>
      <c r="I1027" s="491"/>
    </row>
    <row r="1028" spans="1:9" ht="12.75" customHeight="1">
      <c r="A1028" s="355"/>
      <c r="B1028" s="355"/>
      <c r="C1028" s="355"/>
      <c r="D1028" s="3"/>
      <c r="E1028" s="3"/>
      <c r="F1028" s="3"/>
      <c r="G1028" s="3"/>
      <c r="I1028" s="491"/>
    </row>
    <row r="1029" spans="1:9" ht="12.75" customHeight="1">
      <c r="A1029" s="1308" t="s">
        <v>1797</v>
      </c>
      <c r="B1029" s="1308"/>
      <c r="C1029" s="1308"/>
      <c r="D1029" s="1308"/>
      <c r="E1029" s="1308"/>
      <c r="F1029" s="1308"/>
      <c r="G1029" s="1308"/>
      <c r="H1029" s="1029"/>
      <c r="I1029" s="1155"/>
    </row>
    <row r="1030" spans="1:9" ht="12.75" customHeight="1">
      <c r="A1030" s="355"/>
      <c r="B1030" s="355"/>
      <c r="C1030" s="355"/>
      <c r="D1030" s="3"/>
      <c r="E1030" s="3"/>
      <c r="F1030" s="3"/>
      <c r="G1030" s="3"/>
      <c r="I1030" s="491"/>
    </row>
    <row r="1031" spans="1:9" ht="12.75" customHeight="1">
      <c r="A1031" s="355"/>
      <c r="B1031" s="355"/>
      <c r="C1031" s="355"/>
      <c r="D1031" s="1324" t="s">
        <v>1798</v>
      </c>
      <c r="E1031" s="1324"/>
      <c r="F1031" s="1324"/>
      <c r="G1031" s="3"/>
      <c r="I1031" s="491"/>
    </row>
    <row r="1032" spans="1:9" ht="12.75" customHeight="1">
      <c r="A1032" s="355"/>
      <c r="B1032" s="355"/>
      <c r="C1032" s="355"/>
      <c r="D1032" s="1322" t="s">
        <v>1799</v>
      </c>
      <c r="E1032" s="1322"/>
      <c r="F1032" s="1322"/>
      <c r="G1032" s="3"/>
      <c r="I1032" s="491"/>
    </row>
    <row r="1033" spans="1:9" ht="12.75" customHeight="1">
      <c r="A1033" s="172"/>
      <c r="B1033" s="172"/>
      <c r="C1033" s="172"/>
      <c r="D1033" s="3"/>
      <c r="E1033" s="3"/>
      <c r="F1033" s="3"/>
      <c r="G1033" s="3"/>
      <c r="I1033" s="491"/>
    </row>
    <row r="1034" spans="1:9" ht="12.75" customHeight="1">
      <c r="A1034" s="175"/>
      <c r="B1034" s="175"/>
      <c r="C1034" s="174"/>
      <c r="D1034" s="1324" t="s">
        <v>1813</v>
      </c>
      <c r="E1034" s="1324"/>
      <c r="F1034" s="1324"/>
      <c r="G1034" s="3"/>
      <c r="I1034" s="491"/>
    </row>
    <row r="1035" spans="1:9" ht="12.75" customHeight="1">
      <c r="A1035" s="355"/>
      <c r="B1035" s="486" t="s">
        <v>2730</v>
      </c>
      <c r="C1035" s="355"/>
      <c r="D1035" s="1322" t="s">
        <v>1271</v>
      </c>
      <c r="E1035" s="1322"/>
      <c r="F1035" s="1322"/>
      <c r="G1035" s="3"/>
      <c r="I1035" s="491"/>
    </row>
    <row r="1036" spans="1:9" ht="12.75" customHeight="1">
      <c r="A1036" s="355"/>
      <c r="B1036" s="175"/>
      <c r="C1036" s="355"/>
      <c r="D1036" s="1322" t="s">
        <v>1800</v>
      </c>
      <c r="E1036" s="1322"/>
      <c r="F1036" s="1322"/>
      <c r="G1036" s="3"/>
      <c r="I1036" s="491"/>
    </row>
    <row r="1037" spans="1:9" ht="12.75" customHeight="1">
      <c r="A1037" s="355"/>
      <c r="B1037" s="355"/>
      <c r="C1037" s="355"/>
      <c r="D1037" s="1322"/>
      <c r="E1037" s="1322"/>
      <c r="F1037" s="1322"/>
      <c r="G1037" s="3"/>
      <c r="I1037" s="491"/>
    </row>
    <row r="1038" spans="1:9" ht="12.75" customHeight="1">
      <c r="A1038" s="1308" t="s">
        <v>1809</v>
      </c>
      <c r="B1038" s="1308"/>
      <c r="C1038" s="1308"/>
      <c r="D1038" s="1308"/>
      <c r="E1038" s="1308"/>
      <c r="F1038" s="1308"/>
      <c r="G1038" s="1308"/>
      <c r="H1038" s="1029"/>
      <c r="I1038" s="1155"/>
    </row>
    <row r="1039" spans="1:9" ht="12.75" customHeight="1">
      <c r="A1039" s="118"/>
      <c r="B1039" s="118"/>
      <c r="C1039" s="355"/>
      <c r="D1039" s="3"/>
      <c r="E1039" s="3"/>
      <c r="F1039" s="3"/>
      <c r="G1039" s="3"/>
      <c r="I1039" s="491"/>
    </row>
    <row r="1040" spans="1:9" ht="12.75" hidden="1" customHeight="1">
      <c r="A1040" s="118"/>
      <c r="B1040" s="403"/>
      <c r="D1040" s="1329" t="s">
        <v>1272</v>
      </c>
      <c r="E1040" s="1329"/>
      <c r="F1040" s="1329"/>
      <c r="G1040" s="3"/>
      <c r="I1040" s="491"/>
    </row>
    <row r="1041" spans="1:9" ht="12.75" hidden="1" customHeight="1">
      <c r="A1041" s="118"/>
      <c r="B1041" s="486" t="s">
        <v>307</v>
      </c>
      <c r="D1041" s="1291" t="s">
        <v>1271</v>
      </c>
      <c r="E1041" s="1291"/>
      <c r="F1041" s="1291"/>
      <c r="G1041" s="3"/>
      <c r="I1041" s="491"/>
    </row>
    <row r="1042" spans="1:9" ht="12.75" hidden="1" customHeight="1">
      <c r="A1042" s="118"/>
      <c r="B1042" s="403"/>
      <c r="D1042" s="1291" t="s">
        <v>1810</v>
      </c>
      <c r="E1042" s="1291"/>
      <c r="F1042" s="1291"/>
      <c r="G1042" s="3"/>
      <c r="I1042" s="491"/>
    </row>
    <row r="1043" spans="1:9" ht="12.75" hidden="1" customHeight="1">
      <c r="A1043" s="118"/>
      <c r="B1043" s="403"/>
      <c r="D1043" s="445"/>
      <c r="E1043" s="445"/>
      <c r="F1043" s="445"/>
      <c r="G1043" s="3"/>
      <c r="I1043" s="491"/>
    </row>
    <row r="1044" spans="1:9" ht="12.75" customHeight="1">
      <c r="A1044" s="118"/>
      <c r="B1044" s="118"/>
      <c r="C1044" s="355"/>
      <c r="D1044" s="1330" t="s">
        <v>1066</v>
      </c>
      <c r="E1044" s="1330"/>
      <c r="F1044" s="1330"/>
      <c r="G1044" s="3"/>
      <c r="I1044" s="491"/>
    </row>
    <row r="1045" spans="1:9" ht="12.75" customHeight="1">
      <c r="A1045" s="320"/>
      <c r="B1045" s="320"/>
      <c r="C1045" s="320"/>
      <c r="D1045" s="1300" t="s">
        <v>2251</v>
      </c>
      <c r="E1045" s="1300"/>
      <c r="F1045" s="1300"/>
      <c r="G1045" s="98"/>
      <c r="I1045" s="491"/>
    </row>
    <row r="1046" spans="1:9" ht="12.75" customHeight="1">
      <c r="A1046" s="175"/>
      <c r="B1046" s="486" t="s">
        <v>2731</v>
      </c>
      <c r="C1046" s="355"/>
      <c r="D1046" s="1300" t="s">
        <v>985</v>
      </c>
      <c r="E1046" s="1300"/>
      <c r="F1046" s="1300"/>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308" t="s">
        <v>1830</v>
      </c>
      <c r="B1049" s="1308"/>
      <c r="C1049" s="1308"/>
      <c r="D1049" s="1308"/>
      <c r="E1049" s="1308"/>
      <c r="F1049" s="1308"/>
      <c r="G1049" s="1308"/>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2731</v>
      </c>
      <c r="C1054" s="403"/>
      <c r="D1054" s="1326" t="s">
        <v>1814</v>
      </c>
      <c r="E1054" s="1326"/>
      <c r="F1054" s="1326"/>
      <c r="I1054" s="491"/>
    </row>
    <row r="1055" spans="1:9">
      <c r="A1055" s="403"/>
      <c r="B1055" s="403"/>
      <c r="C1055" s="403"/>
      <c r="D1055" s="1326"/>
      <c r="E1055" s="1326"/>
      <c r="F1055" s="1326"/>
      <c r="I1055" s="491"/>
    </row>
    <row r="1056" spans="1:9">
      <c r="A1056" s="403"/>
      <c r="B1056" s="403"/>
      <c r="C1056" s="403"/>
      <c r="D1056" s="1326"/>
      <c r="E1056" s="1326"/>
      <c r="F1056" s="1326"/>
      <c r="I1056" s="491"/>
    </row>
    <row r="1057" spans="1:9">
      <c r="A1057" s="403"/>
      <c r="B1057" s="403"/>
      <c r="C1057" s="403"/>
      <c r="D1057" s="1326"/>
      <c r="E1057" s="1326"/>
      <c r="F1057" s="1326"/>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2731</v>
      </c>
      <c r="C1062" s="403"/>
      <c r="D1062" s="403" t="s">
        <v>1812</v>
      </c>
      <c r="I1062" s="491"/>
    </row>
    <row r="1063" spans="1:9">
      <c r="A1063" s="403"/>
      <c r="B1063" s="403"/>
      <c r="C1063" s="403"/>
      <c r="I1063" s="491"/>
    </row>
    <row r="1064" spans="1:9">
      <c r="A1064" s="403"/>
      <c r="B1064" s="486" t="s">
        <v>2730</v>
      </c>
      <c r="C1064" s="403"/>
      <c r="D1064" s="1326" t="s">
        <v>1818</v>
      </c>
      <c r="E1064" s="1326"/>
      <c r="F1064" s="1326"/>
      <c r="I1064" s="491"/>
    </row>
    <row r="1065" spans="1:9">
      <c r="A1065" s="403"/>
      <c r="B1065" s="403"/>
      <c r="C1065" s="403"/>
      <c r="D1065" s="1326"/>
      <c r="E1065" s="1326"/>
      <c r="F1065" s="1326"/>
      <c r="I1065" s="491"/>
    </row>
    <row r="1066" spans="1:9">
      <c r="A1066" s="403"/>
      <c r="B1066" s="403"/>
      <c r="C1066" s="403"/>
      <c r="D1066" s="1326"/>
      <c r="E1066" s="1326"/>
      <c r="F1066" s="1326"/>
      <c r="I1066" s="491"/>
    </row>
    <row r="1067" spans="1:9">
      <c r="A1067" s="403"/>
      <c r="B1067" s="403"/>
      <c r="C1067" s="403"/>
      <c r="D1067" s="1326"/>
      <c r="E1067" s="1326"/>
      <c r="F1067" s="1326"/>
      <c r="I1067" s="491"/>
    </row>
    <row r="1068" spans="1:9">
      <c r="A1068" s="403"/>
      <c r="B1068" s="403"/>
      <c r="C1068" s="403"/>
      <c r="D1068" s="1326"/>
      <c r="E1068" s="1326"/>
      <c r="F1068" s="1326"/>
      <c r="I1068" s="491"/>
    </row>
    <row r="1069" spans="1:9">
      <c r="A1069" s="403"/>
      <c r="B1069" s="403"/>
      <c r="C1069" s="403"/>
      <c r="I1069" s="491"/>
    </row>
    <row r="1070" spans="1:9">
      <c r="A1070" s="1308" t="s">
        <v>1819</v>
      </c>
      <c r="B1070" s="1308"/>
      <c r="C1070" s="1308"/>
      <c r="D1070" s="1308"/>
      <c r="E1070" s="1308"/>
      <c r="F1070" s="1308"/>
      <c r="G1070" s="1308"/>
      <c r="H1070" s="1029"/>
      <c r="I1070" s="1155"/>
    </row>
    <row r="1071" spans="1:9">
      <c r="A1071" s="403"/>
      <c r="B1071" s="403"/>
      <c r="C1071" s="403"/>
      <c r="I1071" s="491"/>
    </row>
    <row r="1072" spans="1:9">
      <c r="A1072" s="403"/>
      <c r="B1072" s="403"/>
      <c r="C1072" s="403"/>
      <c r="I1072" s="491"/>
    </row>
    <row r="1073" spans="1:9">
      <c r="A1073" s="403"/>
      <c r="B1073" s="486" t="s">
        <v>2730</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2731</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2731</v>
      </c>
      <c r="C1079" s="403"/>
      <c r="D1079" s="119" t="s">
        <v>1828</v>
      </c>
      <c r="I1079" s="491"/>
    </row>
    <row r="1080" spans="1:9">
      <c r="A1080" s="403"/>
      <c r="B1080" s="403"/>
      <c r="C1080" s="403"/>
      <c r="D1080" s="1259" t="s">
        <v>1829</v>
      </c>
      <c r="E1080" s="1259"/>
      <c r="F1080" s="1259"/>
      <c r="I1080" s="491"/>
    </row>
    <row r="1081" spans="1:9">
      <c r="A1081" s="403"/>
      <c r="B1081" s="403"/>
      <c r="C1081" s="403"/>
      <c r="D1081" s="1259"/>
      <c r="E1081" s="1259"/>
      <c r="F1081" s="1259"/>
      <c r="I1081" s="491"/>
    </row>
    <row r="1082" spans="1:9">
      <c r="A1082" s="403"/>
      <c r="B1082" s="403"/>
      <c r="C1082" s="403"/>
      <c r="D1082" s="1259"/>
      <c r="E1082" s="1259"/>
      <c r="F1082" s="1259"/>
      <c r="I1082" s="491"/>
    </row>
    <row r="1083" spans="1:9">
      <c r="A1083" s="403"/>
      <c r="B1083" s="403"/>
      <c r="C1083" s="403"/>
      <c r="D1083" s="1259"/>
      <c r="E1083" s="1259"/>
      <c r="F1083" s="1259"/>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2731</v>
      </c>
      <c r="C1087" s="403"/>
      <c r="D1087" s="1325" t="s">
        <v>1821</v>
      </c>
      <c r="E1087" s="1325"/>
      <c r="F1087" s="1325"/>
      <c r="I1087" s="491"/>
    </row>
    <row r="1088" spans="1:9">
      <c r="A1088" s="403"/>
      <c r="B1088" s="403"/>
      <c r="C1088" s="403"/>
      <c r="D1088" s="1325"/>
      <c r="E1088" s="1325"/>
      <c r="F1088" s="1325"/>
      <c r="I1088" s="491"/>
    </row>
    <row r="1089" spans="1:9">
      <c r="A1089" s="403"/>
      <c r="B1089" s="403"/>
      <c r="C1089" s="403"/>
      <c r="D1089" s="1325"/>
      <c r="E1089" s="1325"/>
      <c r="F1089" s="1325"/>
      <c r="I1089" s="491"/>
    </row>
    <row r="1090" spans="1:9">
      <c r="A1090" s="403"/>
      <c r="B1090" s="403"/>
      <c r="C1090" s="403"/>
      <c r="D1090" s="1325"/>
      <c r="E1090" s="1325"/>
      <c r="F1090" s="1325"/>
      <c r="I1090" s="491"/>
    </row>
    <row r="1091" spans="1:9">
      <c r="A1091" s="403"/>
      <c r="B1091" s="403"/>
      <c r="C1091" s="403"/>
      <c r="D1091" s="1325"/>
      <c r="E1091" s="1325"/>
      <c r="F1091" s="1325"/>
      <c r="I1091" s="491"/>
    </row>
    <row r="1092" spans="1:9">
      <c r="A1092" s="403"/>
      <c r="B1092" s="403"/>
      <c r="C1092" s="403"/>
      <c r="D1092" s="528" t="s">
        <v>1826</v>
      </c>
      <c r="I1092" s="491"/>
    </row>
    <row r="1093" spans="1:9">
      <c r="A1093" s="403"/>
      <c r="B1093" s="403"/>
      <c r="C1093" s="403"/>
      <c r="I1093" s="491"/>
    </row>
    <row r="1094" spans="1:9">
      <c r="A1094" s="403"/>
      <c r="B1094" s="486" t="s">
        <v>2731</v>
      </c>
      <c r="C1094" s="403"/>
      <c r="D1094" s="1275" t="s">
        <v>2284</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308" t="s">
        <v>1831</v>
      </c>
      <c r="B1098" s="1308"/>
      <c r="C1098" s="1308"/>
      <c r="D1098" s="1308"/>
      <c r="E1098" s="1308"/>
      <c r="F1098" s="1308"/>
      <c r="G1098" s="1308"/>
      <c r="H1098" s="1029"/>
      <c r="I1098" s="1155"/>
    </row>
    <row r="1099" spans="1:9">
      <c r="A1099" s="403"/>
      <c r="B1099" s="403"/>
      <c r="C1099" s="403"/>
      <c r="I1099" s="491"/>
    </row>
    <row r="1100" spans="1:9">
      <c r="A1100" s="403"/>
      <c r="B1100" s="403"/>
      <c r="C1100" s="403"/>
      <c r="I1100" s="491"/>
    </row>
    <row r="1101" spans="1:9" ht="12.75" customHeight="1">
      <c r="A1101" s="403"/>
      <c r="B1101" s="486" t="s">
        <v>2731</v>
      </c>
      <c r="C1101" s="403"/>
      <c r="D1101" s="1327" t="s">
        <v>1930</v>
      </c>
      <c r="E1101" s="1327"/>
      <c r="F1101" s="1327"/>
      <c r="I1101" s="491"/>
    </row>
    <row r="1102" spans="1:9">
      <c r="A1102" s="403"/>
      <c r="B1102" s="403"/>
      <c r="C1102" s="403"/>
      <c r="D1102" s="1327"/>
      <c r="E1102" s="1327"/>
      <c r="F1102" s="1327"/>
      <c r="I1102" s="491"/>
    </row>
    <row r="1103" spans="1:9">
      <c r="A1103" s="403"/>
      <c r="B1103" s="403"/>
      <c r="C1103" s="403"/>
      <c r="D1103" s="1328" t="s">
        <v>2145</v>
      </c>
      <c r="E1103" s="1259"/>
      <c r="F1103" s="1259"/>
      <c r="I1103" s="491"/>
    </row>
    <row r="1104" spans="1:9">
      <c r="A1104" s="403"/>
      <c r="B1104" s="403"/>
      <c r="C1104" s="403"/>
      <c r="D1104" s="528"/>
      <c r="I1104" s="491"/>
    </row>
    <row r="1105" spans="1:9">
      <c r="A1105" s="403"/>
      <c r="B1105" s="486" t="s">
        <v>2731</v>
      </c>
      <c r="C1105" s="403"/>
      <c r="D1105" s="1325" t="s">
        <v>1832</v>
      </c>
      <c r="E1105" s="1325"/>
      <c r="F1105" s="1325"/>
      <c r="I1105" s="491"/>
    </row>
    <row r="1106" spans="1:9">
      <c r="A1106" s="403"/>
      <c r="B1106" s="403"/>
      <c r="C1106" s="403"/>
      <c r="D1106" s="1325"/>
      <c r="E1106" s="1325"/>
      <c r="F1106" s="1325"/>
      <c r="I1106" s="491"/>
    </row>
    <row r="1107" spans="1:9">
      <c r="A1107" s="403"/>
      <c r="B1107" s="403"/>
      <c r="C1107" s="403"/>
      <c r="D1107" s="528"/>
      <c r="I1107" s="491"/>
    </row>
    <row r="1108" spans="1:9">
      <c r="A1108" s="403"/>
      <c r="B1108" s="486" t="s">
        <v>2731</v>
      </c>
      <c r="C1108" s="403"/>
      <c r="D1108" s="1325" t="s">
        <v>1888</v>
      </c>
      <c r="E1108" s="1325"/>
      <c r="F1108" s="1325"/>
      <c r="I1108" s="491"/>
    </row>
    <row r="1109" spans="1:9">
      <c r="A1109" s="403"/>
      <c r="B1109" s="403"/>
      <c r="C1109" s="403"/>
      <c r="D1109" s="1325"/>
      <c r="E1109" s="1325"/>
      <c r="F1109" s="1325"/>
      <c r="I1109" s="491"/>
    </row>
    <row r="1110" spans="1:9">
      <c r="A1110" s="403"/>
      <c r="B1110" s="403"/>
      <c r="C1110" s="403"/>
      <c r="D1110" s="1325"/>
      <c r="E1110" s="1325"/>
      <c r="F1110" s="1325"/>
      <c r="I1110" s="491"/>
    </row>
    <row r="1111" spans="1:9">
      <c r="A1111" s="403"/>
      <c r="B1111" s="403"/>
      <c r="C1111" s="403"/>
      <c r="D1111" s="1325"/>
      <c r="E1111" s="1325"/>
      <c r="F1111" s="1325"/>
      <c r="I1111" s="491"/>
    </row>
    <row r="1112" spans="1:9">
      <c r="A1112" s="403"/>
      <c r="B1112" s="403"/>
      <c r="C1112" s="403"/>
      <c r="D1112" s="1325"/>
      <c r="E1112" s="1325"/>
      <c r="F1112" s="1325"/>
      <c r="I1112" s="491"/>
    </row>
    <row r="1113" spans="1:9">
      <c r="A1113" s="403"/>
      <c r="B1113" s="403"/>
      <c r="C1113" s="403"/>
      <c r="D1113" s="1325"/>
      <c r="E1113" s="1325"/>
      <c r="F1113" s="1325"/>
      <c r="I1113" s="491"/>
    </row>
    <row r="1114" spans="1:9" ht="12.5">
      <c r="A1114" s="403"/>
      <c r="B1114" s="403"/>
      <c r="C1114" s="403"/>
      <c r="D1114" s="528"/>
      <c r="I1114" s="481"/>
    </row>
    <row r="1115" spans="1:9">
      <c r="A1115" s="403"/>
      <c r="B1115" s="486" t="s">
        <v>2731</v>
      </c>
      <c r="C1115" s="403"/>
      <c r="D1115" s="1325" t="s">
        <v>1833</v>
      </c>
      <c r="E1115" s="1325"/>
      <c r="F1115" s="1325"/>
      <c r="I1115" s="491"/>
    </row>
    <row r="1116" spans="1:9">
      <c r="A1116" s="403"/>
      <c r="B1116" s="403"/>
      <c r="C1116" s="403"/>
      <c r="D1116" s="1325"/>
      <c r="E1116" s="1325"/>
      <c r="F1116" s="1325"/>
      <c r="I1116" s="491"/>
    </row>
    <row r="1117" spans="1:9">
      <c r="A1117" s="403"/>
      <c r="B1117" s="403"/>
      <c r="C1117" s="403"/>
      <c r="D1117" s="1325"/>
      <c r="E1117" s="1325"/>
      <c r="F1117" s="1325"/>
      <c r="I1117" s="491"/>
    </row>
    <row r="1118" spans="1:9">
      <c r="A1118" s="403"/>
      <c r="B1118" s="403"/>
      <c r="C1118" s="403"/>
      <c r="D1118" s="528"/>
      <c r="I1118" s="491"/>
    </row>
    <row r="1119" spans="1:9">
      <c r="A1119" s="403"/>
      <c r="B1119" s="486" t="s">
        <v>2730</v>
      </c>
      <c r="C1119" s="403"/>
      <c r="D1119" s="1265" t="s">
        <v>1889</v>
      </c>
      <c r="E1119" s="1265"/>
      <c r="F1119" s="1265"/>
      <c r="I1119" s="491"/>
    </row>
    <row r="1120" spans="1:9">
      <c r="A1120" s="403"/>
      <c r="B1120" s="403"/>
      <c r="C1120" s="403"/>
      <c r="D1120" s="1265"/>
      <c r="E1120" s="1265"/>
      <c r="F1120" s="1265"/>
      <c r="I1120" s="491"/>
    </row>
    <row r="1121" spans="1:9">
      <c r="A1121" s="403"/>
      <c r="B1121" s="403"/>
      <c r="C1121" s="403"/>
      <c r="D1121" s="1265"/>
      <c r="E1121" s="1265"/>
      <c r="F1121" s="1265"/>
      <c r="I1121" s="491"/>
    </row>
    <row r="1122" spans="1:9">
      <c r="A1122" s="403"/>
      <c r="B1122" s="403"/>
      <c r="C1122" s="403"/>
      <c r="D1122" s="981"/>
      <c r="E1122" s="981"/>
      <c r="F1122" s="981"/>
      <c r="I1122" s="491"/>
    </row>
    <row r="1123" spans="1:9" ht="15.75" customHeight="1">
      <c r="A1123" s="403"/>
      <c r="B1123" s="486" t="s">
        <v>2731</v>
      </c>
      <c r="C1123" s="403"/>
      <c r="D1123" s="1259" t="s">
        <v>1890</v>
      </c>
      <c r="E1123" s="1259"/>
      <c r="F1123" s="1259"/>
      <c r="I1123" s="491"/>
    </row>
    <row r="1124" spans="1:9">
      <c r="A1124" s="403"/>
      <c r="B1124" s="403"/>
      <c r="C1124" s="403"/>
      <c r="D1124" s="1259"/>
      <c r="E1124" s="1259"/>
      <c r="F1124" s="1259"/>
      <c r="I1124" s="491"/>
    </row>
    <row r="1125" spans="1:9">
      <c r="A1125" s="403"/>
      <c r="B1125" s="403"/>
      <c r="C1125" s="403"/>
      <c r="D1125" s="1259"/>
      <c r="E1125" s="1259"/>
      <c r="F1125" s="1259"/>
      <c r="I1125" s="491"/>
    </row>
    <row r="1126" spans="1:9">
      <c r="A1126" s="403"/>
      <c r="B1126" s="403"/>
      <c r="C1126" s="403"/>
      <c r="D1126" s="1259"/>
      <c r="E1126" s="1259"/>
      <c r="F1126" s="1259"/>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0"/>
      <c r="H1541" s="1290"/>
      <c r="I1541" s="129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Q1" zoomScaleNormal="100" workbookViewId="0">
      <selection activeCell="AU1" sqref="AU1:XFD1048576"/>
    </sheetView>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2">
        <v>4</v>
      </c>
      <c r="BD1" s="3" t="s">
        <v>2500</v>
      </c>
      <c r="BE1" s="3"/>
      <c r="BF1" s="3"/>
    </row>
    <row r="2" spans="1:58" ht="13" customHeight="1">
      <c r="BD2" s="3" t="s">
        <v>2501</v>
      </c>
      <c r="BE2" s="3" t="s">
        <v>2502</v>
      </c>
      <c r="BF2" s="3" t="s">
        <v>2503</v>
      </c>
    </row>
    <row r="3" spans="1:58" ht="13" customHeight="1">
      <c r="BD3" s="3" t="s">
        <v>2598</v>
      </c>
      <c r="BE3" t="str">
        <f>AC220</f>
        <v>City of Los Angeles</v>
      </c>
    </row>
    <row r="4" spans="1:58" ht="13" customHeight="1">
      <c r="BD4" s="3" t="s">
        <v>2510</v>
      </c>
      <c r="BE4" s="1250"/>
    </row>
    <row r="5" spans="1:58" ht="13" customHeight="1">
      <c r="BD5" s="3" t="s">
        <v>2511</v>
      </c>
      <c r="BE5">
        <f>SUMIF($AC$718:$AC$752,"&lt;=20%",$G$718:G$752)</f>
        <v>0</v>
      </c>
      <c r="BF5" s="3" t="s">
        <v>2516</v>
      </c>
    </row>
    <row r="6" spans="1:58" ht="13" customHeight="1">
      <c r="BD6" s="3" t="s">
        <v>2512</v>
      </c>
      <c r="BE6" s="1253">
        <f>SUMIF($AC$718:$AC$752,"&lt;=25%",$G$718:G$752)-SUM($BE$5:BE5)</f>
        <v>0</v>
      </c>
    </row>
    <row r="7" spans="1:58" ht="13" customHeight="1">
      <c r="BD7" s="1251" t="s">
        <v>2504</v>
      </c>
      <c r="BE7" s="1253">
        <f>SUMIF($AC$718:$AC$752,"&lt;=30%",$G$718:G$752)-SUM($BE$5:BE6)</f>
        <v>95</v>
      </c>
    </row>
    <row r="8" spans="1:58" ht="26.25" customHeight="1">
      <c r="A8" s="1808" t="s">
        <v>100</v>
      </c>
      <c r="B8" s="1808"/>
      <c r="C8" s="1808"/>
      <c r="D8" s="1808"/>
      <c r="E8" s="1808"/>
      <c r="F8" s="1808"/>
      <c r="G8" s="1808"/>
      <c r="H8" s="1808"/>
      <c r="I8" s="1808"/>
      <c r="J8" s="1808"/>
      <c r="K8" s="1808"/>
      <c r="L8" s="1808"/>
      <c r="M8" s="1808"/>
      <c r="N8" s="1808"/>
      <c r="O8" s="1808"/>
      <c r="P8" s="1808"/>
      <c r="Q8" s="1808"/>
      <c r="R8" s="1808"/>
      <c r="S8" s="1808"/>
      <c r="T8" s="1808"/>
      <c r="U8" s="1808"/>
      <c r="V8" s="1808"/>
      <c r="W8" s="1808"/>
      <c r="X8" s="1808"/>
      <c r="Y8" s="1808"/>
      <c r="Z8" s="1808"/>
      <c r="AA8" s="1808"/>
      <c r="AB8" s="1808"/>
      <c r="AC8" s="1808"/>
      <c r="AD8" s="1808"/>
      <c r="AE8" s="1808"/>
      <c r="AF8" s="1808"/>
      <c r="AG8" s="1808"/>
      <c r="AH8" s="1808"/>
      <c r="AI8" s="1808"/>
      <c r="AJ8" s="1808"/>
      <c r="AK8" s="1808"/>
      <c r="AL8" s="1808"/>
      <c r="AM8" s="1808"/>
      <c r="AN8" s="1808"/>
      <c r="AO8" s="1808"/>
      <c r="AP8" s="1808"/>
      <c r="AQ8" s="1808"/>
      <c r="AR8" s="1808"/>
      <c r="AS8" s="1808"/>
      <c r="AT8" s="1808"/>
      <c r="AU8" s="899"/>
      <c r="AV8" s="899"/>
      <c r="AW8" s="899"/>
      <c r="AX8" s="899"/>
      <c r="AY8" s="899"/>
      <c r="BD8" s="3" t="s">
        <v>2513</v>
      </c>
      <c r="BE8" s="1253">
        <f>SUMIF($AC$718:$AC$752,"&lt;=35%",$G$718:G$752)-SUM($BE$5:BE7)</f>
        <v>0</v>
      </c>
    </row>
    <row r="9" spans="1:58" ht="13" customHeight="1">
      <c r="A9" s="1809" t="s">
        <v>2078</v>
      </c>
      <c r="B9" s="1809"/>
      <c r="C9" s="1809"/>
      <c r="D9" s="1809"/>
      <c r="E9" s="1809"/>
      <c r="F9" s="1809"/>
      <c r="G9" s="1809"/>
      <c r="H9" s="1809"/>
      <c r="I9" s="1809"/>
      <c r="J9" s="1809"/>
      <c r="K9" s="1809"/>
      <c r="L9" s="1809"/>
      <c r="M9" s="1809"/>
      <c r="N9" s="1809"/>
      <c r="O9" s="1809"/>
      <c r="P9" s="1809"/>
      <c r="Q9" s="1809"/>
      <c r="R9" s="1809"/>
      <c r="S9" s="1809"/>
      <c r="T9" s="1809"/>
      <c r="U9" s="1809"/>
      <c r="V9" s="1809"/>
      <c r="W9" s="1809"/>
      <c r="X9" s="1809"/>
      <c r="Y9" s="1809"/>
      <c r="Z9" s="1809"/>
      <c r="AA9" s="1809"/>
      <c r="AB9" s="1809"/>
      <c r="AC9" s="1809"/>
      <c r="AD9" s="1809"/>
      <c r="AE9" s="1809"/>
      <c r="AF9" s="1809"/>
      <c r="AG9" s="1809"/>
      <c r="AH9" s="1809"/>
      <c r="AI9" s="1809"/>
      <c r="AJ9" s="1809"/>
      <c r="AK9" s="1809"/>
      <c r="AL9" s="1809"/>
      <c r="AM9" s="1809"/>
      <c r="AN9" s="1809"/>
      <c r="AO9" s="1809"/>
      <c r="AP9" s="1809"/>
      <c r="AQ9" s="1809"/>
      <c r="AR9" s="1809"/>
      <c r="AS9" s="1809"/>
      <c r="AT9" s="1809"/>
      <c r="AU9" s="13"/>
      <c r="AV9" s="13"/>
      <c r="AW9" s="13"/>
      <c r="AX9" s="13"/>
      <c r="AY9" s="13"/>
      <c r="BD9" s="1252" t="s">
        <v>2505</v>
      </c>
      <c r="BE9" s="1253">
        <f>SUMIF($AC$718:$AC$752,"&lt;=40%",$G$718:G$752)-SUM($BE$5:BE8)</f>
        <v>0</v>
      </c>
    </row>
    <row r="10" spans="1:58" ht="13" customHeight="1">
      <c r="A10" s="1809" t="s">
        <v>2462</v>
      </c>
      <c r="B10" s="1809"/>
      <c r="C10" s="1809"/>
      <c r="D10" s="1809"/>
      <c r="E10" s="1809"/>
      <c r="F10" s="1809"/>
      <c r="G10" s="1809"/>
      <c r="H10" s="1809"/>
      <c r="I10" s="1809"/>
      <c r="J10" s="1809"/>
      <c r="K10" s="1809"/>
      <c r="L10" s="1809"/>
      <c r="M10" s="1809"/>
      <c r="N10" s="1809"/>
      <c r="O10" s="1809"/>
      <c r="P10" s="1809"/>
      <c r="Q10" s="1809"/>
      <c r="R10" s="1809"/>
      <c r="S10" s="1809"/>
      <c r="T10" s="1809"/>
      <c r="U10" s="1809"/>
      <c r="V10" s="1809"/>
      <c r="W10" s="1809"/>
      <c r="X10" s="1809"/>
      <c r="Y10" s="1809"/>
      <c r="Z10" s="1809"/>
      <c r="AA10" s="1809"/>
      <c r="AB10" s="1809"/>
      <c r="AC10" s="1809"/>
      <c r="AD10" s="1809"/>
      <c r="AE10" s="1809"/>
      <c r="AF10" s="1809"/>
      <c r="AG10" s="1809"/>
      <c r="AH10" s="1809"/>
      <c r="AI10" s="1809"/>
      <c r="AJ10" s="1809"/>
      <c r="AK10" s="1809"/>
      <c r="AL10" s="1809"/>
      <c r="AM10" s="1809"/>
      <c r="AN10" s="1809"/>
      <c r="AO10" s="1809"/>
      <c r="AP10" s="1809"/>
      <c r="AQ10" s="1809"/>
      <c r="AR10" s="1809"/>
      <c r="AS10" s="1809"/>
      <c r="AT10" s="1809"/>
      <c r="AU10" s="13"/>
      <c r="AV10" s="13"/>
      <c r="AW10" s="13"/>
      <c r="AX10" s="13"/>
      <c r="AY10" s="13"/>
      <c r="BD10" s="3" t="s">
        <v>2514</v>
      </c>
      <c r="BE10" s="1253">
        <f>SUMIF($AC$718:$AC$752,"&lt;=45%",$G$718:G$752)-SUM($BE$5:BE9)</f>
        <v>0</v>
      </c>
    </row>
    <row r="11" spans="1:58" ht="13" customHeight="1">
      <c r="A11" s="1809" t="s">
        <v>2608</v>
      </c>
      <c r="B11" s="1809"/>
      <c r="C11" s="1809"/>
      <c r="D11" s="1809"/>
      <c r="E11" s="1809"/>
      <c r="F11" s="1809"/>
      <c r="G11" s="1809"/>
      <c r="H11" s="1809"/>
      <c r="I11" s="1809"/>
      <c r="J11" s="1809"/>
      <c r="K11" s="1809"/>
      <c r="L11" s="1809"/>
      <c r="M11" s="1809"/>
      <c r="N11" s="1809"/>
      <c r="O11" s="1809"/>
      <c r="P11" s="1809"/>
      <c r="Q11" s="1809"/>
      <c r="R11" s="1809"/>
      <c r="S11" s="1809"/>
      <c r="T11" s="1809"/>
      <c r="U11" s="1809"/>
      <c r="V11" s="1809"/>
      <c r="W11" s="1809"/>
      <c r="X11" s="1809"/>
      <c r="Y11" s="1809"/>
      <c r="Z11" s="1809"/>
      <c r="AA11" s="1809"/>
      <c r="AB11" s="1809"/>
      <c r="AC11" s="1809"/>
      <c r="AD11" s="1809"/>
      <c r="AE11" s="1809"/>
      <c r="AF11" s="1809"/>
      <c r="AG11" s="1809"/>
      <c r="AH11" s="1809"/>
      <c r="AI11" s="1809"/>
      <c r="AJ11" s="1809"/>
      <c r="AK11" s="1809"/>
      <c r="AL11" s="1809"/>
      <c r="AM11" s="1809"/>
      <c r="AN11" s="1809"/>
      <c r="AO11" s="1809"/>
      <c r="AP11" s="1809"/>
      <c r="AQ11" s="1809"/>
      <c r="AR11" s="1809"/>
      <c r="AS11" s="1809"/>
      <c r="AT11" s="1809"/>
      <c r="AU11" s="13"/>
      <c r="AV11" s="13"/>
      <c r="AW11" s="13"/>
      <c r="AX11" s="13"/>
      <c r="AY11" s="13"/>
      <c r="BD11" s="1251" t="s">
        <v>2506</v>
      </c>
      <c r="BE11" s="1253">
        <f>SUMIF($AC$718:$AC$752,"&lt;=50%",$G$718:G$752)-SUM($BE$5:BE10)</f>
        <v>1</v>
      </c>
    </row>
    <row r="12" spans="1:58" ht="13" customHeight="1">
      <c r="A12" s="1810" t="s">
        <v>2609</v>
      </c>
      <c r="B12" s="1810"/>
      <c r="C12" s="1810"/>
      <c r="D12" s="1810"/>
      <c r="E12" s="1810"/>
      <c r="F12" s="1810"/>
      <c r="G12" s="1810"/>
      <c r="H12" s="1810"/>
      <c r="I12" s="1810"/>
      <c r="J12" s="1810"/>
      <c r="K12" s="1810"/>
      <c r="L12" s="1810"/>
      <c r="M12" s="1810"/>
      <c r="N12" s="1810"/>
      <c r="O12" s="1810"/>
      <c r="P12" s="1810"/>
      <c r="Q12" s="1810"/>
      <c r="R12" s="1810"/>
      <c r="S12" s="1810"/>
      <c r="T12" s="1810"/>
      <c r="U12" s="1810"/>
      <c r="V12" s="1810"/>
      <c r="W12" s="1810"/>
      <c r="X12" s="1810"/>
      <c r="Y12" s="1810"/>
      <c r="Z12" s="1810"/>
      <c r="AA12" s="1810"/>
      <c r="AB12" s="1810"/>
      <c r="AC12" s="1810"/>
      <c r="AD12" s="1810"/>
      <c r="AE12" s="1810"/>
      <c r="AF12" s="1810"/>
      <c r="AG12" s="1810"/>
      <c r="AH12" s="1810"/>
      <c r="AI12" s="1810"/>
      <c r="AJ12" s="1810"/>
      <c r="AK12" s="1810"/>
      <c r="AL12" s="1810"/>
      <c r="AM12" s="1810"/>
      <c r="AN12" s="1810"/>
      <c r="AO12" s="1810"/>
      <c r="AP12" s="1810"/>
      <c r="AQ12" s="1810"/>
      <c r="AR12" s="1810"/>
      <c r="AS12" s="1810"/>
      <c r="AT12" s="1810"/>
      <c r="AU12" s="6"/>
      <c r="AV12" s="6"/>
      <c r="AW12" s="6"/>
      <c r="AX12" s="6"/>
      <c r="AY12" s="6"/>
      <c r="BD12" s="3" t="s">
        <v>2515</v>
      </c>
      <c r="BE12" s="1253">
        <f>SUMIF($AC$718:$AC$752,"&lt;=55%",$G$718:G$752)-SUM($BE$5:BE11)</f>
        <v>0</v>
      </c>
    </row>
    <row r="13" spans="1:58" ht="13" customHeight="1">
      <c r="A13" s="1269" t="s">
        <v>2079</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900"/>
      <c r="AV13" s="900"/>
      <c r="AW13" s="900"/>
      <c r="AX13" s="900"/>
      <c r="AY13" s="900"/>
      <c r="BD13" s="1252" t="s">
        <v>2507</v>
      </c>
      <c r="BE13" s="1253">
        <f>SUMIF($AC$718:$AC$752,"&lt;=60%",$G$718:G$752)-SUM($BE$5:BE12)</f>
        <v>0</v>
      </c>
    </row>
    <row r="14" spans="1:58" ht="13"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900"/>
      <c r="AV14" s="900"/>
      <c r="AW14" s="900"/>
      <c r="AX14" s="900"/>
      <c r="AY14" s="900"/>
      <c r="BD14" s="1251" t="s">
        <v>2508</v>
      </c>
      <c r="BE14" s="1253">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143</v>
      </c>
    </row>
    <row r="16" spans="1:58" ht="13" customHeight="1">
      <c r="A16" s="57" t="s">
        <v>2080</v>
      </c>
      <c r="C16" s="4"/>
      <c r="D16" s="4"/>
      <c r="E16" s="4"/>
      <c r="F16" s="4"/>
      <c r="G16" s="4"/>
      <c r="H16" s="1570" t="s">
        <v>2694</v>
      </c>
      <c r="I16" s="1564"/>
      <c r="J16" s="1564"/>
      <c r="K16" s="1564"/>
      <c r="L16" s="1564"/>
      <c r="M16" s="1564"/>
      <c r="N16" s="1564"/>
      <c r="O16" s="1564"/>
      <c r="P16" s="1564"/>
      <c r="Q16" s="1564"/>
      <c r="R16" s="1564"/>
      <c r="S16" s="1564"/>
      <c r="T16" s="1564"/>
      <c r="U16" s="1564"/>
      <c r="V16" s="1564"/>
      <c r="W16" s="1564"/>
      <c r="X16" s="1564"/>
      <c r="Y16" s="1564"/>
      <c r="Z16" s="1564"/>
      <c r="AA16" s="1564"/>
      <c r="AB16" s="1564"/>
      <c r="AC16" s="1564"/>
      <c r="AD16" s="1564"/>
      <c r="AE16" s="1564"/>
      <c r="AF16" s="1564"/>
      <c r="AG16" s="1564"/>
      <c r="AH16" s="1564"/>
      <c r="AI16" s="1564"/>
      <c r="AJ16" s="1564"/>
      <c r="BD16" s="1252" t="s">
        <v>657</v>
      </c>
      <c r="BE16" s="1253" t="str">
        <f>Application!H18</f>
        <v>Sky Castle</v>
      </c>
    </row>
    <row r="17" spans="1:58" ht="13" customHeight="1">
      <c r="BD17" s="1251" t="s">
        <v>2522</v>
      </c>
      <c r="BE17" s="1253">
        <f>Application!AA934</f>
        <v>0</v>
      </c>
    </row>
    <row r="18" spans="1:58" ht="13" customHeight="1">
      <c r="A18" s="57" t="s">
        <v>101</v>
      </c>
      <c r="C18" s="4"/>
      <c r="D18" s="4"/>
      <c r="E18" s="4"/>
      <c r="F18" s="4"/>
      <c r="G18" s="4"/>
      <c r="H18" s="1536" t="s">
        <v>2683</v>
      </c>
      <c r="I18" s="1521"/>
      <c r="J18" s="1521"/>
      <c r="K18" s="1521"/>
      <c r="L18" s="1521"/>
      <c r="M18" s="1521"/>
      <c r="N18" s="1521"/>
      <c r="O18" s="1521"/>
      <c r="P18" s="1521"/>
      <c r="Q18" s="1521"/>
      <c r="R18" s="1521"/>
      <c r="S18" s="1521"/>
      <c r="T18" s="1521"/>
      <c r="U18" s="1521"/>
      <c r="V18" s="1521"/>
      <c r="W18" s="1521"/>
      <c r="X18" s="1521"/>
      <c r="Y18" s="1521"/>
      <c r="Z18" s="1521"/>
      <c r="AA18" s="1521"/>
      <c r="AB18" s="1521"/>
      <c r="AC18" s="1521"/>
      <c r="AD18" s="1521"/>
      <c r="AE18" s="1521"/>
      <c r="AF18" s="1521"/>
      <c r="AG18" s="1521"/>
      <c r="AH18" s="1521"/>
      <c r="AI18" s="1521"/>
      <c r="AJ18" s="1521"/>
      <c r="BD18" s="1252" t="s">
        <v>2523</v>
      </c>
      <c r="BE18" s="1253">
        <f>'CalHFA Addendum'!N11</f>
        <v>0</v>
      </c>
    </row>
    <row r="19" spans="1:58" ht="13" customHeight="1">
      <c r="BD19" s="1251" t="s">
        <v>2524</v>
      </c>
      <c r="BE19" s="1253">
        <f>Application!M26</f>
        <v>4108508</v>
      </c>
    </row>
    <row r="20" spans="1:58" ht="13" customHeight="1">
      <c r="A20" s="1811" t="s">
        <v>873</v>
      </c>
      <c r="B20" s="1811"/>
      <c r="C20" s="1811"/>
      <c r="D20" s="1811"/>
      <c r="E20" s="1811"/>
      <c r="F20" s="1811"/>
      <c r="G20" s="1811"/>
      <c r="H20" s="1811"/>
      <c r="I20" s="1811"/>
      <c r="J20" s="1811"/>
      <c r="K20" s="1811"/>
      <c r="L20" s="1811"/>
      <c r="M20" s="1811"/>
      <c r="N20" s="1811"/>
      <c r="O20" s="1811"/>
      <c r="P20" s="1811"/>
      <c r="Q20" s="1811"/>
      <c r="R20" s="1811"/>
      <c r="S20" s="1811"/>
      <c r="T20" s="1811"/>
      <c r="U20" s="1811"/>
      <c r="V20" s="1811"/>
      <c r="W20" s="1811"/>
      <c r="X20" s="1811"/>
      <c r="Y20" s="1811"/>
      <c r="Z20" s="1811"/>
      <c r="AA20" s="1811"/>
      <c r="AB20" s="1811"/>
      <c r="AC20" s="1811"/>
      <c r="AD20" s="1811"/>
      <c r="AE20" s="1811"/>
      <c r="AF20" s="1811"/>
      <c r="AG20" s="1811"/>
      <c r="AH20" s="1811"/>
      <c r="AI20" s="1811"/>
      <c r="AJ20" s="1811"/>
      <c r="AK20" s="1811"/>
      <c r="AL20" s="1811"/>
      <c r="AM20" s="1811"/>
      <c r="AN20" s="1811"/>
      <c r="AO20" s="1811"/>
      <c r="AP20" s="1811"/>
      <c r="AQ20" s="1811"/>
      <c r="AR20" s="1811"/>
      <c r="AS20" s="1811"/>
      <c r="AT20" s="1811"/>
      <c r="AU20" s="901"/>
      <c r="AV20" s="901"/>
      <c r="AW20" s="901"/>
      <c r="AX20" s="901"/>
      <c r="AY20" s="901"/>
      <c r="BD20" s="1252" t="s">
        <v>2525</v>
      </c>
      <c r="BE20" s="1253">
        <f>Application!M27</f>
        <v>0</v>
      </c>
    </row>
    <row r="21" spans="1:58" ht="13" customHeight="1">
      <c r="A21" s="1814" t="s">
        <v>1009</v>
      </c>
      <c r="B21" s="1814"/>
      <c r="C21" s="1814"/>
      <c r="D21" s="1814"/>
      <c r="E21" s="1814"/>
      <c r="F21" s="1814"/>
      <c r="G21" s="1814"/>
      <c r="H21" s="1814"/>
      <c r="I21" s="1814"/>
      <c r="J21" s="1814"/>
      <c r="K21" s="1814"/>
      <c r="L21" s="1814"/>
      <c r="M21" s="1814"/>
      <c r="N21" s="1814"/>
      <c r="O21" s="1814"/>
      <c r="P21" s="1814"/>
      <c r="Q21" s="1814"/>
      <c r="R21" s="1814"/>
      <c r="S21" s="1814"/>
      <c r="T21" s="1814"/>
      <c r="U21" s="1814"/>
      <c r="V21" s="1814"/>
      <c r="W21" s="1814"/>
      <c r="X21" s="1814"/>
      <c r="Y21" s="1814"/>
      <c r="Z21" s="1814"/>
      <c r="AA21" s="1814"/>
      <c r="AB21" s="1814"/>
      <c r="AC21" s="1814"/>
      <c r="AD21" s="1814"/>
      <c r="AE21" s="1814"/>
      <c r="AF21" s="1814"/>
      <c r="AG21" s="1814"/>
      <c r="AH21" s="1814"/>
      <c r="AI21" s="1814"/>
      <c r="AJ21" s="1814"/>
      <c r="AK21" s="1814"/>
      <c r="AL21" s="1814"/>
      <c r="AM21" s="902"/>
      <c r="AN21" s="902"/>
      <c r="AO21" s="902"/>
      <c r="AP21" s="902"/>
      <c r="AQ21" s="902"/>
      <c r="AR21" s="902"/>
      <c r="AS21" s="902"/>
      <c r="AT21" s="902"/>
      <c r="AU21" s="902"/>
      <c r="AV21" s="902"/>
      <c r="AW21" s="902"/>
      <c r="AX21" s="902"/>
      <c r="AY21" s="902"/>
      <c r="BD21" s="1251" t="s">
        <v>2526</v>
      </c>
      <c r="BE21" s="1253">
        <f>Application!AM554</f>
        <v>54869173</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109859539</v>
      </c>
      <c r="BF22" s="3" t="s">
        <v>2599</v>
      </c>
    </row>
    <row r="23" spans="1:58" ht="13" customHeight="1">
      <c r="A23" s="1327" t="s">
        <v>2148</v>
      </c>
      <c r="B23" s="1327"/>
      <c r="C23" s="1327"/>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c r="AT23" s="1327"/>
      <c r="AU23" s="18"/>
      <c r="AV23" s="18"/>
      <c r="AW23" s="18"/>
      <c r="AX23" s="18"/>
      <c r="AY23" s="18"/>
      <c r="AZ23" s="18"/>
      <c r="BD23" s="1251" t="s">
        <v>2527</v>
      </c>
      <c r="BE23" s="1253">
        <f>'Sources and Uses Budget'!B4</f>
        <v>1800000</v>
      </c>
    </row>
    <row r="24" spans="1:58" ht="13" customHeight="1">
      <c r="A24" s="1327"/>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8"/>
      <c r="AV24" s="18"/>
      <c r="AW24" s="18"/>
      <c r="AX24" s="18"/>
      <c r="AY24" s="18"/>
      <c r="AZ24" s="18"/>
      <c r="BD24" s="1252" t="s">
        <v>2528</v>
      </c>
      <c r="BE24" s="1253">
        <f>Application!AG450</f>
        <v>209080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 Average Income</v>
      </c>
    </row>
    <row r="26" spans="1:58" ht="13" customHeight="1">
      <c r="A26" s="4"/>
      <c r="C26" s="4"/>
      <c r="D26" s="4"/>
      <c r="E26" s="4"/>
      <c r="F26" s="4"/>
      <c r="G26" s="4"/>
      <c r="H26" s="4"/>
      <c r="I26" s="4"/>
      <c r="J26" s="4"/>
      <c r="K26" s="4"/>
      <c r="L26" s="4"/>
      <c r="M26" s="1813">
        <f>'Basis &amp; Credits'!AB56</f>
        <v>4108508</v>
      </c>
      <c r="N26" s="1813"/>
      <c r="O26" s="1813"/>
      <c r="P26" s="1813"/>
      <c r="Q26" s="1813"/>
      <c r="R26" s="4" t="s">
        <v>760</v>
      </c>
      <c r="S26" s="4"/>
      <c r="T26" s="4"/>
      <c r="U26" s="4"/>
      <c r="V26" s="4"/>
      <c r="W26" s="4"/>
      <c r="X26" s="4"/>
      <c r="Y26" s="4"/>
      <c r="Z26" s="4"/>
      <c r="AF26" s="4"/>
      <c r="AG26" s="4"/>
      <c r="AH26" s="4"/>
      <c r="AI26" s="4"/>
      <c r="AJ26" s="4"/>
      <c r="AK26" s="4"/>
      <c r="BD26" s="1252" t="s">
        <v>1639</v>
      </c>
      <c r="BE26" s="1253" t="b">
        <f>Application!M356="Yes"</f>
        <v>1</v>
      </c>
    </row>
    <row r="27" spans="1:58" ht="13" customHeight="1">
      <c r="A27" s="4"/>
      <c r="C27" s="4"/>
      <c r="D27" s="4"/>
      <c r="E27" s="4"/>
      <c r="F27" s="4"/>
      <c r="G27" s="4"/>
      <c r="H27" s="4"/>
      <c r="I27" s="4"/>
      <c r="J27" s="4"/>
      <c r="K27" s="4"/>
      <c r="L27" s="4"/>
      <c r="M27" s="1356">
        <f>'Basis &amp; Credits'!AB78</f>
        <v>0</v>
      </c>
      <c r="N27" s="1356"/>
      <c r="O27" s="1356"/>
      <c r="P27" s="1356"/>
      <c r="Q27" s="1356"/>
      <c r="R27" s="3" t="s">
        <v>1267</v>
      </c>
      <c r="S27" s="4"/>
      <c r="T27" s="4"/>
      <c r="U27" s="4"/>
      <c r="V27" s="4"/>
      <c r="W27" s="4"/>
      <c r="X27" s="4"/>
      <c r="Y27" s="4"/>
      <c r="Z27" s="4"/>
      <c r="AF27" s="4"/>
      <c r="AG27" s="4"/>
      <c r="AH27" s="4"/>
      <c r="AI27" s="4"/>
      <c r="AJ27" s="4"/>
      <c r="AK27" s="4"/>
      <c r="BD27" s="1251" t="s">
        <v>2100</v>
      </c>
      <c r="BE27" s="1253"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3" customHeight="1">
      <c r="A29" s="1541" t="s">
        <v>2149</v>
      </c>
      <c r="B29" s="1541"/>
      <c r="C29" s="1541"/>
      <c r="D29" s="1541"/>
      <c r="E29" s="1541"/>
      <c r="F29" s="1541"/>
      <c r="G29" s="1541"/>
      <c r="H29" s="1541"/>
      <c r="I29" s="1541"/>
      <c r="J29" s="1541"/>
      <c r="K29" s="1541"/>
      <c r="L29" s="1541"/>
      <c r="M29" s="1541"/>
      <c r="N29" s="1541"/>
      <c r="O29" s="1541"/>
      <c r="P29" s="1541"/>
      <c r="Q29" s="1541"/>
      <c r="R29" s="1541"/>
      <c r="S29" s="1541"/>
      <c r="T29" s="1541"/>
      <c r="U29" s="1541"/>
      <c r="V29" s="1541"/>
      <c r="W29" s="1541"/>
      <c r="X29" s="1541"/>
      <c r="Y29" s="1541"/>
      <c r="Z29" s="1541"/>
      <c r="AA29" s="1541"/>
      <c r="AB29" s="1541"/>
      <c r="AC29" s="1541"/>
      <c r="AD29" s="1541"/>
      <c r="AE29" s="1541"/>
      <c r="AF29" s="1541"/>
      <c r="AG29" s="1541"/>
      <c r="AH29" s="1541"/>
      <c r="AI29" s="1541"/>
      <c r="AJ29" s="1541"/>
      <c r="AK29" s="1541"/>
      <c r="AL29" s="1541"/>
      <c r="AM29" s="1541"/>
      <c r="AN29" s="1541"/>
      <c r="AO29" s="1541"/>
      <c r="AP29" s="1541"/>
      <c r="AQ29" s="1541"/>
      <c r="AR29" s="1541"/>
      <c r="AS29" s="1541"/>
      <c r="AT29" s="1541"/>
      <c r="BD29" s="1251" t="s">
        <v>2531</v>
      </c>
      <c r="BE29" s="1253" t="b">
        <f>Application!M358="Yes"</f>
        <v>0</v>
      </c>
    </row>
    <row r="30" spans="1:58" ht="13" customHeight="1">
      <c r="A30" s="1541"/>
      <c r="B30" s="1541"/>
      <c r="C30" s="1541"/>
      <c r="D30" s="1541"/>
      <c r="E30" s="1541"/>
      <c r="F30" s="1541"/>
      <c r="G30" s="1541"/>
      <c r="H30" s="1541"/>
      <c r="I30" s="1541"/>
      <c r="J30" s="1541"/>
      <c r="K30" s="1541"/>
      <c r="L30" s="1541"/>
      <c r="M30" s="1541"/>
      <c r="N30" s="1541"/>
      <c r="O30" s="1541"/>
      <c r="P30" s="1541"/>
      <c r="Q30" s="1541"/>
      <c r="R30" s="1541"/>
      <c r="S30" s="1541"/>
      <c r="T30" s="1541"/>
      <c r="U30" s="1541"/>
      <c r="V30" s="1541"/>
      <c r="W30" s="1541"/>
      <c r="X30" s="1541"/>
      <c r="Y30" s="1541"/>
      <c r="Z30" s="1541"/>
      <c r="AA30" s="1541"/>
      <c r="AB30" s="1541"/>
      <c r="AC30" s="1541"/>
      <c r="AD30" s="1541"/>
      <c r="AE30" s="1541"/>
      <c r="AF30" s="1541"/>
      <c r="AG30" s="1541"/>
      <c r="AH30" s="1541"/>
      <c r="AI30" s="1541"/>
      <c r="AJ30" s="1541"/>
      <c r="AK30" s="1541"/>
      <c r="AL30" s="1541"/>
      <c r="AM30" s="1541"/>
      <c r="AN30" s="1541"/>
      <c r="AO30" s="1541"/>
      <c r="AP30" s="1541"/>
      <c r="AQ30" s="1541"/>
      <c r="AR30" s="1541"/>
      <c r="AS30" s="1541"/>
      <c r="AT30" s="1541"/>
      <c r="AZ30" s="20"/>
      <c r="BD30" s="1252" t="s">
        <v>28</v>
      </c>
      <c r="BE30" s="1253" t="b">
        <f>Application!AJ355="Yes"</f>
        <v>0</v>
      </c>
    </row>
    <row r="31" spans="1:58" ht="13" customHeight="1">
      <c r="A31" s="1541"/>
      <c r="B31" s="1541"/>
      <c r="C31" s="1541"/>
      <c r="D31" s="1541"/>
      <c r="E31" s="1541"/>
      <c r="F31" s="1541"/>
      <c r="G31" s="1541"/>
      <c r="H31" s="1541"/>
      <c r="I31" s="1541"/>
      <c r="J31" s="1541"/>
      <c r="K31" s="1541"/>
      <c r="L31" s="1541"/>
      <c r="M31" s="1541"/>
      <c r="N31" s="1541"/>
      <c r="O31" s="1541"/>
      <c r="P31" s="1541"/>
      <c r="Q31" s="1541"/>
      <c r="R31" s="1541"/>
      <c r="S31" s="1541"/>
      <c r="T31" s="1541"/>
      <c r="U31" s="1541"/>
      <c r="V31" s="1541"/>
      <c r="W31" s="1541"/>
      <c r="X31" s="1541"/>
      <c r="Y31" s="1541"/>
      <c r="Z31" s="1541"/>
      <c r="AA31" s="1541"/>
      <c r="AB31" s="1541"/>
      <c r="AC31" s="1541"/>
      <c r="AD31" s="1541"/>
      <c r="AE31" s="1541"/>
      <c r="AF31" s="1541"/>
      <c r="AG31" s="1541"/>
      <c r="AH31" s="1541"/>
      <c r="AI31" s="1541"/>
      <c r="AJ31" s="1541"/>
      <c r="AK31" s="1541"/>
      <c r="AL31" s="1541"/>
      <c r="AM31" s="1541"/>
      <c r="AN31" s="1541"/>
      <c r="AO31" s="1541"/>
      <c r="AP31" s="1541"/>
      <c r="AQ31" s="1541"/>
      <c r="AR31" s="1541"/>
      <c r="AS31" s="1541"/>
      <c r="AT31" s="1541"/>
      <c r="AU31" s="20"/>
      <c r="AV31" s="20"/>
      <c r="AW31" s="20"/>
      <c r="AX31" s="20"/>
      <c r="AY31" s="20"/>
      <c r="AZ31" s="20"/>
      <c r="BD31" s="1251" t="s">
        <v>2532</v>
      </c>
      <c r="BE31" s="125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3" customHeight="1">
      <c r="A33" s="520" t="s">
        <v>1278</v>
      </c>
      <c r="C33" s="520"/>
      <c r="D33" s="520"/>
      <c r="E33" s="520"/>
      <c r="F33" s="520"/>
      <c r="G33" s="520"/>
      <c r="H33" s="520"/>
      <c r="I33" s="520"/>
      <c r="J33" s="520"/>
      <c r="K33" s="520"/>
      <c r="L33" s="520"/>
      <c r="M33" s="520"/>
      <c r="N33" s="520"/>
      <c r="O33" s="1397" t="s">
        <v>670</v>
      </c>
      <c r="P33" s="1397"/>
      <c r="Q33" s="1812" t="s">
        <v>2150</v>
      </c>
      <c r="R33" s="1812"/>
      <c r="S33" s="1812"/>
      <c r="T33" s="1812"/>
      <c r="U33" s="1812"/>
      <c r="V33" s="1812"/>
      <c r="W33" s="1812"/>
      <c r="X33" s="1812"/>
      <c r="Y33" s="1812"/>
      <c r="Z33" s="1812"/>
      <c r="AA33" s="1812"/>
      <c r="AB33" s="1812"/>
      <c r="AC33" s="1812"/>
      <c r="AD33" s="1812"/>
      <c r="AE33" s="1812"/>
      <c r="AF33" s="1812"/>
      <c r="AG33" s="1812"/>
      <c r="AH33" s="1812"/>
      <c r="AI33" s="1812"/>
      <c r="AJ33" s="1812"/>
      <c r="AK33" s="1812"/>
      <c r="AL33" s="1812"/>
      <c r="AM33" s="1812"/>
      <c r="AN33" s="1812"/>
      <c r="AO33" s="1812"/>
      <c r="AP33" s="1812"/>
      <c r="AQ33" s="1812"/>
      <c r="AR33" s="1812"/>
      <c r="AS33" s="1812"/>
      <c r="AT33" s="1812"/>
      <c r="AU33" s="20"/>
      <c r="AV33" s="20"/>
      <c r="AW33" s="20"/>
      <c r="AX33" s="20"/>
      <c r="AY33" s="20"/>
      <c r="BD33" s="1251" t="s">
        <v>2600</v>
      </c>
      <c r="BE33" s="1253" t="str">
        <f>Application!D220</f>
        <v>City of Los Angeles</v>
      </c>
    </row>
    <row r="34" spans="1:57" ht="13" customHeight="1">
      <c r="A34" s="1541" t="s">
        <v>2151</v>
      </c>
      <c r="B34" s="1541"/>
      <c r="C34" s="1541"/>
      <c r="D34" s="1541"/>
      <c r="E34" s="1541"/>
      <c r="F34" s="1541"/>
      <c r="G34" s="1541"/>
      <c r="H34" s="1541"/>
      <c r="I34" s="1541"/>
      <c r="J34" s="1541"/>
      <c r="K34" s="1541"/>
      <c r="L34" s="1541"/>
      <c r="M34" s="1541"/>
      <c r="N34" s="1541"/>
      <c r="O34" s="1541"/>
      <c r="P34" s="1541"/>
      <c r="Q34" s="1541"/>
      <c r="R34" s="1541"/>
      <c r="S34" s="1541"/>
      <c r="T34" s="1541"/>
      <c r="U34" s="1541"/>
      <c r="V34" s="1541"/>
      <c r="W34" s="1541"/>
      <c r="X34" s="1541"/>
      <c r="Y34" s="1541"/>
      <c r="Z34" s="1541"/>
      <c r="AA34" s="1541"/>
      <c r="AB34" s="1541"/>
      <c r="AC34" s="1541"/>
      <c r="AD34" s="1541"/>
      <c r="AE34" s="1541"/>
      <c r="AF34" s="1541"/>
      <c r="AG34" s="1541"/>
      <c r="AH34" s="1541"/>
      <c r="AI34" s="1541"/>
      <c r="AJ34" s="1541"/>
      <c r="AK34" s="1541"/>
      <c r="AL34" s="1541"/>
      <c r="AM34" s="1541"/>
      <c r="AN34" s="1541"/>
      <c r="AO34" s="1541"/>
      <c r="AP34" s="1541"/>
      <c r="AQ34" s="1541"/>
      <c r="AR34" s="1541"/>
      <c r="AS34" s="1541"/>
      <c r="AT34" s="1541"/>
      <c r="AU34" s="20"/>
      <c r="AV34" s="20"/>
      <c r="AW34" s="20"/>
      <c r="AX34" s="20"/>
      <c r="AY34" s="20"/>
      <c r="AZ34" s="20"/>
      <c r="BD34" s="1252" t="s">
        <v>2534</v>
      </c>
      <c r="BE34" s="1253" t="str">
        <f>Application!I185</f>
        <v>1055 W. 7th Street</v>
      </c>
    </row>
    <row r="35" spans="1:57" ht="13" customHeight="1">
      <c r="A35" s="1541"/>
      <c r="B35" s="1541"/>
      <c r="C35" s="1541"/>
      <c r="D35" s="1541"/>
      <c r="E35" s="1541"/>
      <c r="F35" s="1541"/>
      <c r="G35" s="1541"/>
      <c r="H35" s="1541"/>
      <c r="I35" s="1541"/>
      <c r="J35" s="1541"/>
      <c r="K35" s="1541"/>
      <c r="L35" s="1541"/>
      <c r="M35" s="1541"/>
      <c r="N35" s="1541"/>
      <c r="O35" s="1541"/>
      <c r="P35" s="1541"/>
      <c r="Q35" s="1541"/>
      <c r="R35" s="1541"/>
      <c r="S35" s="1541"/>
      <c r="T35" s="1541"/>
      <c r="U35" s="1541"/>
      <c r="V35" s="1541"/>
      <c r="W35" s="1541"/>
      <c r="X35" s="1541"/>
      <c r="Y35" s="1541"/>
      <c r="Z35" s="1541"/>
      <c r="AA35" s="1541"/>
      <c r="AB35" s="1541"/>
      <c r="AC35" s="1541"/>
      <c r="AD35" s="1541"/>
      <c r="AE35" s="1541"/>
      <c r="AF35" s="1541"/>
      <c r="AG35" s="1541"/>
      <c r="AH35" s="1541"/>
      <c r="AI35" s="1541"/>
      <c r="AJ35" s="1541"/>
      <c r="AK35" s="1541"/>
      <c r="AL35" s="1541"/>
      <c r="AM35" s="1541"/>
      <c r="AN35" s="1541"/>
      <c r="AO35" s="1541"/>
      <c r="AP35" s="1541"/>
      <c r="AQ35" s="1541"/>
      <c r="AR35" s="1541"/>
      <c r="AS35" s="1541"/>
      <c r="AT35" s="1541"/>
      <c r="AU35" s="20"/>
      <c r="AV35" s="20"/>
      <c r="AW35" s="20"/>
      <c r="AX35" s="20"/>
      <c r="AY35" s="20"/>
      <c r="AZ35" s="20"/>
      <c r="BD35" s="1251" t="s">
        <v>2535</v>
      </c>
      <c r="BE35" s="1253" t="str">
        <f>IF(Application!E187="","",Application!E187)</f>
        <v/>
      </c>
    </row>
    <row r="36" spans="1:57" ht="13" customHeight="1">
      <c r="A36" s="1541"/>
      <c r="B36" s="1541"/>
      <c r="C36" s="1541"/>
      <c r="D36" s="1541"/>
      <c r="E36" s="1541"/>
      <c r="F36" s="1541"/>
      <c r="G36" s="1541"/>
      <c r="H36" s="1541"/>
      <c r="I36" s="1541"/>
      <c r="J36" s="1541"/>
      <c r="K36" s="1541"/>
      <c r="L36" s="1541"/>
      <c r="M36" s="1541"/>
      <c r="N36" s="1541"/>
      <c r="O36" s="1541"/>
      <c r="P36" s="1541"/>
      <c r="Q36" s="1541"/>
      <c r="R36" s="1541"/>
      <c r="S36" s="1541"/>
      <c r="T36" s="1541"/>
      <c r="U36" s="1541"/>
      <c r="V36" s="1541"/>
      <c r="W36" s="1541"/>
      <c r="X36" s="1541"/>
      <c r="Y36" s="1541"/>
      <c r="Z36" s="1541"/>
      <c r="AA36" s="1541"/>
      <c r="AB36" s="1541"/>
      <c r="AC36" s="1541"/>
      <c r="AD36" s="1541"/>
      <c r="AE36" s="1541"/>
      <c r="AF36" s="1541"/>
      <c r="AG36" s="1541"/>
      <c r="AH36" s="1541"/>
      <c r="AI36" s="1541"/>
      <c r="AJ36" s="1541"/>
      <c r="AK36" s="1541"/>
      <c r="AL36" s="1541"/>
      <c r="AM36" s="1541"/>
      <c r="AN36" s="1541"/>
      <c r="AO36" s="1541"/>
      <c r="AP36" s="1541"/>
      <c r="AQ36" s="1541"/>
      <c r="AR36" s="1541"/>
      <c r="AS36" s="1541"/>
      <c r="AT36" s="1541"/>
      <c r="AU36" s="20"/>
      <c r="AV36" s="20"/>
      <c r="AW36" s="20"/>
      <c r="AX36" s="20"/>
      <c r="AY36" s="20"/>
      <c r="AZ36" s="20"/>
      <c r="BD36" s="1252" t="s">
        <v>2536</v>
      </c>
      <c r="BE36" s="1253" t="str">
        <f>Application!I189</f>
        <v>Los Angeles</v>
      </c>
    </row>
    <row r="37" spans="1:57" ht="13" customHeight="1">
      <c r="A37" s="1541"/>
      <c r="B37" s="1541"/>
      <c r="C37" s="1541"/>
      <c r="D37" s="1541"/>
      <c r="E37" s="1541"/>
      <c r="F37" s="1541"/>
      <c r="G37" s="1541"/>
      <c r="H37" s="1541"/>
      <c r="I37" s="1541"/>
      <c r="J37" s="1541"/>
      <c r="K37" s="1541"/>
      <c r="L37" s="1541"/>
      <c r="M37" s="1541"/>
      <c r="N37" s="1541"/>
      <c r="O37" s="1541"/>
      <c r="P37" s="1541"/>
      <c r="Q37" s="1541"/>
      <c r="R37" s="1541"/>
      <c r="S37" s="1541"/>
      <c r="T37" s="1541"/>
      <c r="U37" s="1541"/>
      <c r="V37" s="1541"/>
      <c r="W37" s="1541"/>
      <c r="X37" s="1541"/>
      <c r="Y37" s="1541"/>
      <c r="Z37" s="1541"/>
      <c r="AA37" s="1541"/>
      <c r="AB37" s="1541"/>
      <c r="AC37" s="1541"/>
      <c r="AD37" s="1541"/>
      <c r="AE37" s="1541"/>
      <c r="AF37" s="1541"/>
      <c r="AG37" s="1541"/>
      <c r="AH37" s="1541"/>
      <c r="AI37" s="1541"/>
      <c r="AJ37" s="1541"/>
      <c r="AK37" s="1541"/>
      <c r="AL37" s="1541"/>
      <c r="AM37" s="1541"/>
      <c r="AN37" s="1541"/>
      <c r="AO37" s="1541"/>
      <c r="AP37" s="1541"/>
      <c r="AQ37" s="1541"/>
      <c r="AR37" s="1541"/>
      <c r="AS37" s="1541"/>
      <c r="AT37" s="1541"/>
      <c r="AZ37" s="20"/>
      <c r="BD37" s="1251" t="s">
        <v>2537</v>
      </c>
      <c r="BE37" s="1253" t="str">
        <f>Application!T189</f>
        <v>Los Angeles</v>
      </c>
    </row>
    <row r="38" spans="1:57" ht="13" customHeight="1">
      <c r="A38" s="3"/>
      <c r="AZ38" s="20"/>
      <c r="BD38" s="1252" t="s">
        <v>2538</v>
      </c>
      <c r="BE38" s="1253">
        <f>Application!I190</f>
        <v>90017</v>
      </c>
    </row>
    <row r="39" spans="1:57" ht="13" customHeight="1">
      <c r="A39" s="1259" t="s">
        <v>2152</v>
      </c>
      <c r="B39" s="1259"/>
      <c r="C39" s="1259"/>
      <c r="D39" s="1259"/>
      <c r="E39" s="1259"/>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Z39" s="20"/>
      <c r="BD39" s="1251" t="s">
        <v>2539</v>
      </c>
      <c r="BE39" s="1253">
        <f>Application!AG437</f>
        <v>241</v>
      </c>
    </row>
    <row r="40" spans="1:57" ht="13" customHeight="1">
      <c r="A40" s="1259"/>
      <c r="B40" s="1259"/>
      <c r="C40" s="1259"/>
      <c r="D40" s="1259"/>
      <c r="E40" s="1259"/>
      <c r="F40" s="1259"/>
      <c r="G40" s="1259"/>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20"/>
      <c r="AV40" s="20"/>
      <c r="AW40" s="20"/>
      <c r="AX40" s="20"/>
      <c r="AY40" s="20"/>
      <c r="AZ40" s="20"/>
      <c r="BD40" s="1252" t="s">
        <v>384</v>
      </c>
      <c r="BE40" s="1253">
        <f>Application!AG440</f>
        <v>239</v>
      </c>
    </row>
    <row r="41" spans="1:57" ht="13" customHeight="1">
      <c r="A41" s="1259"/>
      <c r="B41" s="1259"/>
      <c r="C41" s="1259"/>
      <c r="D41" s="1259"/>
      <c r="E41" s="1259"/>
      <c r="F41" s="1259"/>
      <c r="G41" s="1259"/>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20"/>
      <c r="AV41" s="20"/>
      <c r="AW41" s="20"/>
      <c r="AX41" s="20"/>
      <c r="AY41" s="20"/>
      <c r="AZ41" s="20"/>
      <c r="BD41" s="1251" t="s">
        <v>287</v>
      </c>
      <c r="BE41" s="1253">
        <f>Application!AG438</f>
        <v>0</v>
      </c>
    </row>
    <row r="42" spans="1:57" ht="13" customHeight="1">
      <c r="A42" s="1259"/>
      <c r="B42" s="1259"/>
      <c r="C42" s="1259"/>
      <c r="D42" s="1259"/>
      <c r="E42" s="1259"/>
      <c r="F42" s="1259"/>
      <c r="G42" s="1259"/>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Z42" s="20"/>
      <c r="BD42" s="1252" t="s">
        <v>2540</v>
      </c>
      <c r="BE42" s="1255">
        <f>Application!AC753</f>
        <v>0.6</v>
      </c>
    </row>
    <row r="43" spans="1:57" ht="13" customHeight="1">
      <c r="A43" s="1259"/>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20"/>
      <c r="AV43" s="20"/>
      <c r="AW43" s="20"/>
      <c r="AX43" s="20"/>
      <c r="AY43" s="20"/>
      <c r="AZ43" s="20"/>
      <c r="BD43" s="1251" t="s">
        <v>2541</v>
      </c>
      <c r="BE43" s="1255">
        <f>Application!AH753</f>
        <v>0.60002399491928027</v>
      </c>
    </row>
    <row r="44" spans="1:57" ht="13" customHeight="1">
      <c r="A44" s="1259"/>
      <c r="B44" s="1259"/>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20"/>
      <c r="AV44" s="20"/>
      <c r="AW44" s="20"/>
      <c r="AX44" s="20"/>
      <c r="AY44" s="20"/>
      <c r="AZ44" s="20"/>
      <c r="BD44" s="1252" t="s">
        <v>2542</v>
      </c>
      <c r="BE44" s="1253">
        <f>Application!AC454</f>
        <v>455848.70954356849</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1</v>
      </c>
    </row>
    <row r="46" spans="1:57" ht="13" customHeight="1">
      <c r="A46" s="1327" t="s">
        <v>2153</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20"/>
      <c r="AV46" s="20"/>
      <c r="AW46" s="20"/>
      <c r="AX46" s="20"/>
      <c r="AY46" s="20"/>
      <c r="AZ46" s="20"/>
      <c r="BD46" s="1252" t="s">
        <v>2544</v>
      </c>
      <c r="BE46" s="1253" t="b">
        <f>Application!T195="Yes"</f>
        <v>0</v>
      </c>
    </row>
    <row r="47" spans="1:57" ht="13" customHeight="1">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20"/>
      <c r="AV47" s="20"/>
      <c r="AW47" s="20"/>
      <c r="AX47" s="20"/>
      <c r="AY47" s="20"/>
      <c r="AZ47" s="20"/>
      <c r="BD47" s="1251" t="s">
        <v>2545</v>
      </c>
      <c r="BE47" s="1253" t="b">
        <f>Application!T196="Yes"</f>
        <v>0</v>
      </c>
    </row>
    <row r="48" spans="1:57" ht="13" customHeight="1">
      <c r="A48" s="1327"/>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27"/>
      <c r="AM48" s="1327"/>
      <c r="AN48" s="1327"/>
      <c r="AO48" s="1327"/>
      <c r="AP48" s="1327"/>
      <c r="AQ48" s="1327"/>
      <c r="AR48" s="1327"/>
      <c r="AS48" s="1327"/>
      <c r="AT48" s="1327"/>
      <c r="AU48" s="20"/>
      <c r="AV48" s="20"/>
      <c r="AW48" s="20"/>
      <c r="AX48" s="20"/>
      <c r="AY48" s="20"/>
      <c r="AZ48" s="20"/>
      <c r="BD48" s="1252" t="s">
        <v>2546</v>
      </c>
      <c r="BE48" s="1253" t="str">
        <f>Application!M243</f>
        <v>Sky Castle Partners I, LLC</v>
      </c>
    </row>
    <row r="49" spans="1:57" ht="13" customHeight="1">
      <c r="A49" s="1327"/>
      <c r="B49" s="1327"/>
      <c r="C49" s="1327"/>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27"/>
      <c r="AM49" s="1327"/>
      <c r="AN49" s="1327"/>
      <c r="AO49" s="1327"/>
      <c r="AP49" s="1327"/>
      <c r="AQ49" s="1327"/>
      <c r="AR49" s="1327"/>
      <c r="AS49" s="1327"/>
      <c r="AT49" s="1327"/>
      <c r="AU49" s="20"/>
      <c r="AV49" s="20"/>
      <c r="AW49" s="20"/>
      <c r="AX49" s="20"/>
      <c r="AY49" s="20"/>
      <c r="AZ49" s="20"/>
      <c r="BD49" s="1251" t="s">
        <v>2547</v>
      </c>
      <c r="BE49" s="1253" t="str">
        <f>Application!M246</f>
        <v>Garrett Lee</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Arden Residential, LLC</v>
      </c>
    </row>
    <row r="51" spans="1:57" ht="13" customHeight="1">
      <c r="A51" s="1259" t="s">
        <v>2154</v>
      </c>
      <c r="B51" s="1259"/>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20"/>
      <c r="AV51" s="20"/>
      <c r="AW51" s="20"/>
      <c r="AX51" s="20"/>
      <c r="AY51" s="20"/>
      <c r="AZ51" s="20"/>
      <c r="BD51" s="1251" t="s">
        <v>2549</v>
      </c>
      <c r="BE51" s="1253" t="str">
        <f>Application!M251</f>
        <v>Kingdom Development, Inc.</v>
      </c>
    </row>
    <row r="52" spans="1:57" ht="13" customHeight="1">
      <c r="A52" s="1259"/>
      <c r="B52" s="1259"/>
      <c r="C52" s="1259"/>
      <c r="D52" s="1259"/>
      <c r="E52" s="1259"/>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20"/>
      <c r="AV52" s="20"/>
      <c r="AW52" s="20"/>
      <c r="AX52" s="20"/>
      <c r="AY52" s="20"/>
      <c r="AZ52" s="20"/>
      <c r="BD52" s="1252" t="s">
        <v>2550</v>
      </c>
      <c r="BE52" s="1253" t="str">
        <f>Application!M254</f>
        <v>Rusty Leach</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f>Application!AA257</f>
        <v>0</v>
      </c>
    </row>
    <row r="54" spans="1:57" ht="13" customHeight="1">
      <c r="A54" s="1259" t="s">
        <v>2155</v>
      </c>
      <c r="B54" s="1259"/>
      <c r="C54" s="1259"/>
      <c r="D54" s="1259"/>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20"/>
      <c r="AV54" s="20"/>
      <c r="AW54" s="20"/>
      <c r="AX54" s="20"/>
      <c r="AY54" s="20"/>
      <c r="AZ54" s="21"/>
      <c r="BD54" s="1252" t="s">
        <v>2552</v>
      </c>
      <c r="BE54" s="1253">
        <f>Application!M259</f>
        <v>0</v>
      </c>
    </row>
    <row r="55" spans="1:57" ht="13" customHeight="1">
      <c r="A55" s="1259"/>
      <c r="B55" s="1259"/>
      <c r="C55" s="1259"/>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Z55" s="21"/>
      <c r="BD55" s="1251" t="s">
        <v>2553</v>
      </c>
      <c r="BE55" s="1253">
        <f>Application!M262</f>
        <v>0</v>
      </c>
    </row>
    <row r="56" spans="1:57" ht="13" customHeight="1">
      <c r="A56" s="1259"/>
      <c r="B56" s="1259"/>
      <c r="C56" s="1259"/>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BD56" s="1252" t="s">
        <v>2554</v>
      </c>
      <c r="BE56" s="1253">
        <f>Application!AA265</f>
        <v>0</v>
      </c>
    </row>
    <row r="57" spans="1:57" ht="13" customHeight="1">
      <c r="A57" s="1259"/>
      <c r="B57" s="1259"/>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BD57" s="1251" t="s">
        <v>2555</v>
      </c>
      <c r="BE57" s="1253" t="str">
        <f>Application!H287</f>
        <v>Arden Development, Inc.</v>
      </c>
    </row>
    <row r="58" spans="1:57" ht="13" customHeight="1">
      <c r="A58" s="1259"/>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BD58" s="1252" t="s">
        <v>2556</v>
      </c>
      <c r="BE58" s="1253" t="str">
        <f>Application!H288</f>
        <v>3470 Wilshire Blvd. #700</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Los Angeles, CA 90010</v>
      </c>
    </row>
    <row r="60" spans="1:57" ht="13" customHeight="1">
      <c r="A60" s="1259" t="s">
        <v>2156</v>
      </c>
      <c r="B60" s="1259"/>
      <c r="C60" s="1259"/>
      <c r="D60" s="125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20"/>
      <c r="AV60" s="20"/>
      <c r="AW60" s="20"/>
      <c r="AX60" s="20"/>
      <c r="AY60" s="20"/>
      <c r="AZ60" s="20"/>
      <c r="BD60" s="1252" t="s">
        <v>2558</v>
      </c>
      <c r="BE60" s="1253" t="str">
        <f>Application!H290</f>
        <v>Garrett Lee</v>
      </c>
    </row>
    <row r="61" spans="1:57" ht="13" customHeight="1">
      <c r="A61" s="1259"/>
      <c r="B61" s="1259"/>
      <c r="C61" s="1259"/>
      <c r="D61" s="1259"/>
      <c r="E61" s="1259"/>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20"/>
      <c r="AV61" s="20"/>
      <c r="AW61" s="20"/>
      <c r="AX61" s="20"/>
      <c r="AY61" s="20"/>
      <c r="AZ61" s="20"/>
      <c r="BD61" s="1251" t="s">
        <v>2559</v>
      </c>
      <c r="BE61" s="1253" t="str">
        <f>Application!H293</f>
        <v>garrettlee@jamisonservices.com</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0.9</v>
      </c>
    </row>
    <row r="63" spans="1:57" ht="13"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3" customHeight="1">
      <c r="A65" s="1545" t="s">
        <v>2158</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c r="BD65" s="1251" t="s">
        <v>2597</v>
      </c>
      <c r="BE65" s="1253" t="str">
        <f>Z205</f>
        <v>(select)</v>
      </c>
    </row>
    <row r="66" spans="1:57" ht="13"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c r="BD66" s="1252" t="s">
        <v>2562</v>
      </c>
      <c r="BE66" s="1253" t="b">
        <f>Application!Z205="State Farmworker Credit"</f>
        <v>0</v>
      </c>
    </row>
    <row r="67" spans="1:57" ht="13"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c r="BD67" s="1251" t="s">
        <v>2563</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3" customHeight="1">
      <c r="A69" s="1545" t="s">
        <v>2159</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c r="BD69" s="1251" t="s">
        <v>2565</v>
      </c>
      <c r="BE69" s="1253" t="str">
        <f>Application!W700</f>
        <v>CMFA</v>
      </c>
    </row>
    <row r="70" spans="1:57" ht="13"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c r="BD70" s="1252" t="s">
        <v>2566</v>
      </c>
      <c r="BE70" s="1253">
        <f ca="1">'Points System'!AF821</f>
        <v>119</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0</v>
      </c>
    </row>
    <row r="72" spans="1:57" ht="13" customHeight="1">
      <c r="A72" s="1541" t="s">
        <v>2160</v>
      </c>
      <c r="B72" s="1541"/>
      <c r="C72" s="1541"/>
      <c r="D72" s="1541"/>
      <c r="E72" s="1541"/>
      <c r="F72" s="1541"/>
      <c r="G72" s="1541"/>
      <c r="H72" s="1541"/>
      <c r="I72" s="1541"/>
      <c r="J72" s="1541"/>
      <c r="K72" s="1541"/>
      <c r="L72" s="1541"/>
      <c r="M72" s="1541"/>
      <c r="N72" s="1541"/>
      <c r="O72" s="1541"/>
      <c r="P72" s="1541"/>
      <c r="Q72" s="1541"/>
      <c r="R72" s="1541"/>
      <c r="S72" s="1541"/>
      <c r="T72" s="1541"/>
      <c r="U72" s="1541"/>
      <c r="V72" s="1541"/>
      <c r="W72" s="1541"/>
      <c r="X72" s="1541"/>
      <c r="Y72" s="1541"/>
      <c r="Z72" s="1541"/>
      <c r="AA72" s="1541"/>
      <c r="AB72" s="1541"/>
      <c r="AC72" s="1541"/>
      <c r="AD72" s="1541"/>
      <c r="AE72" s="1541"/>
      <c r="AF72" s="1541"/>
      <c r="AG72" s="1541"/>
      <c r="AH72" s="1541"/>
      <c r="AI72" s="1541"/>
      <c r="AJ72" s="1541"/>
      <c r="AK72" s="1541"/>
      <c r="AL72" s="1541"/>
      <c r="AM72" s="1541"/>
      <c r="AN72" s="1541"/>
      <c r="AO72" s="1541"/>
      <c r="AP72" s="1541"/>
      <c r="AQ72" s="1541"/>
      <c r="AR72" s="1541"/>
      <c r="AS72" s="1541"/>
      <c r="AT72" s="1541"/>
      <c r="AU72" s="20"/>
      <c r="AV72" s="20"/>
      <c r="AW72" s="20"/>
      <c r="AX72" s="20"/>
      <c r="AY72" s="20"/>
      <c r="AZ72" s="20"/>
      <c r="BD72" s="1252" t="s">
        <v>2568</v>
      </c>
      <c r="BE72" s="1253">
        <f>'Points System'!AF805</f>
        <v>10</v>
      </c>
    </row>
    <row r="73" spans="1:57" ht="13" customHeight="1">
      <c r="A73" s="1541"/>
      <c r="B73" s="1541"/>
      <c r="C73" s="1541"/>
      <c r="D73" s="1541"/>
      <c r="E73" s="1541"/>
      <c r="F73" s="1541"/>
      <c r="G73" s="1541"/>
      <c r="H73" s="1541"/>
      <c r="I73" s="1541"/>
      <c r="J73" s="1541"/>
      <c r="K73" s="1541"/>
      <c r="L73" s="1541"/>
      <c r="M73" s="1541"/>
      <c r="N73" s="1541"/>
      <c r="O73" s="1541"/>
      <c r="P73" s="1541"/>
      <c r="Q73" s="1541"/>
      <c r="R73" s="1541"/>
      <c r="S73" s="1541"/>
      <c r="T73" s="1541"/>
      <c r="U73" s="1541"/>
      <c r="V73" s="1541"/>
      <c r="W73" s="1541"/>
      <c r="X73" s="1541"/>
      <c r="Y73" s="1541"/>
      <c r="Z73" s="1541"/>
      <c r="AA73" s="1541"/>
      <c r="AB73" s="1541"/>
      <c r="AC73" s="1541"/>
      <c r="AD73" s="1541"/>
      <c r="AE73" s="1541"/>
      <c r="AF73" s="1541"/>
      <c r="AG73" s="1541"/>
      <c r="AH73" s="1541"/>
      <c r="AI73" s="1541"/>
      <c r="AJ73" s="1541"/>
      <c r="AK73" s="1541"/>
      <c r="AL73" s="1541"/>
      <c r="AM73" s="1541"/>
      <c r="AN73" s="1541"/>
      <c r="AO73" s="1541"/>
      <c r="AP73" s="1541"/>
      <c r="AQ73" s="1541"/>
      <c r="AR73" s="1541"/>
      <c r="AS73" s="1541"/>
      <c r="AT73" s="1541"/>
      <c r="AU73" s="20"/>
      <c r="AV73" s="20"/>
      <c r="AW73" s="20"/>
      <c r="AX73" s="20"/>
      <c r="AY73" s="20"/>
      <c r="AZ73" s="20"/>
      <c r="BD73" s="1251" t="s">
        <v>2569</v>
      </c>
      <c r="BE73" s="1253">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3" customHeight="1">
      <c r="A75" s="1544" t="s">
        <v>2161</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c r="BD75" s="1251" t="s">
        <v>2571</v>
      </c>
      <c r="BE75" s="1253">
        <f>'Points System'!AF808</f>
        <v>10</v>
      </c>
    </row>
    <row r="76" spans="1:57" ht="13"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c r="BD76" s="1252" t="s">
        <v>2572</v>
      </c>
      <c r="BE76" s="1253">
        <f>'Points System'!AF811</f>
        <v>10</v>
      </c>
    </row>
    <row r="77" spans="1:57" ht="13"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c r="BD77" s="1251" t="s">
        <v>2573</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3" customHeight="1">
      <c r="A79" s="1545" t="s">
        <v>2162</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c r="BD79" s="1251" t="s">
        <v>2575</v>
      </c>
      <c r="BE79" s="1253">
        <f>'Points System'!AF815</f>
        <v>9</v>
      </c>
    </row>
    <row r="80" spans="1:57" ht="13"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c r="BD80" s="1252" t="s">
        <v>2576</v>
      </c>
      <c r="BE80" s="1253">
        <f>'Points System'!AF817</f>
        <v>10</v>
      </c>
    </row>
    <row r="81" spans="1:57" ht="13"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c r="BD81" s="1251" t="s">
        <v>2577</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3" customHeight="1">
      <c r="A83" s="1259" t="s">
        <v>2163</v>
      </c>
      <c r="B83" s="1259"/>
      <c r="C83" s="1259"/>
      <c r="D83" s="1259"/>
      <c r="E83" s="1259"/>
      <c r="F83" s="1259"/>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20"/>
      <c r="AV83" s="20"/>
      <c r="AW83" s="20"/>
      <c r="AX83" s="20"/>
      <c r="AY83" s="20"/>
      <c r="AZ83" s="20"/>
      <c r="BD83" s="1251" t="s">
        <v>2579</v>
      </c>
      <c r="BE83" s="1257">
        <f>'Tie Breaker'!H5</f>
        <v>1.4807547775039964</v>
      </c>
    </row>
    <row r="84" spans="1:57" ht="13" customHeight="1">
      <c r="A84" s="1259"/>
      <c r="B84" s="1259"/>
      <c r="C84" s="1259"/>
      <c r="D84" s="1259"/>
      <c r="E84" s="1259"/>
      <c r="F84" s="1259"/>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20"/>
      <c r="AV84" s="20"/>
      <c r="AW84" s="20"/>
      <c r="AX84" s="20"/>
      <c r="AY84" s="20"/>
      <c r="AZ84" s="20"/>
      <c r="BD84" s="1252" t="s">
        <v>2580</v>
      </c>
      <c r="BE84" s="1253"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Timothy Elliott</v>
      </c>
    </row>
    <row r="86" spans="1:57" ht="13" customHeight="1">
      <c r="A86" s="1259" t="s">
        <v>2164</v>
      </c>
      <c r="B86" s="1259"/>
      <c r="C86" s="1259"/>
      <c r="D86" s="1259"/>
      <c r="E86" s="1259"/>
      <c r="F86" s="1259"/>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20"/>
      <c r="AV86" s="20"/>
      <c r="AW86" s="20"/>
      <c r="AX86" s="20"/>
      <c r="AY86" s="20"/>
      <c r="AZ86" s="20"/>
      <c r="BD86" s="1252" t="s">
        <v>2582</v>
      </c>
      <c r="BE86" s="1253" t="str">
        <f>Application!O155</f>
        <v>City Manager</v>
      </c>
    </row>
    <row r="87" spans="1:57" ht="13" customHeight="1">
      <c r="A87" s="1259"/>
      <c r="B87" s="1259"/>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20"/>
      <c r="AV87" s="20"/>
      <c r="AW87" s="20"/>
      <c r="AX87" s="20"/>
      <c r="AY87" s="20"/>
      <c r="AZ87" s="20"/>
      <c r="BD87" s="1251" t="s">
        <v>2583</v>
      </c>
      <c r="BE87" s="1253" t="str">
        <f>Application!O156</f>
        <v>1200 W 7th Street,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Los Angeles</v>
      </c>
    </row>
    <row r="89" spans="1:57" ht="13" customHeight="1">
      <c r="A89" s="1555" t="s">
        <v>2165</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c r="BD89" s="1251" t="s">
        <v>2585</v>
      </c>
      <c r="BE89" s="1253">
        <f>Application!O158</f>
        <v>90017</v>
      </c>
    </row>
    <row r="90" spans="1:57" ht="13"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c r="BD90" s="1252" t="s">
        <v>2586</v>
      </c>
      <c r="BE90" s="1253" t="str">
        <f>Application!H16</f>
        <v>Sky Castle I,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3470 Wilshire Blvd. #700</v>
      </c>
    </row>
    <row r="92" spans="1:57" ht="13" customHeight="1">
      <c r="A92" s="1544" t="s">
        <v>2166</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c r="BD92" s="1252" t="s">
        <v>2588</v>
      </c>
      <c r="BE92" s="1253" t="str">
        <f>Application!M234</f>
        <v>Los Angeles</v>
      </c>
    </row>
    <row r="93" spans="1:57" ht="13"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c r="BD93" s="1251" t="s">
        <v>2589</v>
      </c>
      <c r="BE93" s="1253" t="str">
        <f>Application!W234</f>
        <v>CA</v>
      </c>
    </row>
    <row r="94" spans="1:57" ht="13"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c r="BD94" s="1252" t="s">
        <v>2590</v>
      </c>
      <c r="BE94" s="1253">
        <f>Application!AC234</f>
        <v>90010</v>
      </c>
    </row>
    <row r="95" spans="1:57" ht="13"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c r="BD95" s="1251" t="s">
        <v>2591</v>
      </c>
      <c r="BE95" s="1253" t="str">
        <f>Application!M235</f>
        <v>Garrett Lee</v>
      </c>
    </row>
    <row r="96" spans="1:57" ht="13"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c r="BD96" s="1252" t="s">
        <v>2592</v>
      </c>
      <c r="BE96" s="1253" t="str">
        <f>Application!M237</f>
        <v>garrettlee@jamisonservices.com</v>
      </c>
    </row>
    <row r="97" spans="1:57" ht="13"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c r="BD97" s="1251" t="s">
        <v>2593</v>
      </c>
      <c r="BE97" s="1253" t="str">
        <f>Application!M248</f>
        <v>garrettlee@jamisonservices.com</v>
      </c>
    </row>
    <row r="98" spans="1:57" ht="13"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c r="BD98" s="1252" t="s">
        <v>2594</v>
      </c>
      <c r="BE98" s="1253" t="str">
        <f>Application!M256</f>
        <v>rusty@kingdomdevelopment.net</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3" customHeight="1">
      <c r="A100" s="1556" t="s">
        <v>2167</v>
      </c>
      <c r="B100" s="1556"/>
      <c r="C100" s="1556"/>
      <c r="D100" s="1556"/>
      <c r="E100" s="1556"/>
      <c r="F100" s="1556"/>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556"/>
      <c r="AM100" s="1556"/>
      <c r="AN100" s="1556"/>
      <c r="AO100" s="1556"/>
      <c r="AP100" s="1556"/>
      <c r="AQ100" s="1556"/>
      <c r="AR100" s="1556"/>
      <c r="AS100" s="1556"/>
      <c r="AT100" s="1556"/>
      <c r="AU100" s="20"/>
      <c r="AV100" s="20"/>
      <c r="AW100" s="20"/>
      <c r="AX100" s="20"/>
      <c r="AY100" s="20"/>
      <c r="AZ100" s="20"/>
      <c r="BD100" s="1252" t="s">
        <v>2596</v>
      </c>
      <c r="BE100" s="1253" t="str">
        <f>Application!L279</f>
        <v>garrettlee@jamisonservices.com</v>
      </c>
    </row>
    <row r="101" spans="1:57" ht="13" customHeight="1">
      <c r="A101" s="1556"/>
      <c r="B101" s="1556"/>
      <c r="C101" s="1556"/>
      <c r="D101" s="1556"/>
      <c r="E101" s="1556"/>
      <c r="F101" s="1556"/>
      <c r="G101" s="1556"/>
      <c r="H101" s="1556"/>
      <c r="I101" s="1556"/>
      <c r="J101" s="1556"/>
      <c r="K101" s="1556"/>
      <c r="L101" s="1556"/>
      <c r="M101" s="1556"/>
      <c r="N101" s="1556"/>
      <c r="O101" s="1556"/>
      <c r="P101" s="1556"/>
      <c r="Q101" s="1556"/>
      <c r="R101" s="1556"/>
      <c r="S101" s="1556"/>
      <c r="T101" s="1556"/>
      <c r="U101" s="1556"/>
      <c r="V101" s="1556"/>
      <c r="W101" s="1556"/>
      <c r="X101" s="1556"/>
      <c r="Y101" s="1556"/>
      <c r="Z101" s="1556"/>
      <c r="AA101" s="1556"/>
      <c r="AB101" s="1556"/>
      <c r="AC101" s="1556"/>
      <c r="AD101" s="1556"/>
      <c r="AE101" s="1556"/>
      <c r="AF101" s="1556"/>
      <c r="AG101" s="1556"/>
      <c r="AH101" s="1556"/>
      <c r="AI101" s="1556"/>
      <c r="AJ101" s="1556"/>
      <c r="AK101" s="1556"/>
      <c r="AL101" s="1556"/>
      <c r="AM101" s="1556"/>
      <c r="AN101" s="1556"/>
      <c r="AO101" s="1556"/>
      <c r="AP101" s="1556"/>
      <c r="AQ101" s="1556"/>
      <c r="AR101" s="1556"/>
      <c r="AS101" s="1556"/>
      <c r="AT101" s="1556"/>
      <c r="AU101" s="20"/>
      <c r="AV101" s="20"/>
      <c r="AW101" s="20"/>
      <c r="AX101" s="20"/>
      <c r="AY101" s="20"/>
      <c r="AZ101" s="20"/>
      <c r="BD101" s="3" t="s">
        <v>2601</v>
      </c>
      <c r="BE101">
        <f>'Sources and Uses Budget'!C105</f>
        <v>109859539</v>
      </c>
    </row>
    <row r="102" spans="1:57" ht="13" customHeight="1">
      <c r="A102" s="1556"/>
      <c r="B102" s="1556"/>
      <c r="C102" s="1556"/>
      <c r="D102" s="1556"/>
      <c r="E102" s="1556"/>
      <c r="F102" s="1556"/>
      <c r="G102" s="1556"/>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556"/>
      <c r="AM102" s="1556"/>
      <c r="AN102" s="1556"/>
      <c r="AO102" s="1556"/>
      <c r="AP102" s="1556"/>
      <c r="AQ102" s="1556"/>
      <c r="AR102" s="1556"/>
      <c r="AS102" s="1556"/>
      <c r="AT102" s="1556"/>
      <c r="AU102" s="20"/>
      <c r="AV102" s="20"/>
      <c r="AW102" s="20"/>
      <c r="AX102" s="20"/>
      <c r="AY102" s="20"/>
      <c r="AZ102" s="20"/>
      <c r="BD102" s="3" t="s">
        <v>2602</v>
      </c>
      <c r="BE102" t="b">
        <f>T197="Yes"</f>
        <v>0</v>
      </c>
    </row>
    <row r="103" spans="1:57" ht="13" customHeight="1">
      <c r="A103" s="1556"/>
      <c r="B103" s="1556"/>
      <c r="C103" s="1556"/>
      <c r="D103" s="1556"/>
      <c r="E103" s="1556"/>
      <c r="F103" s="1556"/>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556"/>
      <c r="AM103" s="1556"/>
      <c r="AN103" s="1556"/>
      <c r="AO103" s="1556"/>
      <c r="AP103" s="1556"/>
      <c r="AQ103" s="1556"/>
      <c r="AR103" s="1556"/>
      <c r="AS103" s="1556"/>
      <c r="AT103" s="1556"/>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6" t="s">
        <v>2168</v>
      </c>
      <c r="B105" s="1556"/>
      <c r="C105" s="1556"/>
      <c r="D105" s="1556"/>
      <c r="E105" s="1556"/>
      <c r="F105" s="1556"/>
      <c r="G105" s="1556"/>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556"/>
      <c r="AM105" s="1556"/>
      <c r="AN105" s="1556"/>
      <c r="AO105" s="1556"/>
      <c r="AP105" s="1556"/>
      <c r="AQ105" s="1556"/>
      <c r="AR105" s="1556"/>
      <c r="AS105" s="1556"/>
      <c r="AT105" s="1556"/>
      <c r="AU105" s="20"/>
      <c r="AV105" s="20"/>
      <c r="AW105" s="20"/>
      <c r="AX105" s="20"/>
      <c r="AY105" s="20"/>
    </row>
    <row r="106" spans="1:57" ht="13" customHeight="1">
      <c r="A106" s="1556"/>
      <c r="B106" s="1556"/>
      <c r="C106" s="1556"/>
      <c r="D106" s="1556"/>
      <c r="E106" s="1556"/>
      <c r="F106" s="1556"/>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1556"/>
      <c r="AM106" s="1556"/>
      <c r="AN106" s="1556"/>
      <c r="AO106" s="1556"/>
      <c r="AP106" s="1556"/>
      <c r="AQ106" s="1556"/>
      <c r="AR106" s="1556"/>
      <c r="AS106" s="1556"/>
      <c r="AT106" s="1556"/>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181</v>
      </c>
      <c r="G113" s="1548"/>
      <c r="H113" s="1548"/>
      <c r="I113" s="3" t="s">
        <v>182</v>
      </c>
      <c r="L113" s="1548"/>
      <c r="M113" s="1548"/>
      <c r="N113" s="1548"/>
      <c r="O113" s="1548"/>
      <c r="P113" s="1563" t="s">
        <v>2243</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9"/>
      <c r="D115" s="1549"/>
      <c r="E115" s="1549"/>
      <c r="F115" s="1549"/>
      <c r="G115" s="1549"/>
      <c r="H115" s="1549"/>
      <c r="I115" s="1549"/>
      <c r="J115" s="1549"/>
      <c r="K115" s="1549"/>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548"/>
      <c r="Z117" s="1548"/>
      <c r="AA117" s="1548"/>
      <c r="AB117" s="1548"/>
      <c r="AC117" s="1548"/>
      <c r="AD117" s="1548"/>
      <c r="AE117" s="1548"/>
      <c r="AF117" s="1548"/>
      <c r="AG117" s="1548"/>
      <c r="AH117" s="1548"/>
      <c r="AI117" s="1548"/>
      <c r="AJ117" s="1548"/>
      <c r="AK117" s="1548"/>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8"/>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701" t="s">
        <v>470</v>
      </c>
      <c r="CV122" s="1702"/>
      <c r="CW122" s="14"/>
      <c r="CX122" s="14" t="s">
        <v>635</v>
      </c>
      <c r="CY122" s="14"/>
      <c r="CZ122" s="14"/>
      <c r="DA122" s="14"/>
      <c r="DB122" s="14"/>
      <c r="DC122" s="14"/>
      <c r="DD122" s="14"/>
      <c r="DE122" s="14"/>
      <c r="DF122" s="14"/>
      <c r="DG122" s="1698" t="str">
        <f>T189</f>
        <v>Los Angeles</v>
      </c>
      <c r="DH122" s="1699"/>
      <c r="DI122" s="1699"/>
      <c r="DJ122" s="1699"/>
      <c r="DK122" s="1699"/>
      <c r="DL122" s="1699"/>
      <c r="DM122" s="1700"/>
    </row>
    <row r="123" spans="1:117" ht="13" customHeight="1">
      <c r="A123" s="3"/>
      <c r="B123" s="3"/>
      <c r="T123" s="3"/>
      <c r="U123" s="3"/>
      <c r="V123" s="3"/>
      <c r="W123" s="3"/>
      <c r="X123" s="3"/>
      <c r="Y123" s="1548"/>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91"/>
      <c r="G150" s="1391"/>
      <c r="H150" s="1391"/>
      <c r="I150" s="1391"/>
      <c r="J150" s="1391"/>
      <c r="K150" s="1391"/>
      <c r="L150" s="1391"/>
      <c r="M150" s="1391"/>
      <c r="N150" s="1391"/>
      <c r="O150" s="1391"/>
      <c r="P150" s="1391"/>
      <c r="Q150" s="1391"/>
      <c r="R150" s="1391"/>
      <c r="S150" s="1391"/>
      <c r="T150" s="139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3" customHeight="1">
      <c r="BM152">
        <v>4</v>
      </c>
      <c r="BN152" s="3" t="s">
        <v>2468</v>
      </c>
    </row>
    <row r="153" spans="1:108" ht="13" customHeight="1">
      <c r="D153" t="s">
        <v>646</v>
      </c>
      <c r="O153" s="1536" t="s">
        <v>875</v>
      </c>
      <c r="P153" s="1521"/>
      <c r="Q153" s="1521"/>
      <c r="R153" s="1521"/>
      <c r="S153" s="1521"/>
      <c r="T153" s="1521"/>
      <c r="U153" s="1521"/>
      <c r="V153" s="1521"/>
      <c r="W153" s="1521"/>
      <c r="X153" s="1521"/>
      <c r="Y153" s="1521"/>
      <c r="Z153" s="1521"/>
      <c r="AA153" s="1521"/>
      <c r="AB153" s="1521"/>
      <c r="AC153" s="1521"/>
      <c r="AD153" s="1521"/>
      <c r="AE153" s="1521"/>
      <c r="AF153" s="1521"/>
      <c r="AG153" s="1521"/>
      <c r="AH153" s="1521"/>
      <c r="BM153">
        <v>5</v>
      </c>
      <c r="BN153" s="3" t="s">
        <v>2470</v>
      </c>
      <c r="CR153" s="31" t="s">
        <v>2603</v>
      </c>
      <c r="CS153" s="32"/>
      <c r="CT153" s="32"/>
      <c r="CU153" s="32"/>
      <c r="CV153" s="32"/>
      <c r="CW153" s="32"/>
      <c r="CX153" s="14"/>
      <c r="CY153" s="31" t="s">
        <v>2604</v>
      </c>
      <c r="CZ153" s="14"/>
      <c r="DA153" s="14"/>
      <c r="DB153" s="14"/>
      <c r="DC153" s="14"/>
      <c r="DD153" s="14"/>
    </row>
    <row r="154" spans="1:108" ht="13" customHeight="1">
      <c r="D154" s="304" t="s">
        <v>440</v>
      </c>
      <c r="O154" s="1522" t="s">
        <v>2610</v>
      </c>
      <c r="P154" s="1445"/>
      <c r="Q154" s="1445"/>
      <c r="R154" s="1445"/>
      <c r="S154" s="1445"/>
      <c r="T154" s="1445"/>
      <c r="U154" s="1445"/>
      <c r="V154" s="1445"/>
      <c r="W154" s="1445"/>
      <c r="X154" s="1445"/>
      <c r="Y154" s="1445"/>
      <c r="Z154" s="1445"/>
      <c r="AA154" s="1445"/>
      <c r="AB154" s="1445"/>
      <c r="AC154" s="1445"/>
      <c r="AD154" s="1445"/>
      <c r="AE154" s="1445"/>
      <c r="AF154" s="1445"/>
      <c r="AG154" s="1445"/>
      <c r="AH154" s="1445"/>
      <c r="BM154">
        <v>6</v>
      </c>
      <c r="BN154" s="3" t="s">
        <v>2471</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535" t="s">
        <v>441</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CR155" s="31"/>
      <c r="CS155" s="32"/>
      <c r="CT155" s="32"/>
      <c r="CU155" s="32"/>
      <c r="CV155" s="32"/>
      <c r="CW155" s="32"/>
      <c r="CX155" s="14"/>
      <c r="CY155" s="31"/>
      <c r="CZ155" s="14"/>
      <c r="DA155" s="14"/>
      <c r="DB155" s="14"/>
      <c r="DC155" s="14"/>
      <c r="DD155" s="14"/>
    </row>
    <row r="156" spans="1:108" ht="13" customHeight="1">
      <c r="D156" t="s">
        <v>313</v>
      </c>
      <c r="O156" s="1536" t="s">
        <v>2611</v>
      </c>
      <c r="P156" s="1393"/>
      <c r="Q156" s="1393"/>
      <c r="R156" s="1393"/>
      <c r="S156" s="1393"/>
      <c r="T156" s="1393"/>
      <c r="U156" s="1393"/>
      <c r="V156" s="1393"/>
      <c r="W156" s="1393"/>
      <c r="X156" s="1393"/>
      <c r="Y156" s="1393"/>
      <c r="Z156" s="1393"/>
      <c r="AA156" s="1393"/>
      <c r="AB156" s="1393"/>
      <c r="AC156" s="1393"/>
      <c r="AD156" s="1393"/>
      <c r="AE156" s="1393"/>
      <c r="AF156" s="1393"/>
      <c r="AG156" s="1393"/>
      <c r="AH156" s="1393"/>
      <c r="BT156" t="s">
        <v>307</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36" t="s">
        <v>495</v>
      </c>
      <c r="P157" s="1521"/>
      <c r="Q157" s="1521"/>
      <c r="R157" s="1521"/>
      <c r="S157" s="1521"/>
      <c r="T157" s="1521"/>
      <c r="U157" s="1521"/>
      <c r="V157" s="1521"/>
      <c r="W157" s="1521"/>
      <c r="X157" s="1521"/>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59">
        <v>90017</v>
      </c>
      <c r="P158" s="1559"/>
      <c r="Q158" s="1559"/>
      <c r="R158" s="1559"/>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54" t="s">
        <v>2612</v>
      </c>
      <c r="P159" s="1554"/>
      <c r="Q159" s="1554"/>
      <c r="R159" s="1554"/>
      <c r="S159" s="1554"/>
      <c r="T159" s="1554"/>
      <c r="V159" s="97" t="s">
        <v>271</v>
      </c>
      <c r="W159" s="1560"/>
      <c r="X159" s="1560"/>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554" t="s">
        <v>2613</v>
      </c>
      <c r="P160" s="1554"/>
      <c r="Q160" s="1554"/>
      <c r="R160" s="1554"/>
      <c r="S160" s="1554"/>
      <c r="T160" s="1554"/>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3" customHeight="1">
      <c r="D161" t="s">
        <v>318</v>
      </c>
      <c r="O161" s="1550" t="s">
        <v>2614</v>
      </c>
      <c r="P161" s="1550"/>
      <c r="Q161" s="1550"/>
      <c r="R161" s="1550"/>
      <c r="S161" s="1550"/>
      <c r="T161" s="1550"/>
      <c r="U161" s="1550"/>
      <c r="V161" s="1550"/>
      <c r="W161" s="1550"/>
      <c r="X161" s="1550"/>
      <c r="Y161" s="1550"/>
      <c r="Z161" s="1550"/>
      <c r="AA161" s="1550"/>
      <c r="AB161" s="1550"/>
      <c r="AC161" s="1550"/>
      <c r="AD161" s="1550"/>
      <c r="AE161" s="1550"/>
      <c r="AF161" s="1550"/>
      <c r="AG161" s="1550"/>
      <c r="AH161" s="1550"/>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3" customHeight="1">
      <c r="C164" s="27"/>
      <c r="D164" s="1551" t="s">
        <v>2218</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3" customHeight="1">
      <c r="A169" s="1540" t="s">
        <v>540</v>
      </c>
      <c r="B169" s="1540"/>
      <c r="C169" s="1540"/>
      <c r="D169" s="1540"/>
      <c r="E169" s="1540"/>
      <c r="F169" s="1540"/>
      <c r="G169" s="1540"/>
      <c r="H169" s="1540"/>
      <c r="I169" s="1540"/>
      <c r="J169" s="1540"/>
      <c r="K169" s="1540"/>
      <c r="L169" s="1540"/>
      <c r="M169" s="1540"/>
      <c r="N169" s="1540"/>
      <c r="O169" s="1540"/>
      <c r="P169" s="1540"/>
      <c r="Q169" s="1540"/>
      <c r="R169" s="1540"/>
      <c r="S169" s="1540"/>
      <c r="T169" s="1540"/>
      <c r="U169" s="1540"/>
      <c r="V169" s="1540"/>
      <c r="W169" s="1540"/>
      <c r="X169" s="1540"/>
      <c r="Y169" s="1540"/>
      <c r="Z169" s="1540"/>
      <c r="AA169" s="1540"/>
      <c r="AB169" s="1540"/>
      <c r="AC169" s="1540"/>
      <c r="AD169" s="1540"/>
      <c r="AE169" s="1540"/>
      <c r="AF169" s="1540"/>
      <c r="AG169" s="1540"/>
      <c r="AH169" s="1540"/>
      <c r="AI169" s="1540"/>
      <c r="AJ169" s="1540"/>
      <c r="AK169" s="1540"/>
      <c r="AL169" s="1540"/>
      <c r="AM169" s="1540"/>
      <c r="AN169" s="1540"/>
      <c r="AO169" s="1540"/>
      <c r="AP169" s="1540"/>
      <c r="AQ169" s="1540"/>
      <c r="AR169" s="1540"/>
      <c r="AS169" s="1540"/>
      <c r="AT169" s="1540"/>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3" customHeight="1">
      <c r="A170" s="1540"/>
      <c r="B170" s="1540"/>
      <c r="C170" s="1540"/>
      <c r="D170" s="1540"/>
      <c r="E170" s="1540"/>
      <c r="F170" s="1540"/>
      <c r="G170" s="1540"/>
      <c r="H170" s="1540"/>
      <c r="I170" s="1540"/>
      <c r="J170" s="1540"/>
      <c r="K170" s="1540"/>
      <c r="L170" s="1540"/>
      <c r="M170" s="1540"/>
      <c r="N170" s="1540"/>
      <c r="O170" s="1540"/>
      <c r="P170" s="1540"/>
      <c r="Q170" s="1540"/>
      <c r="R170" s="1540"/>
      <c r="S170" s="1540"/>
      <c r="T170" s="1540"/>
      <c r="U170" s="1540"/>
      <c r="V170" s="1540"/>
      <c r="W170" s="1540"/>
      <c r="X170" s="1540"/>
      <c r="Y170" s="1540"/>
      <c r="Z170" s="1540"/>
      <c r="AA170" s="1540"/>
      <c r="AB170" s="1540"/>
      <c r="AC170" s="1540"/>
      <c r="AD170" s="1540"/>
      <c r="AE170" s="1540"/>
      <c r="AF170" s="1540"/>
      <c r="AG170" s="1540"/>
      <c r="AH170" s="1540"/>
      <c r="AI170" s="1540"/>
      <c r="AJ170" s="1540"/>
      <c r="AK170" s="1540"/>
      <c r="AL170" s="1540"/>
      <c r="AM170" s="1540"/>
      <c r="AN170" s="1540"/>
      <c r="AO170" s="1540"/>
      <c r="AP170" s="1540"/>
      <c r="AQ170" s="1540"/>
      <c r="AR170" s="1540"/>
      <c r="AS170" s="1540"/>
      <c r="AT170" s="1540"/>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3"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3"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3" customHeight="1">
      <c r="C173" s="24"/>
      <c r="D173" t="s">
        <v>321</v>
      </c>
      <c r="J173" s="1534" t="s">
        <v>371</v>
      </c>
      <c r="K173" s="1534"/>
      <c r="L173" s="1534"/>
      <c r="M173" s="1534"/>
      <c r="N173" s="1534"/>
      <c r="O173" s="1534"/>
      <c r="P173" s="1534"/>
      <c r="Q173" s="1534"/>
      <c r="R173" s="1534"/>
      <c r="S173" s="1534"/>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3" customHeight="1">
      <c r="C174" s="24"/>
      <c r="D174" s="3" t="s">
        <v>1202</v>
      </c>
      <c r="J174" s="1393" t="s">
        <v>2103</v>
      </c>
      <c r="K174" s="1393"/>
      <c r="L174" s="1393"/>
      <c r="M174" s="1393"/>
      <c r="N174" s="1393"/>
      <c r="O174" s="1393"/>
      <c r="P174" s="1393"/>
      <c r="Q174" s="1393"/>
      <c r="R174" s="1393"/>
      <c r="S174" s="1393"/>
      <c r="T174" s="1393"/>
      <c r="U174" s="1393"/>
      <c r="V174" s="1393"/>
      <c r="W174" s="1393"/>
      <c r="X174" s="1393"/>
      <c r="Y174" s="1393"/>
      <c r="Z174" s="1393"/>
      <c r="AA174" s="1393"/>
      <c r="AB174" s="1393"/>
      <c r="BB174" t="s">
        <v>1970</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 customHeight="1">
      <c r="C175" s="8"/>
      <c r="D175" s="3" t="s">
        <v>322</v>
      </c>
      <c r="O175" s="27"/>
      <c r="U175" s="1397" t="s">
        <v>670</v>
      </c>
      <c r="V175" s="1397"/>
      <c r="BB175" t="s">
        <v>1938</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 customHeight="1">
      <c r="C176" s="8"/>
      <c r="D176" s="26"/>
      <c r="E176" t="s">
        <v>304</v>
      </c>
      <c r="O176" s="27"/>
      <c r="P176" t="s">
        <v>2081</v>
      </c>
      <c r="T176" s="27" t="s">
        <v>305</v>
      </c>
      <c r="U176" s="1479"/>
      <c r="V176" s="1479"/>
      <c r="W176" s="1" t="s">
        <v>306</v>
      </c>
      <c r="X176" s="1568"/>
      <c r="Y176" s="1568"/>
      <c r="BB176" t="s">
        <v>1971</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 customHeight="1">
      <c r="C177" s="24"/>
      <c r="D177" t="s">
        <v>249</v>
      </c>
      <c r="R177" s="1397" t="s">
        <v>670</v>
      </c>
      <c r="S177" s="1397"/>
      <c r="BB177" t="s">
        <v>2215</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 customHeight="1">
      <c r="C178" s="24"/>
      <c r="D178" s="3" t="s">
        <v>1203</v>
      </c>
      <c r="AA178" t="s">
        <v>2081</v>
      </c>
      <c r="AE178" s="27" t="s">
        <v>305</v>
      </c>
      <c r="AF178" s="1567"/>
      <c r="AG178" s="1567"/>
      <c r="AH178" s="1" t="s">
        <v>306</v>
      </c>
      <c r="AI178" s="1449"/>
      <c r="AJ178" s="1449"/>
      <c r="AK178" s="1449"/>
      <c r="BB178" t="s">
        <v>2216</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 customHeight="1">
      <c r="C180" s="24"/>
      <c r="D180" t="s">
        <v>2082</v>
      </c>
      <c r="X180" s="1397" t="s">
        <v>670</v>
      </c>
      <c r="Y180" s="1397"/>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 customHeight="1">
      <c r="C181" s="8"/>
      <c r="E181" s="4" t="s">
        <v>976</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 customHeight="1">
      <c r="C184" s="21"/>
      <c r="D184" t="s">
        <v>579</v>
      </c>
      <c r="I184" s="1463" t="str">
        <f>H18</f>
        <v>Sky Castle</v>
      </c>
      <c r="J184" s="1463"/>
      <c r="K184" s="1463"/>
      <c r="L184" s="1463"/>
      <c r="M184" s="1463"/>
      <c r="N184" s="1463"/>
      <c r="O184" s="1463"/>
      <c r="P184" s="1463"/>
      <c r="Q184" s="1463"/>
      <c r="R184" s="1463"/>
      <c r="S184" s="1463"/>
      <c r="T184" s="1463"/>
      <c r="U184" s="1463"/>
      <c r="V184" s="1463"/>
      <c r="W184" s="1463"/>
      <c r="X184" s="1463"/>
      <c r="Y184" s="1463"/>
      <c r="Z184" s="1463"/>
      <c r="AA184" s="1463"/>
      <c r="AB184" s="1463"/>
      <c r="AC184" s="1463"/>
      <c r="AD184" s="1463"/>
      <c r="AE184" s="1463"/>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 customHeight="1">
      <c r="C185" s="21"/>
      <c r="D185" t="s">
        <v>580</v>
      </c>
      <c r="I185" s="1400" t="s">
        <v>2615</v>
      </c>
      <c r="J185" s="1400"/>
      <c r="K185" s="1400"/>
      <c r="L185" s="1400"/>
      <c r="M185" s="1400"/>
      <c r="N185" s="1400"/>
      <c r="O185" s="1400"/>
      <c r="P185" s="1400"/>
      <c r="Q185" s="1400"/>
      <c r="R185" s="1400"/>
      <c r="S185" s="1400"/>
      <c r="T185" s="1400"/>
      <c r="U185" s="1400"/>
      <c r="V185" s="1400"/>
      <c r="W185" s="1400"/>
      <c r="X185" s="1400"/>
      <c r="Y185" s="1400"/>
      <c r="Z185" s="1400"/>
      <c r="AA185" s="1400"/>
      <c r="AB185" s="1400"/>
      <c r="AC185" s="1400"/>
      <c r="AD185" s="1400"/>
      <c r="AE185" s="1400"/>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 customHeight="1">
      <c r="C187" s="21"/>
      <c r="E187" s="1537"/>
      <c r="F187" s="1537"/>
      <c r="G187" s="1537"/>
      <c r="H187" s="1537"/>
      <c r="I187" s="1537"/>
      <c r="J187" s="1537"/>
      <c r="K187" s="1537"/>
      <c r="L187" s="1537"/>
      <c r="M187" s="1537"/>
      <c r="N187" s="1537"/>
      <c r="O187" s="1537"/>
      <c r="P187" s="1537"/>
      <c r="Q187" s="1537"/>
      <c r="R187" s="1537"/>
      <c r="S187" s="1537"/>
      <c r="T187" s="1537"/>
      <c r="U187" s="1537"/>
      <c r="V187" s="1537"/>
      <c r="W187" s="1537"/>
      <c r="X187" s="1537"/>
      <c r="Y187" s="1537"/>
      <c r="Z187" s="1537"/>
      <c r="AA187" s="1537"/>
      <c r="AB187" s="1537"/>
      <c r="AC187" s="1537"/>
      <c r="AD187" s="1537"/>
      <c r="AE187" s="1537"/>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 customHeight="1">
      <c r="C188" s="21"/>
      <c r="E188" s="1538"/>
      <c r="F188" s="1538"/>
      <c r="G188" s="1538"/>
      <c r="H188" s="1538"/>
      <c r="I188" s="1538"/>
      <c r="J188" s="1538"/>
      <c r="K188" s="1538"/>
      <c r="L188" s="1538"/>
      <c r="M188" s="1538"/>
      <c r="N188" s="1538"/>
      <c r="O188" s="1538"/>
      <c r="P188" s="1538"/>
      <c r="Q188" s="1538"/>
      <c r="R188" s="1538"/>
      <c r="S188" s="1538"/>
      <c r="T188" s="1538"/>
      <c r="U188" s="1538"/>
      <c r="V188" s="1538"/>
      <c r="W188" s="1538"/>
      <c r="X188" s="1538"/>
      <c r="Y188" s="1538"/>
      <c r="Z188" s="1538"/>
      <c r="AA188" s="1538"/>
      <c r="AB188" s="1538"/>
      <c r="AC188" s="1538"/>
      <c r="AD188" s="1538"/>
      <c r="AE188" s="1538"/>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 customHeight="1">
      <c r="C189" s="21"/>
      <c r="D189" t="s">
        <v>581</v>
      </c>
      <c r="I189" s="1536" t="s">
        <v>495</v>
      </c>
      <c r="J189" s="1393"/>
      <c r="K189" s="1393"/>
      <c r="L189" s="1393"/>
      <c r="M189" s="1393"/>
      <c r="N189" s="1393"/>
      <c r="O189" s="1393"/>
      <c r="P189" s="1393"/>
      <c r="Q189" t="s">
        <v>583</v>
      </c>
      <c r="T189" s="1393" t="s">
        <v>495</v>
      </c>
      <c r="U189" s="1393"/>
      <c r="V189" s="1393"/>
      <c r="W189" s="1393"/>
      <c r="X189" s="1393"/>
      <c r="Y189" s="1393"/>
      <c r="Z189" s="1393"/>
      <c r="AA189" s="1393"/>
      <c r="AB189" s="1393"/>
      <c r="AC189" s="1393"/>
      <c r="AD189" s="1393"/>
      <c r="AE189" s="1393"/>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 customHeight="1">
      <c r="C190" s="21"/>
      <c r="D190" t="s">
        <v>584</v>
      </c>
      <c r="I190" s="1400">
        <v>90017</v>
      </c>
      <c r="J190" s="1400"/>
      <c r="K190" s="1400"/>
      <c r="L190" s="1400"/>
      <c r="M190" s="1400"/>
      <c r="N190" s="1400"/>
      <c r="O190" t="s">
        <v>586</v>
      </c>
      <c r="T190" s="1557">
        <v>2092.0100000000002</v>
      </c>
      <c r="U190" s="1557"/>
      <c r="V190" s="1557"/>
      <c r="W190" s="1557"/>
      <c r="X190" s="1557"/>
      <c r="Y190" s="1557"/>
      <c r="Z190" s="1557"/>
      <c r="AA190" s="1557"/>
      <c r="AB190" s="1557"/>
      <c r="AC190" s="1557"/>
      <c r="AD190" s="1557"/>
      <c r="AE190" s="1557"/>
      <c r="BC190" t="s">
        <v>1041</v>
      </c>
      <c r="BH190" t="s">
        <v>1041</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 customHeight="1">
      <c r="C191" s="21"/>
      <c r="D191" t="s">
        <v>463</v>
      </c>
      <c r="N191" s="1537" t="s">
        <v>2713</v>
      </c>
      <c r="O191" s="1537"/>
      <c r="P191" s="1537"/>
      <c r="Q191" s="1537"/>
      <c r="R191" s="1537"/>
      <c r="S191" s="1537"/>
      <c r="T191" s="1537"/>
      <c r="U191" s="1537"/>
      <c r="V191" s="1537"/>
      <c r="W191" s="1537"/>
      <c r="X191" s="1537"/>
      <c r="Y191" s="1537"/>
      <c r="Z191" s="1537"/>
      <c r="AA191" s="1537"/>
      <c r="AB191" s="1537"/>
      <c r="AC191" s="1537"/>
      <c r="AD191" s="1537"/>
      <c r="AE191" s="1537"/>
      <c r="BC191" t="s">
        <v>1040</v>
      </c>
      <c r="BH191" t="s">
        <v>1040</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 customHeight="1">
      <c r="C192" s="21"/>
      <c r="M192" s="40"/>
      <c r="N192" s="1538"/>
      <c r="O192" s="1538"/>
      <c r="P192" s="1538"/>
      <c r="Q192" s="1538"/>
      <c r="R192" s="1538"/>
      <c r="S192" s="1538"/>
      <c r="T192" s="1538"/>
      <c r="U192" s="1538"/>
      <c r="V192" s="1538"/>
      <c r="W192" s="1538"/>
      <c r="X192" s="1538"/>
      <c r="Y192" s="1538"/>
      <c r="Z192" s="1538"/>
      <c r="AA192" s="1538"/>
      <c r="AB192" s="1538"/>
      <c r="AC192" s="1538"/>
      <c r="AD192" s="1538"/>
      <c r="AE192" s="1538"/>
      <c r="BC192" t="s">
        <v>1043</v>
      </c>
      <c r="BH192" s="3" t="s">
        <v>1364</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 customHeight="1">
      <c r="C193" s="21"/>
      <c r="D193" t="s">
        <v>2083</v>
      </c>
      <c r="M193" s="40"/>
      <c r="N193" s="895"/>
      <c r="O193" s="895"/>
      <c r="P193" s="895"/>
      <c r="Q193" s="895"/>
      <c r="R193" s="895"/>
      <c r="S193" s="895"/>
      <c r="T193" s="1561" t="s">
        <v>2215</v>
      </c>
      <c r="U193" s="1561"/>
      <c r="V193" s="1561"/>
      <c r="W193" s="1561"/>
      <c r="X193" s="1561"/>
      <c r="Y193" s="1561"/>
      <c r="Z193" s="1561"/>
      <c r="AA193" s="1561"/>
      <c r="AB193" s="1561"/>
      <c r="AC193" s="1561"/>
      <c r="AD193" s="1561"/>
      <c r="AE193" s="1561"/>
      <c r="AF193" s="1561"/>
      <c r="AG193" s="1561"/>
      <c r="AH193" s="1561"/>
      <c r="AI193" s="1561"/>
      <c r="BC193" t="s">
        <v>1042</v>
      </c>
      <c r="BH193" s="3" t="s">
        <v>1629</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3" customHeight="1">
      <c r="C194" s="21"/>
      <c r="D194" s="3" t="s">
        <v>2217</v>
      </c>
      <c r="M194" s="40"/>
      <c r="N194" s="895"/>
      <c r="O194" s="895"/>
      <c r="P194" s="895"/>
      <c r="Q194" s="895"/>
      <c r="R194" s="895"/>
      <c r="S194" s="895"/>
      <c r="AH194" s="1397" t="s">
        <v>670</v>
      </c>
      <c r="AI194" s="1397"/>
      <c r="BC194" t="s">
        <v>1364</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3" customHeight="1">
      <c r="C195" s="21"/>
      <c r="D195" t="s">
        <v>331</v>
      </c>
      <c r="T195" s="1397" t="s">
        <v>670</v>
      </c>
      <c r="U195" s="1397"/>
      <c r="W195" t="s">
        <v>685</v>
      </c>
      <c r="AH195" s="1397">
        <v>34</v>
      </c>
      <c r="AI195" s="1397"/>
      <c r="BC195" t="s">
        <v>1857</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3" customHeight="1">
      <c r="C196" s="21"/>
      <c r="D196" t="s">
        <v>386</v>
      </c>
      <c r="T196" s="1389" t="s">
        <v>670</v>
      </c>
      <c r="U196" s="1389"/>
      <c r="W196" t="s">
        <v>686</v>
      </c>
      <c r="AH196" s="1397">
        <v>54</v>
      </c>
      <c r="AI196" s="1397"/>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3" customHeight="1">
      <c r="C197" s="21"/>
      <c r="D197" s="3" t="s">
        <v>169</v>
      </c>
      <c r="T197" s="1389" t="s">
        <v>670</v>
      </c>
      <c r="U197" s="1389"/>
      <c r="W197" t="s">
        <v>687</v>
      </c>
      <c r="AH197" s="1397">
        <v>26</v>
      </c>
      <c r="AI197" s="1397"/>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3" customHeight="1">
      <c r="A198"/>
      <c r="B198"/>
      <c r="C198" s="21"/>
      <c r="D198" s="3" t="s">
        <v>1652</v>
      </c>
      <c r="E198"/>
      <c r="F198"/>
      <c r="G198"/>
      <c r="H198"/>
      <c r="I198"/>
      <c r="J198"/>
      <c r="K198"/>
      <c r="L198"/>
      <c r="M198"/>
      <c r="N198"/>
      <c r="O198"/>
      <c r="P198"/>
      <c r="Q198"/>
      <c r="R198"/>
      <c r="S198"/>
      <c r="T198" s="1389"/>
      <c r="U198" s="1389"/>
      <c r="V198"/>
      <c r="X198" s="1541" t="s">
        <v>2517</v>
      </c>
      <c r="Y198" s="1541"/>
      <c r="Z198" s="1541"/>
      <c r="AA198" s="1541"/>
      <c r="AB198" s="1541"/>
      <c r="AC198" s="1541"/>
      <c r="AD198" s="1541"/>
      <c r="AE198" s="1541"/>
      <c r="AF198" s="1541"/>
      <c r="AG198" s="1541"/>
      <c r="AH198" s="1541"/>
      <c r="AI198" s="1541"/>
      <c r="AJ198" s="1541"/>
      <c r="AK198" s="1541"/>
      <c r="AL198" s="1541"/>
      <c r="AM198" s="1541"/>
      <c r="AN198" s="1541"/>
      <c r="AO198" s="1541"/>
      <c r="AP198" s="1541"/>
      <c r="AQ198" s="1541"/>
      <c r="AR198" s="1541"/>
      <c r="AS198" s="1541"/>
      <c r="AT198" s="1541"/>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 customHeight="1">
      <c r="A199"/>
      <c r="B199"/>
      <c r="C199" s="21"/>
      <c r="D199" s="118" t="s">
        <v>2520</v>
      </c>
      <c r="E199"/>
      <c r="F199"/>
      <c r="G199"/>
      <c r="H199"/>
      <c r="I199"/>
      <c r="J199"/>
      <c r="K199"/>
      <c r="L199"/>
      <c r="M199"/>
      <c r="N199"/>
      <c r="O199"/>
      <c r="P199"/>
      <c r="Q199"/>
      <c r="R199"/>
      <c r="S199"/>
      <c r="T199" s="1397" t="s">
        <v>670</v>
      </c>
      <c r="U199" s="1397"/>
      <c r="V199"/>
      <c r="W199"/>
      <c r="X199" s="1541"/>
      <c r="Y199" s="1541"/>
      <c r="Z199" s="1541"/>
      <c r="AA199" s="1541"/>
      <c r="AB199" s="1541"/>
      <c r="AC199" s="1541"/>
      <c r="AD199" s="1541"/>
      <c r="AE199" s="1541"/>
      <c r="AF199" s="1541"/>
      <c r="AG199" s="1541"/>
      <c r="AH199" s="1541"/>
      <c r="AI199" s="1541"/>
      <c r="AJ199" s="1541"/>
      <c r="AK199" s="1541"/>
      <c r="AL199" s="1541"/>
      <c r="AM199" s="1541"/>
      <c r="AN199" s="1541"/>
      <c r="AO199" s="1541"/>
      <c r="AP199" s="1541"/>
      <c r="AQ199" s="1541"/>
      <c r="AR199" s="1541"/>
      <c r="AS199" s="1541"/>
      <c r="AT199" s="1541"/>
      <c r="AU199"/>
      <c r="AV199"/>
      <c r="AW199"/>
      <c r="AX199"/>
      <c r="AY199"/>
      <c r="AZ199" s="30"/>
      <c r="BA199" s="30"/>
      <c r="BC199" t="s">
        <v>875</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 customHeight="1">
      <c r="A200"/>
      <c r="B200"/>
      <c r="C200" s="21"/>
      <c r="D200" s="14" t="s">
        <v>2518</v>
      </c>
      <c r="T200" s="1397" t="s">
        <v>670</v>
      </c>
      <c r="U200" s="1397"/>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3"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3" customHeight="1">
      <c r="A203" s="2" t="s">
        <v>587</v>
      </c>
      <c r="C203" s="2" t="s">
        <v>136</v>
      </c>
      <c r="BC203" t="s">
        <v>1062</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3" customHeight="1">
      <c r="D204" s="1463" t="s">
        <v>385</v>
      </c>
      <c r="E204" s="1463"/>
      <c r="F204" s="1463"/>
      <c r="G204" s="1463"/>
      <c r="H204" s="1463"/>
      <c r="I204" s="1463"/>
      <c r="J204" s="1463"/>
      <c r="K204" s="1463"/>
      <c r="L204" s="1463"/>
      <c r="M204" s="1463"/>
      <c r="P204" s="1552">
        <f>M26</f>
        <v>4108508</v>
      </c>
      <c r="Q204" s="1553"/>
      <c r="R204" s="1553"/>
      <c r="S204" s="1553"/>
      <c r="T204" s="1553"/>
      <c r="U204" s="1553"/>
      <c r="BC204" t="s">
        <v>1063</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3" customHeight="1">
      <c r="C205" s="21"/>
      <c r="D205" s="1543" t="s">
        <v>1247</v>
      </c>
      <c r="E205" s="1463"/>
      <c r="F205" s="1463"/>
      <c r="G205" s="1463"/>
      <c r="H205" s="1463"/>
      <c r="I205" s="1463"/>
      <c r="J205" s="1463"/>
      <c r="K205" s="1463"/>
      <c r="L205" s="1463"/>
      <c r="M205" s="1463"/>
      <c r="P205" s="1553">
        <f>M27</f>
        <v>0</v>
      </c>
      <c r="Q205" s="1553"/>
      <c r="R205" s="1553"/>
      <c r="S205" s="1553"/>
      <c r="T205" s="1553"/>
      <c r="U205" s="1553"/>
      <c r="V205" s="28"/>
      <c r="W205" s="3" t="s">
        <v>1720</v>
      </c>
      <c r="Z205" s="1539" t="s">
        <v>1184</v>
      </c>
      <c r="AA205" s="1539"/>
      <c r="AB205" s="1539"/>
      <c r="AC205" s="1539"/>
      <c r="AD205" s="1539"/>
      <c r="AE205" s="1539"/>
      <c r="AF205" s="1539"/>
      <c r="AG205" s="1539"/>
      <c r="AH205" s="1539"/>
      <c r="AI205" s="1539"/>
      <c r="AJ205" s="1539"/>
      <c r="AK205" s="1539"/>
      <c r="AL205" s="1539"/>
      <c r="AM205" s="1539"/>
      <c r="AN205" s="1539"/>
      <c r="AP205" s="1391"/>
      <c r="AQ205" s="1391"/>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3" customHeight="1">
      <c r="A207" s="2" t="s">
        <v>590</v>
      </c>
      <c r="C207" s="2" t="s">
        <v>552</v>
      </c>
      <c r="BC207" s="438" t="s">
        <v>1064</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3" customHeight="1">
      <c r="C208" s="21"/>
      <c r="D208" s="1521" t="s">
        <v>2616</v>
      </c>
      <c r="E208" s="1521"/>
      <c r="F208" s="1521"/>
      <c r="G208" s="1521"/>
      <c r="H208" s="1521"/>
      <c r="I208" s="1521"/>
      <c r="J208" s="1521"/>
      <c r="K208" s="1521"/>
      <c r="L208" s="1521"/>
      <c r="M208" s="1521"/>
      <c r="BC208" s="3" t="s">
        <v>2208</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1065</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521" t="s">
        <v>1857</v>
      </c>
      <c r="E211" s="1521"/>
      <c r="F211" s="1521"/>
      <c r="G211" s="1521"/>
      <c r="H211" s="1521"/>
      <c r="I211" s="1521"/>
      <c r="J211" s="1521"/>
      <c r="K211" s="1521"/>
      <c r="L211" s="1521"/>
      <c r="M211" s="1521"/>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2234</v>
      </c>
      <c r="Q212" s="1397"/>
      <c r="R212" s="1397"/>
      <c r="T212" s="1565">
        <f>IFERROR(Q212/AG440,0)</f>
        <v>0</v>
      </c>
      <c r="U212" s="1566"/>
      <c r="BC212" t="s">
        <v>307</v>
      </c>
      <c r="BI212" t="s">
        <v>1184</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2477</v>
      </c>
      <c r="BC213" t="s">
        <v>527</v>
      </c>
      <c r="BI213" s="3" t="s">
        <v>2231</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546" t="s">
        <v>592</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531</v>
      </c>
      <c r="BI214" s="3" t="s">
        <v>2222</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1653</v>
      </c>
      <c r="Z215" s="40"/>
      <c r="AB215" s="1532"/>
      <c r="AC215" s="1532"/>
      <c r="AD215" s="1532"/>
      <c r="AE215" s="1532"/>
      <c r="AF215" s="1532"/>
      <c r="AG215" s="1532"/>
      <c r="AH215" s="1532"/>
      <c r="AI215" s="1532"/>
      <c r="AJ215" s="1532"/>
      <c r="AK215" s="1532"/>
      <c r="AL215" s="1532"/>
      <c r="AM215" s="21"/>
      <c r="AN215" s="21"/>
      <c r="AO215" s="21"/>
      <c r="AP215" s="21"/>
      <c r="AQ215" s="21"/>
      <c r="AR215" s="21"/>
      <c r="AS215" s="21"/>
      <c r="AT215" s="21"/>
      <c r="AU215" s="21"/>
      <c r="AV215" s="21"/>
      <c r="AW215" s="21"/>
      <c r="AX215" s="21"/>
      <c r="AY215" s="21"/>
      <c r="BC215" t="s">
        <v>528</v>
      </c>
      <c r="BI215" s="3" t="s">
        <v>2223</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1651</v>
      </c>
      <c r="Z216" s="40"/>
      <c r="AB216" s="1532"/>
      <c r="AC216" s="1532"/>
      <c r="AD216" s="1532"/>
      <c r="AE216" s="1532"/>
      <c r="AF216" s="1532"/>
      <c r="AG216" s="1532"/>
      <c r="AH216" s="1532"/>
      <c r="AI216" s="1532"/>
      <c r="AJ216" s="1532"/>
      <c r="AK216" s="1532"/>
      <c r="AL216" s="1532"/>
      <c r="AM216" s="21"/>
      <c r="AN216" s="21"/>
      <c r="AO216" s="21"/>
      <c r="AP216" s="21"/>
      <c r="AQ216" s="21"/>
      <c r="AR216" s="21"/>
      <c r="AS216" s="21"/>
      <c r="AT216" s="21"/>
      <c r="AU216" s="21"/>
      <c r="AV216" s="21"/>
      <c r="AW216" s="21"/>
      <c r="AX216" s="21"/>
      <c r="AY216" s="21"/>
      <c r="BC216" t="s">
        <v>567</v>
      </c>
      <c r="BI216" t="s">
        <v>2221</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 customHeight="1">
      <c r="A218" s="2" t="s">
        <v>593</v>
      </c>
      <c r="C218" s="2" t="s">
        <v>2237</v>
      </c>
      <c r="D218" s="28"/>
      <c r="AC218" s="2" t="s">
        <v>2466</v>
      </c>
      <c r="BC218" t="s">
        <v>530</v>
      </c>
    </row>
    <row r="219" spans="1:108" ht="13" customHeight="1">
      <c r="A219" s="2"/>
      <c r="C219" s="2"/>
      <c r="D219" s="3" t="s">
        <v>2467</v>
      </c>
      <c r="AZ219" s="3"/>
      <c r="BA219" s="3"/>
      <c r="BC219" t="s">
        <v>377</v>
      </c>
    </row>
    <row r="220" spans="1:108" ht="13" customHeight="1">
      <c r="A220" s="2"/>
      <c r="C220" s="2"/>
      <c r="D220" s="1521" t="s">
        <v>875</v>
      </c>
      <c r="E220" s="1521"/>
      <c r="F220" s="1521"/>
      <c r="G220" s="1521"/>
      <c r="H220" s="1521"/>
      <c r="I220" s="1521"/>
      <c r="J220" s="1521"/>
      <c r="K220" s="1521"/>
      <c r="L220" s="1521"/>
      <c r="M220" s="1521"/>
      <c r="N220" s="1521"/>
      <c r="O220" s="1521"/>
      <c r="P220" s="1521"/>
      <c r="Q220" s="1521"/>
      <c r="R220" s="1521"/>
      <c r="S220" s="1521"/>
      <c r="T220" s="1521"/>
      <c r="U220" s="1521"/>
      <c r="V220" s="1521"/>
      <c r="W220" s="1521"/>
      <c r="X220" s="1521"/>
      <c r="Y220" s="1521"/>
      <c r="Z220" s="1521"/>
      <c r="AC220" s="1542" t="s">
        <v>875</v>
      </c>
      <c r="AD220" s="1542"/>
      <c r="AE220" s="1542"/>
      <c r="AF220" s="1542"/>
      <c r="AG220" s="1542"/>
      <c r="AH220" s="1542"/>
      <c r="AI220" s="1542"/>
      <c r="AJ220" s="1542"/>
      <c r="AK220" s="1542"/>
      <c r="AL220" s="1542"/>
      <c r="AM220" s="1542"/>
      <c r="AN220" s="1542"/>
      <c r="AO220" s="1542"/>
      <c r="AP220" s="1542"/>
      <c r="AQ220" s="1542"/>
      <c r="BA220" s="3"/>
      <c r="BC220" t="s">
        <v>300</v>
      </c>
    </row>
    <row r="221" spans="1:108" ht="13" customHeight="1">
      <c r="A221" s="2"/>
      <c r="B221" s="14"/>
      <c r="C221" s="2"/>
      <c r="BA221" s="3"/>
    </row>
    <row r="222" spans="1:108" ht="13" customHeight="1">
      <c r="A222" s="1540" t="s">
        <v>541</v>
      </c>
      <c r="B222" s="1540"/>
      <c r="C222" s="1540"/>
      <c r="D222" s="1540"/>
      <c r="E222" s="1540"/>
      <c r="F222" s="1540"/>
      <c r="G222" s="1540"/>
      <c r="H222" s="1540"/>
      <c r="I222" s="1540"/>
      <c r="J222" s="1540"/>
      <c r="K222" s="1540"/>
      <c r="L222" s="1540"/>
      <c r="M222" s="1540"/>
      <c r="N222" s="1540"/>
      <c r="O222" s="1540"/>
      <c r="P222" s="1540"/>
      <c r="Q222" s="1540"/>
      <c r="R222" s="1540"/>
      <c r="S222" s="1540"/>
      <c r="T222" s="1540"/>
      <c r="U222" s="1540"/>
      <c r="V222" s="1540"/>
      <c r="W222" s="1540"/>
      <c r="X222" s="1540"/>
      <c r="Y222" s="1540"/>
      <c r="Z222" s="1540"/>
      <c r="AA222" s="1540"/>
      <c r="AB222" s="1540"/>
      <c r="AC222" s="1540"/>
      <c r="AD222" s="1540"/>
      <c r="AE222" s="1540"/>
      <c r="AF222" s="1540"/>
      <c r="AG222" s="1540"/>
      <c r="AH222" s="1540"/>
      <c r="AI222" s="1540"/>
      <c r="AJ222" s="1540"/>
      <c r="AK222" s="1540"/>
      <c r="AL222" s="1540"/>
      <c r="AM222" s="1540"/>
      <c r="AN222" s="1540"/>
      <c r="AO222" s="1540"/>
      <c r="AP222" s="1540"/>
      <c r="AQ222" s="1540"/>
      <c r="AR222" s="1540"/>
      <c r="AS222" s="1540"/>
      <c r="AT222" s="1540"/>
      <c r="AU222" s="95"/>
      <c r="AV222" s="95"/>
      <c r="AW222" s="95"/>
      <c r="AX222" s="95"/>
      <c r="AY222" s="95"/>
      <c r="AZ222" s="3"/>
      <c r="BA222" s="3"/>
      <c r="BP222" s="34"/>
    </row>
    <row r="223" spans="1:108" ht="13" customHeight="1">
      <c r="A223" s="1540"/>
      <c r="B223" s="1540"/>
      <c r="C223" s="1540"/>
      <c r="D223" s="1540"/>
      <c r="E223" s="1540"/>
      <c r="F223" s="1540"/>
      <c r="G223" s="1540"/>
      <c r="H223" s="1540"/>
      <c r="I223" s="1540"/>
      <c r="J223" s="1540"/>
      <c r="K223" s="1540"/>
      <c r="L223" s="1540"/>
      <c r="M223" s="1540"/>
      <c r="N223" s="1540"/>
      <c r="O223" s="1540"/>
      <c r="P223" s="1540"/>
      <c r="Q223" s="1540"/>
      <c r="R223" s="1540"/>
      <c r="S223" s="1540"/>
      <c r="T223" s="1540"/>
      <c r="U223" s="1540"/>
      <c r="V223" s="1540"/>
      <c r="W223" s="1540"/>
      <c r="X223" s="1540"/>
      <c r="Y223" s="1540"/>
      <c r="Z223" s="1540"/>
      <c r="AA223" s="1540"/>
      <c r="AB223" s="1540"/>
      <c r="AC223" s="1540"/>
      <c r="AD223" s="1540"/>
      <c r="AE223" s="1540"/>
      <c r="AF223" s="1540"/>
      <c r="AG223" s="1540"/>
      <c r="AH223" s="1540"/>
      <c r="AI223" s="1540"/>
      <c r="AJ223" s="1540"/>
      <c r="AK223" s="1540"/>
      <c r="AL223" s="1540"/>
      <c r="AM223" s="1540"/>
      <c r="AN223" s="1540"/>
      <c r="AO223" s="1540"/>
      <c r="AP223" s="1540"/>
      <c r="AQ223" s="1540"/>
      <c r="AR223" s="1540"/>
      <c r="AS223" s="1540"/>
      <c r="AT223" s="1540"/>
      <c r="BA223" s="3"/>
      <c r="BB223" s="3"/>
      <c r="BQ223" s="34"/>
    </row>
    <row r="224" spans="1:108" ht="13" customHeight="1">
      <c r="AZ224" s="4"/>
      <c r="BA224" s="3"/>
      <c r="BB224" s="3"/>
      <c r="BQ224" s="34"/>
    </row>
    <row r="225" spans="1:59" ht="13"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97" t="s">
        <v>592</v>
      </c>
      <c r="AJ226" s="1397"/>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97" t="s">
        <v>592</v>
      </c>
      <c r="AJ227" s="1397"/>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97" t="s">
        <v>546</v>
      </c>
      <c r="AJ228" s="1397"/>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97" t="s">
        <v>592</v>
      </c>
      <c r="AJ229" s="1397"/>
      <c r="AL229" s="3"/>
      <c r="AM229" s="3"/>
      <c r="AN229" s="3"/>
      <c r="AO229" s="3"/>
      <c r="AP229" s="3"/>
      <c r="AQ229" s="3"/>
      <c r="AR229" s="3"/>
      <c r="AS229" s="3"/>
      <c r="AT229" s="3"/>
      <c r="AU229" s="3"/>
      <c r="AV229" s="3"/>
      <c r="AW229" s="3"/>
      <c r="AX229" s="3"/>
      <c r="AY229" s="3"/>
      <c r="BA229" s="3"/>
      <c r="BB229" s="205" t="s">
        <v>539</v>
      </c>
      <c r="BG229" s="242">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3"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471</v>
      </c>
      <c r="E232" s="4"/>
      <c r="F232" s="4"/>
      <c r="G232" s="4"/>
      <c r="H232" s="4"/>
      <c r="I232" s="4"/>
      <c r="J232" s="4"/>
      <c r="K232" s="4"/>
      <c r="M232" s="1558" t="str">
        <f>H16</f>
        <v>Sky Castle I, LP</v>
      </c>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Z232" s="4"/>
      <c r="BA232" s="3"/>
      <c r="BB232" s="206" t="s">
        <v>539</v>
      </c>
      <c r="BG232" s="242">
        <f>IF(AND(AND($M$249="nonprofit",$M$257="nonprofit",$M$265="for profit")),2,0)</f>
        <v>0</v>
      </c>
    </row>
    <row r="233" spans="1:59" ht="13" customHeight="1">
      <c r="D233" s="4" t="s">
        <v>85</v>
      </c>
      <c r="E233" s="4"/>
      <c r="F233" s="4"/>
      <c r="G233" s="4"/>
      <c r="H233" s="4"/>
      <c r="I233" s="4"/>
      <c r="J233" s="4"/>
      <c r="K233" s="4"/>
      <c r="M233" s="1536" t="s">
        <v>2703</v>
      </c>
      <c r="N233" s="1521"/>
      <c r="O233" s="1521"/>
      <c r="P233" s="1521"/>
      <c r="Q233" s="1521"/>
      <c r="R233" s="1521"/>
      <c r="S233" s="1521"/>
      <c r="T233" s="1521"/>
      <c r="U233" s="1521"/>
      <c r="V233" s="1521"/>
      <c r="W233" s="1521"/>
      <c r="X233" s="1521"/>
      <c r="Y233" s="1521"/>
      <c r="Z233" s="1521"/>
      <c r="AA233" s="1521"/>
      <c r="AB233" s="1521"/>
      <c r="AC233" s="1521"/>
      <c r="AD233" s="1521"/>
      <c r="AE233" s="1521"/>
      <c r="BB233" s="206" t="s">
        <v>539</v>
      </c>
      <c r="BG233" s="242">
        <f>IF(AND(AND($M$249="nonprofit",$M$257="for profit",$M$265="nonprofit")),2,0)</f>
        <v>0</v>
      </c>
    </row>
    <row r="234" spans="1:59" ht="13" customHeight="1">
      <c r="D234" s="4" t="s">
        <v>581</v>
      </c>
      <c r="E234" s="4"/>
      <c r="M234" s="1521" t="s">
        <v>495</v>
      </c>
      <c r="N234" s="1521"/>
      <c r="O234" s="1521"/>
      <c r="P234" s="1521"/>
      <c r="Q234" s="1521"/>
      <c r="R234" s="1521"/>
      <c r="S234" s="1521"/>
      <c r="T234" s="1521"/>
      <c r="V234" s="33" t="s">
        <v>86</v>
      </c>
      <c r="W234" s="1445" t="s">
        <v>2619</v>
      </c>
      <c r="X234" s="1445"/>
      <c r="Y234" s="4" t="s">
        <v>584</v>
      </c>
      <c r="AC234" s="1521">
        <v>90010</v>
      </c>
      <c r="AD234" s="1521"/>
      <c r="AE234" s="1521"/>
      <c r="AU234" s="4"/>
      <c r="AV234" s="4"/>
      <c r="AW234" s="4"/>
      <c r="AX234" s="4"/>
      <c r="AY234" s="4"/>
      <c r="AZ234" s="4"/>
      <c r="BB234" s="206" t="s">
        <v>539</v>
      </c>
      <c r="BG234" s="241">
        <f>IF(AND(AND($M$249="for profit",$M$257="nonprofit",$M$265="nonprofit")),2,0)</f>
        <v>0</v>
      </c>
    </row>
    <row r="235" spans="1:59" ht="13" customHeight="1">
      <c r="D235" s="4" t="s">
        <v>87</v>
      </c>
      <c r="E235" s="4"/>
      <c r="F235" s="4"/>
      <c r="G235" s="4"/>
      <c r="H235" s="4"/>
      <c r="I235" s="4"/>
      <c r="J235" s="4"/>
      <c r="K235" s="19"/>
      <c r="M235" s="1536" t="s">
        <v>2665</v>
      </c>
      <c r="N235" s="1521"/>
      <c r="O235" s="1521"/>
      <c r="P235" s="1521"/>
      <c r="Q235" s="1521"/>
      <c r="R235" s="1521"/>
      <c r="S235" s="1521"/>
      <c r="T235" s="1521"/>
      <c r="U235" s="1521"/>
      <c r="V235" s="1521"/>
      <c r="W235" s="1521"/>
      <c r="X235" s="1521"/>
      <c r="Y235" s="1521"/>
      <c r="Z235" s="1521"/>
      <c r="AA235" s="1521"/>
      <c r="AB235" s="1521"/>
      <c r="AC235" s="1521"/>
      <c r="AD235" s="1521"/>
      <c r="AE235" s="1521"/>
      <c r="AI235" s="4"/>
      <c r="AJ235" s="4"/>
      <c r="AK235" s="4"/>
      <c r="AL235" s="4"/>
      <c r="AM235" s="4"/>
      <c r="AN235" s="4"/>
      <c r="AO235" s="4"/>
      <c r="AP235" s="4"/>
      <c r="AQ235" s="4"/>
      <c r="AR235" s="4"/>
      <c r="AS235" s="4"/>
      <c r="AT235" s="4"/>
      <c r="BB235" s="206"/>
      <c r="BG235" s="205"/>
    </row>
    <row r="236" spans="1:59" ht="13" customHeight="1">
      <c r="D236" s="4" t="s">
        <v>88</v>
      </c>
      <c r="E236" s="4"/>
      <c r="F236" s="4"/>
      <c r="M236" s="1547" t="s">
        <v>2666</v>
      </c>
      <c r="N236" s="1462"/>
      <c r="O236" s="1462"/>
      <c r="P236" s="1462"/>
      <c r="Q236" s="1462"/>
      <c r="R236" s="1462"/>
      <c r="S236" s="4" t="s">
        <v>206</v>
      </c>
      <c r="T236" s="4"/>
      <c r="U236" s="1445"/>
      <c r="V236" s="1445"/>
      <c r="W236" s="1445"/>
      <c r="X236" s="4" t="s">
        <v>89</v>
      </c>
      <c r="Z236" s="1462"/>
      <c r="AA236" s="1462"/>
      <c r="AB236" s="1462"/>
      <c r="AC236" s="1462"/>
      <c r="AD236" s="1462"/>
      <c r="AE236" s="1462"/>
      <c r="AU236" s="4"/>
      <c r="AV236" s="4"/>
      <c r="AW236" s="4"/>
      <c r="AX236" s="4"/>
      <c r="AY236" s="4"/>
      <c r="AZ236" s="4"/>
      <c r="BB236" s="205" t="s">
        <v>538</v>
      </c>
      <c r="BG236" s="242">
        <f>IF(AND(AND($M$249="nonprofit",$M$257="nonprofit",$M$265="(select one)")),1,0)</f>
        <v>0</v>
      </c>
    </row>
    <row r="237" spans="1:59" ht="13" customHeight="1">
      <c r="D237" s="4" t="s">
        <v>90</v>
      </c>
      <c r="E237" s="4"/>
      <c r="F237" s="4"/>
      <c r="M237" s="1550" t="s">
        <v>2667</v>
      </c>
      <c r="N237" s="1550"/>
      <c r="O237" s="1550"/>
      <c r="P237" s="1550"/>
      <c r="Q237" s="1550"/>
      <c r="R237" s="1550"/>
      <c r="S237" s="1550"/>
      <c r="T237" s="1550"/>
      <c r="U237" s="1550"/>
      <c r="V237" s="1550"/>
      <c r="W237" s="1550"/>
      <c r="X237" s="1550"/>
      <c r="Y237" s="1550"/>
      <c r="Z237" s="1550"/>
      <c r="AA237" s="1550"/>
      <c r="AB237" s="1550"/>
      <c r="AC237" s="1550"/>
      <c r="AD237" s="1550"/>
      <c r="AE237" s="1550"/>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3" customHeight="1">
      <c r="A238" s="2" t="s">
        <v>587</v>
      </c>
      <c r="C238" s="2" t="s">
        <v>526</v>
      </c>
      <c r="M238" s="1400" t="s">
        <v>529</v>
      </c>
      <c r="N238" s="1400"/>
      <c r="O238" s="1400"/>
      <c r="P238" s="1400"/>
      <c r="Q238" s="1400"/>
      <c r="R238" s="1400"/>
      <c r="S238" s="1400"/>
      <c r="T238" s="1400"/>
      <c r="U238" s="205" t="s">
        <v>906</v>
      </c>
      <c r="V238" s="205"/>
      <c r="W238" s="205"/>
      <c r="X238" s="205"/>
      <c r="Y238" s="205"/>
      <c r="Z238" s="205"/>
      <c r="AA238" s="1569" t="s">
        <v>2668</v>
      </c>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3" customHeight="1">
      <c r="D239" t="s">
        <v>532</v>
      </c>
      <c r="M239" s="1393"/>
      <c r="N239" s="1393"/>
      <c r="O239" s="1393"/>
      <c r="P239" s="1393"/>
      <c r="Q239" s="1393"/>
      <c r="R239" s="1393"/>
      <c r="S239" s="1393"/>
      <c r="T239" s="1393"/>
      <c r="U239" s="1393"/>
      <c r="V239" s="1393"/>
      <c r="W239" s="1393"/>
      <c r="X239" s="1393"/>
      <c r="Y239" s="1393"/>
      <c r="Z239" s="1393"/>
      <c r="AA239" s="1393"/>
      <c r="AB239" s="1393"/>
      <c r="AC239" s="1393"/>
      <c r="AD239" s="1393"/>
      <c r="AE239" s="1393"/>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3" customHeight="1">
      <c r="D240" s="4"/>
      <c r="BB240" s="205" t="s">
        <v>877</v>
      </c>
      <c r="BG240" s="242">
        <f>IF(AND(AND($M$249="for profit",$M$257="for profit",$M$265="for profit")),3,0)</f>
        <v>0</v>
      </c>
    </row>
    <row r="241" spans="1:67" ht="13" customHeight="1">
      <c r="A241" s="2" t="s">
        <v>590</v>
      </c>
      <c r="C241" s="2" t="s">
        <v>1183</v>
      </c>
      <c r="D241" s="4"/>
      <c r="L241" s="8"/>
      <c r="M241" s="8"/>
      <c r="N241" s="8"/>
      <c r="AU241" s="3"/>
      <c r="AV241" s="3"/>
      <c r="AW241" s="3"/>
      <c r="AX241" s="3"/>
      <c r="AY241" s="3"/>
      <c r="BB241" s="205" t="s">
        <v>877</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570" t="s">
        <v>2695</v>
      </c>
      <c r="N243" s="1564"/>
      <c r="O243" s="1564"/>
      <c r="P243" s="1564"/>
      <c r="Q243" s="1564"/>
      <c r="R243" s="1564"/>
      <c r="S243" s="1564"/>
      <c r="T243" s="1564"/>
      <c r="U243" s="1564"/>
      <c r="V243" s="1564"/>
      <c r="W243" s="1564"/>
      <c r="X243" s="1564"/>
      <c r="Y243" s="1564"/>
      <c r="Z243" s="1564"/>
      <c r="AA243" s="1564"/>
      <c r="AB243" s="1564"/>
      <c r="AC243" s="1564"/>
      <c r="AD243" s="1564"/>
      <c r="AE243" s="1564"/>
      <c r="AF243" s="1564" t="s">
        <v>2669</v>
      </c>
      <c r="AG243" s="1564"/>
      <c r="AH243" s="1564"/>
      <c r="AI243" s="1564"/>
      <c r="AJ243" s="1564"/>
      <c r="AK243" s="1564"/>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36" t="s">
        <v>2703</v>
      </c>
      <c r="N244" s="1521"/>
      <c r="O244" s="1521"/>
      <c r="P244" s="1521"/>
      <c r="Q244" s="1521"/>
      <c r="R244" s="1521"/>
      <c r="S244" s="1521"/>
      <c r="T244" s="1521"/>
      <c r="U244" s="1521"/>
      <c r="V244" s="1521"/>
      <c r="W244" s="1521"/>
      <c r="X244" s="1521"/>
      <c r="Y244" s="1521"/>
      <c r="Z244" s="1521"/>
      <c r="AA244" s="1521"/>
      <c r="AB244" s="1521"/>
      <c r="AC244" s="1521"/>
      <c r="AD244" s="1521"/>
      <c r="AE244" s="1521"/>
      <c r="AF244" s="3" t="s">
        <v>1179</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536" t="s">
        <v>495</v>
      </c>
      <c r="N245" s="1521"/>
      <c r="O245" s="1521"/>
      <c r="P245" s="1521"/>
      <c r="Q245" s="1521"/>
      <c r="R245" s="1521"/>
      <c r="S245" s="1521"/>
      <c r="T245" s="1521"/>
      <c r="V245" s="33" t="s">
        <v>86</v>
      </c>
      <c r="W245" s="1522" t="s">
        <v>2619</v>
      </c>
      <c r="X245" s="1445"/>
      <c r="Y245" s="4" t="s">
        <v>584</v>
      </c>
      <c r="AC245" s="1521">
        <v>90010</v>
      </c>
      <c r="AD245" s="1521"/>
      <c r="AE245" s="1521"/>
      <c r="AF245" s="3" t="s">
        <v>1180</v>
      </c>
      <c r="AU245" s="4"/>
      <c r="AV245" s="4"/>
      <c r="AW245" s="4"/>
      <c r="AX245" s="4"/>
      <c r="AY245" s="4"/>
      <c r="BB245" s="4" t="s">
        <v>280</v>
      </c>
      <c r="BG245">
        <v>2</v>
      </c>
      <c r="BH245" t="s">
        <v>567</v>
      </c>
      <c r="BO245" s="240" t="str">
        <f>VLOOKUP(BG243,BG244:BH247,2,FALSE)</f>
        <v>Joint Venture</v>
      </c>
    </row>
    <row r="246" spans="1:67" ht="13" customHeight="1">
      <c r="A246" s="19"/>
      <c r="B246" s="4"/>
      <c r="C246" s="4"/>
      <c r="D246" s="4" t="s">
        <v>87</v>
      </c>
      <c r="E246" s="4"/>
      <c r="F246" s="4"/>
      <c r="G246" s="4"/>
      <c r="H246" s="4"/>
      <c r="I246" s="4"/>
      <c r="J246" s="4"/>
      <c r="K246" s="4"/>
      <c r="L246" s="19"/>
      <c r="M246" s="1521" t="s">
        <v>2665</v>
      </c>
      <c r="N246" s="1521"/>
      <c r="O246" s="1521"/>
      <c r="P246" s="1521"/>
      <c r="Q246" s="1521"/>
      <c r="R246" s="1521"/>
      <c r="S246" s="1521"/>
      <c r="T246" s="1521"/>
      <c r="U246" s="1521"/>
      <c r="V246" s="1521"/>
      <c r="W246" s="1521"/>
      <c r="X246" s="1521"/>
      <c r="Y246" s="1521"/>
      <c r="Z246" s="1521"/>
      <c r="AA246" s="1521"/>
      <c r="AB246" s="1521"/>
      <c r="AC246" s="1521"/>
      <c r="AD246" s="1521"/>
      <c r="AE246" s="1521"/>
      <c r="AH246" s="1527">
        <v>5.1000000000000004E-3</v>
      </c>
      <c r="AI246" s="1527"/>
      <c r="AJ246" s="1527"/>
      <c r="AK246" s="1527"/>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462" t="s">
        <v>2666</v>
      </c>
      <c r="N247" s="1462"/>
      <c r="O247" s="1462"/>
      <c r="P247" s="1462"/>
      <c r="Q247" s="1462"/>
      <c r="R247" s="1462"/>
      <c r="S247" s="4" t="s">
        <v>206</v>
      </c>
      <c r="T247" s="4"/>
      <c r="U247" s="1445"/>
      <c r="V247" s="1445"/>
      <c r="W247" s="1445"/>
      <c r="X247" s="4" t="s">
        <v>89</v>
      </c>
      <c r="Z247" s="1462"/>
      <c r="AA247" s="1462"/>
      <c r="AB247" s="1462"/>
      <c r="AC247" s="1462"/>
      <c r="AD247" s="1462"/>
      <c r="AE247" s="1462"/>
      <c r="AU247" s="4"/>
      <c r="AV247" s="4"/>
      <c r="AW247" s="4"/>
      <c r="AX247" s="4"/>
      <c r="AY247" s="4"/>
      <c r="BG247">
        <v>0</v>
      </c>
      <c r="BH247" s="3" t="str">
        <f>""</f>
        <v/>
      </c>
      <c r="BN247" s="34"/>
    </row>
    <row r="248" spans="1:67" ht="13" customHeight="1">
      <c r="A248" s="19"/>
      <c r="B248" s="4"/>
      <c r="C248" s="4"/>
      <c r="D248" s="4" t="s">
        <v>90</v>
      </c>
      <c r="E248" s="4"/>
      <c r="F248" s="4"/>
      <c r="M248" s="1550" t="s">
        <v>2667</v>
      </c>
      <c r="N248" s="1550"/>
      <c r="O248" s="1550"/>
      <c r="P248" s="1550"/>
      <c r="Q248" s="1550"/>
      <c r="R248" s="1550"/>
      <c r="S248" s="1550"/>
      <c r="T248" s="1550"/>
      <c r="U248" s="1550"/>
      <c r="V248" s="1550"/>
      <c r="W248" s="1550"/>
      <c r="X248" s="1550"/>
      <c r="Y248" s="1550"/>
      <c r="Z248" s="1550"/>
      <c r="AA248" s="1550"/>
      <c r="AB248" s="1550"/>
      <c r="AC248" s="1550"/>
      <c r="AD248" s="1550"/>
      <c r="AE248" s="1550"/>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400" t="s">
        <v>537</v>
      </c>
      <c r="N249" s="1400"/>
      <c r="O249" s="1400"/>
      <c r="P249" s="1400"/>
      <c r="Q249" s="1400"/>
      <c r="R249" s="1400"/>
      <c r="S249" s="1400"/>
      <c r="T249" s="1400"/>
      <c r="U249" s="205" t="s">
        <v>906</v>
      </c>
      <c r="V249" s="205"/>
      <c r="W249" s="205"/>
      <c r="X249" s="205"/>
      <c r="Y249" s="205"/>
      <c r="Z249" s="205"/>
      <c r="AA249" s="1562" t="s">
        <v>2668</v>
      </c>
      <c r="AB249" s="1562"/>
      <c r="AC249" s="1562"/>
      <c r="AD249" s="1562"/>
      <c r="AE249" s="1562"/>
      <c r="AF249" s="1562"/>
      <c r="AG249" s="1562"/>
      <c r="AH249" s="1562"/>
      <c r="AI249" s="1562"/>
      <c r="AJ249" s="1562"/>
      <c r="AK249" s="1562"/>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564" t="s">
        <v>2618</v>
      </c>
      <c r="N251" s="1564"/>
      <c r="O251" s="1564"/>
      <c r="P251" s="1564"/>
      <c r="Q251" s="1564"/>
      <c r="R251" s="1564"/>
      <c r="S251" s="1564"/>
      <c r="T251" s="1564"/>
      <c r="U251" s="1564"/>
      <c r="V251" s="1564"/>
      <c r="W251" s="1564"/>
      <c r="X251" s="1564"/>
      <c r="Y251" s="1564"/>
      <c r="Z251" s="1564"/>
      <c r="AA251" s="1564"/>
      <c r="AB251" s="1564"/>
      <c r="AC251" s="1564"/>
      <c r="AD251" s="1564"/>
      <c r="AE251" s="1564"/>
      <c r="AF251" s="1564" t="s">
        <v>2617</v>
      </c>
      <c r="AG251" s="1564"/>
      <c r="AH251" s="1564"/>
      <c r="AI251" s="1564"/>
      <c r="AJ251" s="1564"/>
      <c r="AK251" s="1564"/>
      <c r="AU251" s="4"/>
      <c r="AV251" s="4"/>
      <c r="AW251" s="4"/>
      <c r="AX251" s="4"/>
      <c r="AY251" s="4"/>
      <c r="BN251" s="34"/>
    </row>
    <row r="252" spans="1:67" ht="13" customHeight="1">
      <c r="A252" s="19"/>
      <c r="B252" s="4"/>
      <c r="C252" s="4"/>
      <c r="D252" s="4" t="s">
        <v>85</v>
      </c>
      <c r="E252" s="4"/>
      <c r="F252" s="4"/>
      <c r="G252" s="4"/>
      <c r="H252" s="4"/>
      <c r="I252" s="4"/>
      <c r="J252" s="4"/>
      <c r="K252" s="4"/>
      <c r="L252" s="4"/>
      <c r="M252" s="1536" t="s">
        <v>2696</v>
      </c>
      <c r="N252" s="1521"/>
      <c r="O252" s="1521"/>
      <c r="P252" s="1521"/>
      <c r="Q252" s="1521"/>
      <c r="R252" s="1521"/>
      <c r="S252" s="1521"/>
      <c r="T252" s="1521"/>
      <c r="U252" s="1521"/>
      <c r="V252" s="1521"/>
      <c r="W252" s="1521"/>
      <c r="X252" s="1521"/>
      <c r="Y252" s="1521"/>
      <c r="Z252" s="1521"/>
      <c r="AA252" s="1521"/>
      <c r="AB252" s="1521"/>
      <c r="AC252" s="1521"/>
      <c r="AD252" s="1521"/>
      <c r="AE252" s="1521"/>
      <c r="AF252" s="3" t="s">
        <v>1179</v>
      </c>
      <c r="AL252" s="4"/>
      <c r="AM252" s="4"/>
      <c r="AN252" s="4"/>
      <c r="AO252" s="4"/>
      <c r="AP252" s="4"/>
      <c r="AQ252" s="4"/>
      <c r="AR252" s="4"/>
      <c r="AS252" s="4"/>
      <c r="AT252" s="4"/>
      <c r="BN252" s="34"/>
    </row>
    <row r="253" spans="1:67" ht="13" customHeight="1">
      <c r="A253" s="19"/>
      <c r="B253" s="4"/>
      <c r="C253" s="4"/>
      <c r="D253" s="4" t="s">
        <v>581</v>
      </c>
      <c r="E253" s="4"/>
      <c r="M253" s="1536" t="s">
        <v>67</v>
      </c>
      <c r="N253" s="1521"/>
      <c r="O253" s="1521"/>
      <c r="P253" s="1521"/>
      <c r="Q253" s="1521"/>
      <c r="R253" s="1521"/>
      <c r="S253" s="1521"/>
      <c r="T253" s="1521"/>
      <c r="V253" s="33" t="s">
        <v>86</v>
      </c>
      <c r="W253" s="1522" t="s">
        <v>2619</v>
      </c>
      <c r="X253" s="1445"/>
      <c r="Y253" s="4" t="s">
        <v>584</v>
      </c>
      <c r="AC253" s="1521">
        <v>92507</v>
      </c>
      <c r="AD253" s="1521"/>
      <c r="AE253" s="1521"/>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536" t="s">
        <v>2697</v>
      </c>
      <c r="N254" s="1521"/>
      <c r="O254" s="1521"/>
      <c r="P254" s="1521"/>
      <c r="Q254" s="1521"/>
      <c r="R254" s="1521"/>
      <c r="S254" s="1521"/>
      <c r="T254" s="1521"/>
      <c r="U254" s="1521"/>
      <c r="V254" s="1521"/>
      <c r="W254" s="1521"/>
      <c r="X254" s="1521"/>
      <c r="Y254" s="1521"/>
      <c r="Z254" s="1521"/>
      <c r="AA254" s="1521"/>
      <c r="AB254" s="1521"/>
      <c r="AC254" s="1521"/>
      <c r="AD254" s="1521"/>
      <c r="AE254" s="1521"/>
      <c r="AH254" s="1527">
        <v>4.8999999999999998E-3</v>
      </c>
      <c r="AI254" s="1527"/>
      <c r="AJ254" s="1527"/>
      <c r="AK254" s="1527"/>
      <c r="AL254" s="4"/>
      <c r="AM254" s="4"/>
      <c r="AN254" s="4"/>
      <c r="AO254" s="4"/>
      <c r="AP254" s="4"/>
      <c r="AQ254" s="4"/>
      <c r="AR254" s="4"/>
      <c r="AS254" s="4"/>
      <c r="AT254" s="4"/>
    </row>
    <row r="255" spans="1:67" ht="13" customHeight="1">
      <c r="A255" s="19"/>
      <c r="B255" s="4"/>
      <c r="C255" s="4"/>
      <c r="D255" s="4" t="s">
        <v>88</v>
      </c>
      <c r="E255" s="4"/>
      <c r="F255" s="4"/>
      <c r="M255" s="1547" t="s">
        <v>2698</v>
      </c>
      <c r="N255" s="1462"/>
      <c r="O255" s="1462"/>
      <c r="P255" s="1462"/>
      <c r="Q255" s="1462"/>
      <c r="R255" s="1462"/>
      <c r="S255" s="4" t="s">
        <v>206</v>
      </c>
      <c r="T255" s="4"/>
      <c r="U255" s="1445"/>
      <c r="V255" s="1445"/>
      <c r="W255" s="1445"/>
      <c r="X255" s="4" t="s">
        <v>89</v>
      </c>
      <c r="Z255" s="1462"/>
      <c r="AA255" s="1462"/>
      <c r="AB255" s="1462"/>
      <c r="AC255" s="1462"/>
      <c r="AD255" s="1462"/>
      <c r="AE255" s="1462"/>
      <c r="AU255" s="4"/>
      <c r="AV255" s="4"/>
      <c r="AW255" s="4"/>
      <c r="AX255" s="4"/>
      <c r="AY255" s="4"/>
      <c r="BN255" s="34"/>
    </row>
    <row r="256" spans="1:67" ht="13" customHeight="1">
      <c r="A256" s="19"/>
      <c r="B256" s="4"/>
      <c r="C256" s="4"/>
      <c r="D256" s="4" t="s">
        <v>90</v>
      </c>
      <c r="E256" s="4"/>
      <c r="F256" s="4"/>
      <c r="M256" s="1550" t="s">
        <v>2699</v>
      </c>
      <c r="N256" s="1550"/>
      <c r="O256" s="1550"/>
      <c r="P256" s="1550"/>
      <c r="Q256" s="1550"/>
      <c r="R256" s="1550"/>
      <c r="S256" s="1550"/>
      <c r="T256" s="1550"/>
      <c r="U256" s="1550"/>
      <c r="V256" s="1550"/>
      <c r="W256" s="1550"/>
      <c r="X256" s="1550"/>
      <c r="Y256" s="1550"/>
      <c r="Z256" s="1550"/>
      <c r="AA256" s="1550"/>
      <c r="AB256" s="1550"/>
      <c r="AC256" s="1550"/>
      <c r="AD256" s="1550"/>
      <c r="AE256" s="1550"/>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400" t="s">
        <v>535</v>
      </c>
      <c r="N257" s="1400"/>
      <c r="O257" s="1400"/>
      <c r="P257" s="1400"/>
      <c r="Q257" s="1400"/>
      <c r="R257" s="1400"/>
      <c r="S257" s="1400"/>
      <c r="T257" s="1400"/>
      <c r="U257" s="205" t="s">
        <v>906</v>
      </c>
      <c r="V257" s="205"/>
      <c r="W257" s="205"/>
      <c r="X257" s="205"/>
      <c r="Y257" s="205"/>
      <c r="Z257" s="205"/>
      <c r="AA257" s="1569"/>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533</v>
      </c>
      <c r="E259" s="4"/>
      <c r="F259" s="4"/>
      <c r="G259" s="4"/>
      <c r="H259" s="4"/>
      <c r="I259" s="4"/>
      <c r="J259" s="4"/>
      <c r="K259" s="4"/>
      <c r="L259" s="4"/>
      <c r="M259" s="1564"/>
      <c r="N259" s="1564"/>
      <c r="O259" s="1564"/>
      <c r="P259" s="1564"/>
      <c r="Q259" s="1564"/>
      <c r="R259" s="1564"/>
      <c r="S259" s="1564"/>
      <c r="T259" s="1564"/>
      <c r="U259" s="1564"/>
      <c r="V259" s="1564"/>
      <c r="W259" s="1564"/>
      <c r="X259" s="1564"/>
      <c r="Y259" s="1564"/>
      <c r="Z259" s="1564"/>
      <c r="AA259" s="1564"/>
      <c r="AB259" s="1564"/>
      <c r="AC259" s="1564"/>
      <c r="AD259" s="1564"/>
      <c r="AE259" s="1564"/>
      <c r="AF259" s="1564" t="s">
        <v>307</v>
      </c>
      <c r="AG259" s="1564"/>
      <c r="AH259" s="1564"/>
      <c r="AI259" s="1564"/>
      <c r="AJ259" s="1564"/>
      <c r="AK259" s="1564"/>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1"/>
      <c r="N260" s="1521"/>
      <c r="O260" s="1521"/>
      <c r="P260" s="1521"/>
      <c r="Q260" s="1521"/>
      <c r="R260" s="1521"/>
      <c r="S260" s="1521"/>
      <c r="T260" s="1521"/>
      <c r="U260" s="1521"/>
      <c r="V260" s="1521"/>
      <c r="W260" s="1521"/>
      <c r="X260" s="1521"/>
      <c r="Y260" s="1521"/>
      <c r="Z260" s="1521"/>
      <c r="AA260" s="1521"/>
      <c r="AB260" s="1521"/>
      <c r="AC260" s="1521"/>
      <c r="AD260" s="1521"/>
      <c r="AE260" s="1521"/>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521"/>
      <c r="N261" s="1521"/>
      <c r="O261" s="1521"/>
      <c r="P261" s="1521"/>
      <c r="Q261" s="1521"/>
      <c r="R261" s="1521"/>
      <c r="S261" s="1521"/>
      <c r="T261" s="1521"/>
      <c r="V261" s="33" t="s">
        <v>86</v>
      </c>
      <c r="W261" s="1445"/>
      <c r="X261" s="1445"/>
      <c r="Y261" s="4" t="s">
        <v>584</v>
      </c>
      <c r="AC261" s="1521"/>
      <c r="AD261" s="1521"/>
      <c r="AE261" s="1521"/>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1"/>
      <c r="N262" s="1521"/>
      <c r="O262" s="1521"/>
      <c r="P262" s="1521"/>
      <c r="Q262" s="1521"/>
      <c r="R262" s="1521"/>
      <c r="S262" s="1521"/>
      <c r="T262" s="1521"/>
      <c r="U262" s="1521"/>
      <c r="V262" s="1521"/>
      <c r="W262" s="1521"/>
      <c r="X262" s="1521"/>
      <c r="Y262" s="1521"/>
      <c r="Z262" s="1521"/>
      <c r="AA262" s="1521"/>
      <c r="AB262" s="1521"/>
      <c r="AC262" s="1521"/>
      <c r="AD262" s="1521"/>
      <c r="AE262" s="1521"/>
      <c r="AH262" s="1527"/>
      <c r="AI262" s="1527"/>
      <c r="AJ262" s="1527"/>
      <c r="AK262" s="1527"/>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62"/>
      <c r="N263" s="1462"/>
      <c r="O263" s="1462"/>
      <c r="P263" s="1462"/>
      <c r="Q263" s="1462"/>
      <c r="R263" s="1462"/>
      <c r="S263" s="4" t="s">
        <v>206</v>
      </c>
      <c r="T263" s="4"/>
      <c r="U263" s="1445"/>
      <c r="V263" s="1445"/>
      <c r="W263" s="1445"/>
      <c r="X263" s="4" t="s">
        <v>89</v>
      </c>
      <c r="Z263" s="1462"/>
      <c r="AA263" s="1462"/>
      <c r="AB263" s="1462"/>
      <c r="AC263" s="1462"/>
      <c r="AD263" s="1462"/>
      <c r="AE263" s="1462"/>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50"/>
      <c r="N264" s="1550"/>
      <c r="O264" s="1550"/>
      <c r="P264" s="1550"/>
      <c r="Q264" s="1550"/>
      <c r="R264" s="1550"/>
      <c r="S264" s="1550"/>
      <c r="T264" s="1550"/>
      <c r="U264" s="1550"/>
      <c r="V264" s="1550"/>
      <c r="W264" s="1550"/>
      <c r="X264" s="1550"/>
      <c r="Y264" s="1550"/>
      <c r="Z264" s="1550"/>
      <c r="AA264" s="1571"/>
      <c r="AB264" s="1571"/>
      <c r="AC264" s="1571"/>
      <c r="AD264" s="1571"/>
      <c r="AE264" s="1571"/>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400" t="s">
        <v>307</v>
      </c>
      <c r="N265" s="1400"/>
      <c r="O265" s="1400"/>
      <c r="P265" s="1400"/>
      <c r="Q265" s="1400"/>
      <c r="R265" s="1400"/>
      <c r="S265" s="1400"/>
      <c r="T265" s="1400"/>
      <c r="U265" s="205" t="s">
        <v>906</v>
      </c>
      <c r="V265" s="205"/>
      <c r="W265" s="205"/>
      <c r="X265" s="205"/>
      <c r="Y265" s="205"/>
      <c r="Z265" s="205"/>
      <c r="AA265" s="1572"/>
      <c r="AB265" s="1572"/>
      <c r="AC265" s="1572"/>
      <c r="AD265" s="1572"/>
      <c r="AE265" s="1572"/>
      <c r="AF265" s="1572"/>
      <c r="AG265" s="1572"/>
      <c r="AH265" s="1572"/>
      <c r="AI265" s="1572"/>
      <c r="AJ265" s="1572"/>
      <c r="AK265" s="1572"/>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528" t="str">
        <f>IFERROR(BO245,"")</f>
        <v>Joint Venture</v>
      </c>
      <c r="U267" s="1528"/>
      <c r="V267" s="1528"/>
      <c r="W267" s="1528"/>
      <c r="X267" s="1528"/>
      <c r="Z267" s="308" t="s">
        <v>954</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3" customHeight="1">
      <c r="A270" s="4"/>
      <c r="B270" s="36">
        <v>0</v>
      </c>
      <c r="D270" s="1521" t="s">
        <v>280</v>
      </c>
      <c r="E270" s="1521"/>
      <c r="F270" s="1521"/>
      <c r="G270" s="1521"/>
      <c r="H270" s="1521"/>
      <c r="J270" t="s">
        <v>279</v>
      </c>
      <c r="X270" s="1502"/>
      <c r="Y270" s="1502"/>
      <c r="Z270" s="1502"/>
      <c r="AA270" s="1502"/>
      <c r="AB270" s="1502"/>
      <c r="AC270" s="1502"/>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70" t="s">
        <v>2668</v>
      </c>
      <c r="M274" s="1564"/>
      <c r="N274" s="1564"/>
      <c r="O274" s="1564"/>
      <c r="P274" s="1564"/>
      <c r="Q274" s="1564"/>
      <c r="R274" s="1564"/>
      <c r="S274" s="1564"/>
      <c r="T274" s="1564"/>
      <c r="U274" s="1564"/>
      <c r="V274" s="1564"/>
      <c r="W274" s="1564"/>
      <c r="X274" s="1564"/>
      <c r="Y274" s="1564"/>
      <c r="Z274" s="1564"/>
      <c r="AA274" s="1564"/>
      <c r="AB274" s="1564"/>
      <c r="AC274" s="1564"/>
      <c r="AD274" s="1564"/>
      <c r="AE274" s="1564"/>
      <c r="AF274" s="1564"/>
      <c r="AG274" s="1564"/>
      <c r="AH274" s="1564"/>
      <c r="AI274" s="1564"/>
      <c r="AJ274" s="1564"/>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1" t="s">
        <v>2703</v>
      </c>
      <c r="M275" s="1521"/>
      <c r="N275" s="1521"/>
      <c r="O275" s="1521"/>
      <c r="P275" s="1521"/>
      <c r="Q275" s="1521"/>
      <c r="R275" s="1521"/>
      <c r="S275" s="1521"/>
      <c r="T275" s="1521"/>
      <c r="U275" s="1521"/>
      <c r="V275" s="1521"/>
      <c r="W275" s="1521"/>
      <c r="X275" s="1521"/>
      <c r="Y275" s="1521"/>
      <c r="Z275" s="1521"/>
      <c r="AA275" s="1521"/>
      <c r="AB275" s="1521"/>
      <c r="AC275" s="1521"/>
      <c r="AD275" s="1521"/>
      <c r="AK275" s="3"/>
      <c r="AL275" s="3"/>
      <c r="AM275" s="3"/>
      <c r="AN275" s="3"/>
      <c r="AO275" s="3"/>
      <c r="AP275" s="3"/>
      <c r="AQ275" s="3"/>
      <c r="AR275" s="3"/>
      <c r="AS275" s="3"/>
      <c r="AT275" s="3"/>
      <c r="AU275" s="3"/>
      <c r="AV275" s="3"/>
      <c r="AW275" s="3"/>
      <c r="AX275" s="3"/>
      <c r="AY275" s="3"/>
    </row>
    <row r="276" spans="1:51" ht="13" customHeight="1">
      <c r="D276" s="4" t="s">
        <v>581</v>
      </c>
      <c r="E276" s="4"/>
      <c r="L276" s="1521" t="s">
        <v>495</v>
      </c>
      <c r="M276" s="1521"/>
      <c r="N276" s="1521"/>
      <c r="O276" s="1521"/>
      <c r="P276" s="1521"/>
      <c r="Q276" s="1521"/>
      <c r="R276" s="1521"/>
      <c r="S276" s="1521"/>
      <c r="U276" s="33" t="s">
        <v>86</v>
      </c>
      <c r="V276" s="1445" t="s">
        <v>2619</v>
      </c>
      <c r="W276" s="1445"/>
      <c r="X276" s="4" t="s">
        <v>584</v>
      </c>
      <c r="AB276" s="1521">
        <v>90010</v>
      </c>
      <c r="AC276" s="1521"/>
      <c r="AD276" s="1521"/>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21" t="s">
        <v>2665</v>
      </c>
      <c r="M277" s="1521"/>
      <c r="N277" s="1521"/>
      <c r="O277" s="1521"/>
      <c r="P277" s="1521"/>
      <c r="Q277" s="1521"/>
      <c r="R277" s="1521"/>
      <c r="S277" s="1521"/>
      <c r="T277" s="1521"/>
      <c r="U277" s="1521"/>
      <c r="V277" s="1521"/>
      <c r="W277" s="1521"/>
      <c r="X277" s="1521"/>
      <c r="Y277" s="1521"/>
      <c r="Z277" s="1521"/>
      <c r="AA277" s="1521"/>
      <c r="AB277" s="1521"/>
      <c r="AC277" s="1521"/>
      <c r="AD277" s="1521"/>
      <c r="AI277" s="4"/>
      <c r="AJ277" s="4"/>
      <c r="AK277" s="3"/>
      <c r="AL277" s="3"/>
      <c r="AM277" s="3"/>
      <c r="AN277" s="3"/>
      <c r="AO277" s="3"/>
      <c r="AP277" s="3"/>
      <c r="AQ277" s="3"/>
      <c r="AR277" s="3"/>
      <c r="AS277" s="3"/>
      <c r="AT277" s="3"/>
    </row>
    <row r="278" spans="1:51" ht="13" customHeight="1">
      <c r="D278" s="4" t="s">
        <v>88</v>
      </c>
      <c r="E278" s="4"/>
      <c r="F278" s="4"/>
      <c r="L278" s="1462" t="s">
        <v>2666</v>
      </c>
      <c r="M278" s="1462"/>
      <c r="N278" s="1462"/>
      <c r="O278" s="1462"/>
      <c r="P278" s="1462"/>
      <c r="Q278" s="1462"/>
      <c r="R278" s="4" t="s">
        <v>206</v>
      </c>
      <c r="S278" s="4"/>
      <c r="T278" s="1445"/>
      <c r="U278" s="1445"/>
      <c r="V278" s="1445"/>
      <c r="W278" s="4" t="s">
        <v>89</v>
      </c>
      <c r="Y278" s="1462"/>
      <c r="Z278" s="1462"/>
      <c r="AA278" s="1462"/>
      <c r="AB278" s="1462"/>
      <c r="AC278" s="1462"/>
      <c r="AD278" s="1462"/>
    </row>
    <row r="279" spans="1:51" ht="13" customHeight="1">
      <c r="D279" s="4" t="s">
        <v>90</v>
      </c>
      <c r="E279" s="4"/>
      <c r="F279" s="4"/>
      <c r="L279" s="1550" t="s">
        <v>2667</v>
      </c>
      <c r="M279" s="1550"/>
      <c r="N279" s="1550"/>
      <c r="O279" s="1550"/>
      <c r="P279" s="1550"/>
      <c r="Q279" s="1550"/>
      <c r="R279" s="1550"/>
      <c r="S279" s="1550"/>
      <c r="T279" s="1550"/>
      <c r="U279" s="1550"/>
      <c r="V279" s="1550"/>
      <c r="W279" s="1550"/>
      <c r="X279" s="1550"/>
      <c r="Y279" s="1550"/>
      <c r="Z279" s="1550"/>
      <c r="AA279" s="1550"/>
      <c r="AB279" s="1550"/>
      <c r="AC279" s="1550"/>
      <c r="AD279" s="1550"/>
      <c r="AF279" s="4"/>
      <c r="AG279" s="4"/>
      <c r="AH279" s="4"/>
      <c r="AI279" s="4"/>
      <c r="AJ279" s="4"/>
      <c r="AU279" s="3"/>
      <c r="AV279" s="3"/>
      <c r="AW279" s="3"/>
      <c r="AX279" s="3"/>
      <c r="AY279" s="3"/>
    </row>
    <row r="280" spans="1:51" ht="13" customHeight="1">
      <c r="D280" s="3" t="s">
        <v>624</v>
      </c>
      <c r="E280" s="3"/>
      <c r="F280" s="3"/>
      <c r="G280" s="3"/>
      <c r="H280" s="3"/>
      <c r="I280" s="3"/>
      <c r="L280" s="1522" t="s">
        <v>2620</v>
      </c>
      <c r="M280" s="1522"/>
      <c r="N280" s="1522"/>
      <c r="O280" s="1522"/>
      <c r="P280" s="1522"/>
      <c r="Q280" s="1522"/>
      <c r="R280" s="1522"/>
      <c r="S280" s="1522"/>
      <c r="T280" s="1522"/>
      <c r="U280" s="1522"/>
      <c r="V280" s="1522"/>
      <c r="W280" s="1522"/>
      <c r="X280" s="1522"/>
      <c r="Y280" s="1522"/>
      <c r="Z280" s="1522"/>
      <c r="AA280" s="1522"/>
      <c r="AB280" s="1522"/>
      <c r="AC280" s="1522"/>
      <c r="AD280" s="1522"/>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540" t="s">
        <v>542</v>
      </c>
      <c r="B282" s="1540"/>
      <c r="C282" s="1540"/>
      <c r="D282" s="1540"/>
      <c r="E282" s="1540"/>
      <c r="F282" s="1540"/>
      <c r="G282" s="1540"/>
      <c r="H282" s="1540"/>
      <c r="I282" s="1540"/>
      <c r="J282" s="1540"/>
      <c r="K282" s="1540"/>
      <c r="L282" s="1540"/>
      <c r="M282" s="1540"/>
      <c r="N282" s="1540"/>
      <c r="O282" s="1540"/>
      <c r="P282" s="1540"/>
      <c r="Q282" s="1540"/>
      <c r="R282" s="1540"/>
      <c r="S282" s="1540"/>
      <c r="T282" s="1540"/>
      <c r="U282" s="1540"/>
      <c r="V282" s="1540"/>
      <c r="W282" s="1540"/>
      <c r="X282" s="1540"/>
      <c r="Y282" s="1540"/>
      <c r="Z282" s="1540"/>
      <c r="AA282" s="1540"/>
      <c r="AB282" s="1540"/>
      <c r="AC282" s="1540"/>
      <c r="AD282" s="1540"/>
      <c r="AE282" s="1540"/>
      <c r="AF282" s="1540"/>
      <c r="AG282" s="1540"/>
      <c r="AH282" s="1540"/>
      <c r="AI282" s="1540"/>
      <c r="AJ282" s="1540"/>
      <c r="AK282" s="1540"/>
      <c r="AL282" s="1540"/>
      <c r="AM282" s="1540"/>
      <c r="AN282" s="1540"/>
      <c r="AO282" s="1540"/>
      <c r="AP282" s="1540"/>
      <c r="AQ282" s="1540"/>
      <c r="AR282" s="1540"/>
      <c r="AS282" s="1540"/>
      <c r="AT282" s="1540"/>
      <c r="AU282" s="95"/>
      <c r="AV282" s="95"/>
      <c r="AW282" s="95"/>
      <c r="AX282" s="95"/>
      <c r="AY282" s="95"/>
    </row>
    <row r="283" spans="1:51" ht="13" customHeight="1">
      <c r="A283" s="1540"/>
      <c r="B283" s="1540"/>
      <c r="C283" s="1540"/>
      <c r="D283" s="1540"/>
      <c r="E283" s="1540"/>
      <c r="F283" s="1540"/>
      <c r="G283" s="1540"/>
      <c r="H283" s="1540"/>
      <c r="I283" s="1540"/>
      <c r="J283" s="1540"/>
      <c r="K283" s="1540"/>
      <c r="L283" s="1540"/>
      <c r="M283" s="1540"/>
      <c r="N283" s="1540"/>
      <c r="O283" s="1540"/>
      <c r="P283" s="1540"/>
      <c r="Q283" s="1540"/>
      <c r="R283" s="1540"/>
      <c r="S283" s="1540"/>
      <c r="T283" s="1540"/>
      <c r="U283" s="1540"/>
      <c r="V283" s="1540"/>
      <c r="W283" s="1540"/>
      <c r="X283" s="1540"/>
      <c r="Y283" s="1540"/>
      <c r="Z283" s="1540"/>
      <c r="AA283" s="1540"/>
      <c r="AB283" s="1540"/>
      <c r="AC283" s="1540"/>
      <c r="AD283" s="1540"/>
      <c r="AE283" s="1540"/>
      <c r="AF283" s="1540"/>
      <c r="AG283" s="1540"/>
      <c r="AH283" s="1540"/>
      <c r="AI283" s="1540"/>
      <c r="AJ283" s="1540"/>
      <c r="AK283" s="1540"/>
      <c r="AL283" s="1540"/>
      <c r="AM283" s="1540"/>
      <c r="AN283" s="1540"/>
      <c r="AO283" s="1540"/>
      <c r="AP283" s="1540"/>
      <c r="AQ283" s="1540"/>
      <c r="AR283" s="1540"/>
      <c r="AS283" s="1540"/>
      <c r="AT283" s="1540"/>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536" t="s">
        <v>2702</v>
      </c>
      <c r="I287" s="1393"/>
      <c r="J287" s="1393"/>
      <c r="K287" s="1393"/>
      <c r="L287" s="1393"/>
      <c r="M287" s="1393"/>
      <c r="N287" s="1393"/>
      <c r="O287" s="1393"/>
      <c r="P287" s="1393"/>
      <c r="Q287" s="1393"/>
      <c r="R287" s="1393"/>
      <c r="T287" s="3" t="s">
        <v>568</v>
      </c>
      <c r="V287" s="3"/>
      <c r="W287" s="3"/>
      <c r="X287" s="3"/>
      <c r="Y287" s="3"/>
      <c r="AA287" s="1393" t="s">
        <v>2670</v>
      </c>
      <c r="AB287" s="1393"/>
      <c r="AC287" s="1393"/>
      <c r="AD287" s="1393"/>
      <c r="AE287" s="1393"/>
      <c r="AF287" s="1393"/>
      <c r="AG287" s="1393"/>
      <c r="AH287" s="1393"/>
      <c r="AI287" s="1393"/>
      <c r="AJ287" s="1393"/>
      <c r="AK287" s="1393"/>
    </row>
    <row r="288" spans="1:51" ht="13" customHeight="1">
      <c r="B288" s="3" t="s">
        <v>472</v>
      </c>
      <c r="C288" s="3"/>
      <c r="D288" s="3"/>
      <c r="E288" s="3"/>
      <c r="F288" s="3"/>
      <c r="H288" s="1400" t="s">
        <v>2703</v>
      </c>
      <c r="I288" s="1400"/>
      <c r="J288" s="1400"/>
      <c r="K288" s="1400"/>
      <c r="L288" s="1400"/>
      <c r="M288" s="1400"/>
      <c r="N288" s="1400"/>
      <c r="O288" s="1400"/>
      <c r="P288" s="1400"/>
      <c r="Q288" s="1400"/>
      <c r="R288" s="1400"/>
      <c r="T288" s="3" t="s">
        <v>472</v>
      </c>
      <c r="V288" s="3"/>
      <c r="W288" s="3"/>
      <c r="X288" s="3"/>
      <c r="Y288" s="3"/>
      <c r="AA288" s="1400" t="s">
        <v>2671</v>
      </c>
      <c r="AB288" s="1400"/>
      <c r="AC288" s="1400"/>
      <c r="AD288" s="1400"/>
      <c r="AE288" s="1400"/>
      <c r="AF288" s="1400"/>
      <c r="AG288" s="1400"/>
      <c r="AH288" s="1400"/>
      <c r="AI288" s="1400"/>
      <c r="AJ288" s="1400"/>
      <c r="AK288" s="1400"/>
    </row>
    <row r="289" spans="2:37" ht="13" customHeight="1">
      <c r="B289" s="3" t="s">
        <v>473</v>
      </c>
      <c r="C289" s="3"/>
      <c r="D289" s="3"/>
      <c r="E289" s="3"/>
      <c r="F289" s="3"/>
      <c r="H289" s="1400" t="s">
        <v>2621</v>
      </c>
      <c r="I289" s="1400"/>
      <c r="J289" s="1400"/>
      <c r="K289" s="1400"/>
      <c r="L289" s="1400"/>
      <c r="M289" s="1400"/>
      <c r="N289" s="1400"/>
      <c r="O289" s="1400"/>
      <c r="P289" s="1400"/>
      <c r="Q289" s="1400"/>
      <c r="R289" s="1400"/>
      <c r="T289" s="3" t="s">
        <v>75</v>
      </c>
      <c r="V289" s="3"/>
      <c r="W289" s="3"/>
      <c r="X289" s="3"/>
      <c r="Y289" s="3"/>
      <c r="AA289" s="1400" t="s">
        <v>2672</v>
      </c>
      <c r="AB289" s="1400"/>
      <c r="AC289" s="1400"/>
      <c r="AD289" s="1400"/>
      <c r="AE289" s="1400"/>
      <c r="AF289" s="1400"/>
      <c r="AG289" s="1400"/>
      <c r="AH289" s="1400"/>
      <c r="AI289" s="1400"/>
      <c r="AJ289" s="1400"/>
      <c r="AK289" s="1400"/>
    </row>
    <row r="290" spans="2:37" ht="13" customHeight="1">
      <c r="B290" s="3" t="s">
        <v>87</v>
      </c>
      <c r="C290" s="3"/>
      <c r="D290" s="3"/>
      <c r="E290" s="3"/>
      <c r="F290" s="3"/>
      <c r="H290" s="1400" t="s">
        <v>2665</v>
      </c>
      <c r="I290" s="1400"/>
      <c r="J290" s="1400"/>
      <c r="K290" s="1400"/>
      <c r="L290" s="1400"/>
      <c r="M290" s="1400"/>
      <c r="N290" s="1400"/>
      <c r="O290" s="1400"/>
      <c r="P290" s="1400"/>
      <c r="Q290" s="1400"/>
      <c r="R290" s="1400"/>
      <c r="T290" s="3" t="s">
        <v>87</v>
      </c>
      <c r="V290" s="3"/>
      <c r="W290" s="3"/>
      <c r="X290" s="3"/>
      <c r="Y290" s="3"/>
      <c r="AA290" s="1400" t="s">
        <v>2719</v>
      </c>
      <c r="AB290" s="1400"/>
      <c r="AC290" s="1400"/>
      <c r="AD290" s="1400"/>
      <c r="AE290" s="1400"/>
      <c r="AF290" s="1400"/>
      <c r="AG290" s="1400"/>
      <c r="AH290" s="1400"/>
      <c r="AI290" s="1400"/>
      <c r="AJ290" s="1400"/>
      <c r="AK290" s="1400"/>
    </row>
    <row r="291" spans="2:37" ht="13" customHeight="1">
      <c r="B291" s="3" t="s">
        <v>88</v>
      </c>
      <c r="C291" s="3"/>
      <c r="D291" s="3"/>
      <c r="E291" s="3"/>
      <c r="F291" s="3"/>
      <c r="G291" s="3"/>
      <c r="H291" s="1529" t="s">
        <v>2666</v>
      </c>
      <c r="I291" s="1530"/>
      <c r="J291" s="1530"/>
      <c r="K291" s="1530"/>
      <c r="L291" s="1530"/>
      <c r="M291" s="1530"/>
      <c r="N291" s="4" t="s">
        <v>206</v>
      </c>
      <c r="O291" s="4"/>
      <c r="P291" s="1521"/>
      <c r="Q291" s="1521"/>
      <c r="R291" s="1521"/>
      <c r="S291" s="3"/>
      <c r="T291" s="3" t="s">
        <v>88</v>
      </c>
      <c r="V291" s="3"/>
      <c r="W291" s="3"/>
      <c r="X291" s="3"/>
      <c r="Y291" s="3"/>
      <c r="AA291" s="1529" t="s">
        <v>2673</v>
      </c>
      <c r="AB291" s="1530"/>
      <c r="AC291" s="1530"/>
      <c r="AD291" s="1530"/>
      <c r="AE291" s="1530"/>
      <c r="AF291" s="1530"/>
      <c r="AG291" s="4" t="s">
        <v>206</v>
      </c>
      <c r="AH291" s="4"/>
      <c r="AI291" s="1521"/>
      <c r="AJ291" s="1521"/>
      <c r="AK291" s="1521"/>
    </row>
    <row r="292" spans="2:37" ht="13" customHeight="1">
      <c r="B292" s="3" t="s">
        <v>89</v>
      </c>
      <c r="C292" s="3"/>
      <c r="D292" s="3"/>
      <c r="E292" s="3"/>
      <c r="F292" s="3"/>
      <c r="G292" s="3"/>
      <c r="H292" s="1462"/>
      <c r="I292" s="1462"/>
      <c r="J292" s="1462"/>
      <c r="K292" s="1462"/>
      <c r="L292" s="1462"/>
      <c r="M292" s="1462"/>
      <c r="N292" s="4"/>
      <c r="O292" s="4"/>
      <c r="P292" s="35"/>
      <c r="Q292" s="35"/>
      <c r="R292" s="35"/>
      <c r="S292" s="3"/>
      <c r="T292" s="3" t="s">
        <v>89</v>
      </c>
      <c r="V292" s="3"/>
      <c r="W292" s="3"/>
      <c r="X292" s="3"/>
      <c r="Y292" s="3"/>
      <c r="AA292" s="1462"/>
      <c r="AB292" s="1462"/>
      <c r="AC292" s="1462"/>
      <c r="AD292" s="1462"/>
      <c r="AE292" s="1462"/>
      <c r="AF292" s="1462"/>
      <c r="AG292" s="4"/>
      <c r="AH292" s="4"/>
      <c r="AI292" s="35"/>
      <c r="AJ292" s="35"/>
      <c r="AK292" s="35"/>
    </row>
    <row r="293" spans="2:37" ht="13" customHeight="1">
      <c r="B293" s="3" t="s">
        <v>76</v>
      </c>
      <c r="C293" s="3"/>
      <c r="D293" s="3"/>
      <c r="E293" s="3"/>
      <c r="F293" s="3"/>
      <c r="G293" s="3"/>
      <c r="H293" s="1400" t="s">
        <v>2667</v>
      </c>
      <c r="I293" s="1400"/>
      <c r="J293" s="1400"/>
      <c r="K293" s="1400"/>
      <c r="L293" s="1400"/>
      <c r="M293" s="1400"/>
      <c r="N293" s="1393"/>
      <c r="O293" s="1393"/>
      <c r="P293" s="1393"/>
      <c r="Q293" s="1393"/>
      <c r="R293" s="1393"/>
      <c r="S293" s="3"/>
      <c r="T293" s="3" t="s">
        <v>76</v>
      </c>
      <c r="V293" s="3"/>
      <c r="W293" s="3"/>
      <c r="X293" s="3"/>
      <c r="Y293" s="3"/>
      <c r="AA293" s="1400" t="s">
        <v>2720</v>
      </c>
      <c r="AB293" s="1400"/>
      <c r="AC293" s="1400"/>
      <c r="AD293" s="1400"/>
      <c r="AE293" s="1400"/>
      <c r="AF293" s="1400"/>
      <c r="AG293" s="1393"/>
      <c r="AH293" s="1393"/>
      <c r="AI293" s="1393"/>
      <c r="AJ293" s="1393"/>
      <c r="AK293" s="1393"/>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93" t="s">
        <v>2622</v>
      </c>
      <c r="I295" s="1393"/>
      <c r="J295" s="1393"/>
      <c r="K295" s="1393"/>
      <c r="L295" s="1393"/>
      <c r="M295" s="1393"/>
      <c r="N295" s="1393"/>
      <c r="O295" s="1393"/>
      <c r="P295" s="1393"/>
      <c r="Q295" s="1393"/>
      <c r="R295" s="1393"/>
      <c r="T295" s="3" t="s">
        <v>364</v>
      </c>
      <c r="V295" s="3"/>
      <c r="W295" s="3"/>
      <c r="X295" s="3"/>
      <c r="Y295" s="3"/>
      <c r="AA295" s="1393" t="s">
        <v>2721</v>
      </c>
      <c r="AB295" s="1393"/>
      <c r="AC295" s="1393"/>
      <c r="AD295" s="1393"/>
      <c r="AE295" s="1393"/>
      <c r="AF295" s="1393"/>
      <c r="AG295" s="1393"/>
      <c r="AH295" s="1393"/>
      <c r="AI295" s="1393"/>
      <c r="AJ295" s="1393"/>
      <c r="AK295" s="1393"/>
    </row>
    <row r="296" spans="2:37" ht="13" customHeight="1">
      <c r="B296" s="3" t="s">
        <v>472</v>
      </c>
      <c r="C296" s="3"/>
      <c r="D296" s="3"/>
      <c r="E296" s="3"/>
      <c r="F296" s="3"/>
      <c r="H296" s="1400" t="s">
        <v>2624</v>
      </c>
      <c r="I296" s="1400"/>
      <c r="J296" s="1400"/>
      <c r="K296" s="1400"/>
      <c r="L296" s="1400"/>
      <c r="M296" s="1400"/>
      <c r="N296" s="1400"/>
      <c r="O296" s="1400"/>
      <c r="P296" s="1400"/>
      <c r="Q296" s="1400"/>
      <c r="R296" s="1400"/>
      <c r="T296" s="3" t="s">
        <v>472</v>
      </c>
      <c r="V296" s="3"/>
      <c r="W296" s="3"/>
      <c r="X296" s="3"/>
      <c r="Y296" s="3"/>
      <c r="AA296" s="1400" t="s">
        <v>2722</v>
      </c>
      <c r="AB296" s="1400"/>
      <c r="AC296" s="1400"/>
      <c r="AD296" s="1400"/>
      <c r="AE296" s="1400"/>
      <c r="AF296" s="1400"/>
      <c r="AG296" s="1400"/>
      <c r="AH296" s="1400"/>
      <c r="AI296" s="1400"/>
      <c r="AJ296" s="1400"/>
      <c r="AK296" s="1400"/>
    </row>
    <row r="297" spans="2:37" ht="13" customHeight="1">
      <c r="B297" s="3" t="s">
        <v>473</v>
      </c>
      <c r="C297" s="3"/>
      <c r="D297" s="3"/>
      <c r="E297" s="3"/>
      <c r="F297" s="3"/>
      <c r="H297" s="1400" t="s">
        <v>2623</v>
      </c>
      <c r="I297" s="1400"/>
      <c r="J297" s="1400"/>
      <c r="K297" s="1400"/>
      <c r="L297" s="1400"/>
      <c r="M297" s="1400"/>
      <c r="N297" s="1400"/>
      <c r="O297" s="1400"/>
      <c r="P297" s="1400"/>
      <c r="Q297" s="1400"/>
      <c r="R297" s="1400"/>
      <c r="T297" s="3" t="s">
        <v>75</v>
      </c>
      <c r="V297" s="3"/>
      <c r="W297" s="3"/>
      <c r="X297" s="3"/>
      <c r="Y297" s="3"/>
      <c r="AA297" s="1400" t="s">
        <v>2621</v>
      </c>
      <c r="AB297" s="1400"/>
      <c r="AC297" s="1400"/>
      <c r="AD297" s="1400"/>
      <c r="AE297" s="1400"/>
      <c r="AF297" s="1400"/>
      <c r="AG297" s="1400"/>
      <c r="AH297" s="1400"/>
      <c r="AI297" s="1400"/>
      <c r="AJ297" s="1400"/>
      <c r="AK297" s="1400"/>
    </row>
    <row r="298" spans="2:37" ht="13" customHeight="1">
      <c r="B298" s="3" t="s">
        <v>87</v>
      </c>
      <c r="C298" s="3"/>
      <c r="D298" s="3"/>
      <c r="E298" s="3"/>
      <c r="F298" s="3"/>
      <c r="H298" s="1522" t="s">
        <v>2701</v>
      </c>
      <c r="I298" s="1400"/>
      <c r="J298" s="1400"/>
      <c r="K298" s="1400"/>
      <c r="L298" s="1400"/>
      <c r="M298" s="1400"/>
      <c r="N298" s="1400"/>
      <c r="O298" s="1400"/>
      <c r="P298" s="1400"/>
      <c r="Q298" s="1400"/>
      <c r="R298" s="1400"/>
      <c r="T298" s="3" t="s">
        <v>87</v>
      </c>
      <c r="V298" s="3"/>
      <c r="W298" s="3"/>
      <c r="X298" s="3"/>
      <c r="Y298" s="3"/>
      <c r="AA298" s="1400" t="s">
        <v>2665</v>
      </c>
      <c r="AB298" s="1400"/>
      <c r="AC298" s="1400"/>
      <c r="AD298" s="1400"/>
      <c r="AE298" s="1400"/>
      <c r="AF298" s="1400"/>
      <c r="AG298" s="1400"/>
      <c r="AH298" s="1400"/>
      <c r="AI298" s="1400"/>
      <c r="AJ298" s="1400"/>
      <c r="AK298" s="1400"/>
    </row>
    <row r="299" spans="2:37" ht="13" customHeight="1">
      <c r="B299" s="3" t="s">
        <v>88</v>
      </c>
      <c r="C299" s="3"/>
      <c r="D299" s="3"/>
      <c r="E299" s="3"/>
      <c r="F299" s="3"/>
      <c r="G299" s="3"/>
      <c r="H299" s="1529" t="s">
        <v>2625</v>
      </c>
      <c r="I299" s="1530"/>
      <c r="J299" s="1530"/>
      <c r="K299" s="1530"/>
      <c r="L299" s="1530"/>
      <c r="M299" s="1530"/>
      <c r="N299" s="4" t="s">
        <v>206</v>
      </c>
      <c r="O299" s="4"/>
      <c r="P299" s="1521"/>
      <c r="Q299" s="1521"/>
      <c r="R299" s="1521"/>
      <c r="S299" s="3"/>
      <c r="T299" s="3" t="s">
        <v>88</v>
      </c>
      <c r="V299" s="3"/>
      <c r="W299" s="3"/>
      <c r="X299" s="3"/>
      <c r="Y299" s="3"/>
      <c r="AA299" s="1530" t="s">
        <v>2666</v>
      </c>
      <c r="AB299" s="1530"/>
      <c r="AC299" s="1530"/>
      <c r="AD299" s="1530"/>
      <c r="AE299" s="1530"/>
      <c r="AF299" s="1530"/>
      <c r="AG299" s="4" t="s">
        <v>206</v>
      </c>
      <c r="AH299" s="4"/>
      <c r="AI299" s="1521"/>
      <c r="AJ299" s="1521"/>
      <c r="AK299" s="1521"/>
    </row>
    <row r="300" spans="2:37" ht="13" customHeight="1">
      <c r="B300" s="3" t="s">
        <v>89</v>
      </c>
      <c r="C300" s="3"/>
      <c r="D300" s="3"/>
      <c r="E300" s="3"/>
      <c r="F300" s="3"/>
      <c r="G300" s="3"/>
      <c r="H300" s="1547" t="s">
        <v>2626</v>
      </c>
      <c r="I300" s="1462"/>
      <c r="J300" s="1462"/>
      <c r="K300" s="1462"/>
      <c r="L300" s="1462"/>
      <c r="M300" s="1462"/>
      <c r="N300" s="4"/>
      <c r="O300" s="4"/>
      <c r="P300" s="35"/>
      <c r="Q300" s="35"/>
      <c r="R300" s="35"/>
      <c r="S300" s="3"/>
      <c r="T300" s="3" t="s">
        <v>89</v>
      </c>
      <c r="V300" s="3"/>
      <c r="W300" s="3"/>
      <c r="X300" s="3"/>
      <c r="Y300" s="3"/>
      <c r="AA300" s="1462"/>
      <c r="AB300" s="1462"/>
      <c r="AC300" s="1462"/>
      <c r="AD300" s="1462"/>
      <c r="AE300" s="1462"/>
      <c r="AF300" s="1462"/>
      <c r="AG300" s="4"/>
      <c r="AH300" s="4"/>
      <c r="AI300" s="35"/>
      <c r="AJ300" s="35"/>
      <c r="AK300" s="35"/>
    </row>
    <row r="301" spans="2:37" ht="13" customHeight="1">
      <c r="B301" s="3" t="s">
        <v>76</v>
      </c>
      <c r="C301" s="3"/>
      <c r="D301" s="3"/>
      <c r="E301" s="3"/>
      <c r="F301" s="3"/>
      <c r="G301" s="3"/>
      <c r="H301" s="1400" t="s">
        <v>2627</v>
      </c>
      <c r="I301" s="1400"/>
      <c r="J301" s="1400"/>
      <c r="K301" s="1400"/>
      <c r="L301" s="1400"/>
      <c r="M301" s="1400"/>
      <c r="N301" s="1393"/>
      <c r="O301" s="1393"/>
      <c r="P301" s="1393"/>
      <c r="Q301" s="1393"/>
      <c r="R301" s="1393"/>
      <c r="S301" s="3"/>
      <c r="T301" s="3" t="s">
        <v>76</v>
      </c>
      <c r="V301" s="3"/>
      <c r="W301" s="3"/>
      <c r="X301" s="3"/>
      <c r="Y301" s="3"/>
      <c r="AA301" s="1400" t="s">
        <v>2667</v>
      </c>
      <c r="AB301" s="1400"/>
      <c r="AC301" s="1400"/>
      <c r="AD301" s="1400"/>
      <c r="AE301" s="1400"/>
      <c r="AF301" s="1400"/>
      <c r="AG301" s="1393"/>
      <c r="AH301" s="1393"/>
      <c r="AI301" s="1393"/>
      <c r="AJ301" s="1393"/>
      <c r="AK301" s="1393"/>
    </row>
    <row r="302" spans="2:37" ht="13" customHeight="1"/>
    <row r="303" spans="2:37" ht="13" customHeight="1">
      <c r="B303" s="3" t="s">
        <v>77</v>
      </c>
      <c r="C303" s="3"/>
      <c r="D303" s="3"/>
      <c r="E303" s="3"/>
      <c r="F303" s="3"/>
      <c r="H303" s="1393" t="s">
        <v>2628</v>
      </c>
      <c r="I303" s="1393"/>
      <c r="J303" s="1393"/>
      <c r="K303" s="1393"/>
      <c r="L303" s="1393"/>
      <c r="M303" s="1393"/>
      <c r="N303" s="1393"/>
      <c r="O303" s="1393"/>
      <c r="P303" s="1393"/>
      <c r="Q303" s="1393"/>
      <c r="R303" s="1393"/>
      <c r="T303" s="4" t="s">
        <v>878</v>
      </c>
      <c r="V303" s="3"/>
      <c r="W303" s="3"/>
      <c r="X303" s="3"/>
      <c r="Y303" s="3"/>
      <c r="AA303" s="1393"/>
      <c r="AB303" s="1393"/>
      <c r="AC303" s="1393"/>
      <c r="AD303" s="1393"/>
      <c r="AE303" s="1393"/>
      <c r="AF303" s="1393"/>
      <c r="AG303" s="1393"/>
      <c r="AH303" s="1393"/>
      <c r="AI303" s="1393"/>
      <c r="AJ303" s="1393"/>
      <c r="AK303" s="1393"/>
    </row>
    <row r="304" spans="2:37" ht="13" customHeight="1">
      <c r="B304" s="3" t="s">
        <v>472</v>
      </c>
      <c r="C304" s="3"/>
      <c r="D304" s="3"/>
      <c r="E304" s="3"/>
      <c r="F304" s="3"/>
      <c r="H304" s="1400" t="s">
        <v>2629</v>
      </c>
      <c r="I304" s="1400"/>
      <c r="J304" s="1400"/>
      <c r="K304" s="1400"/>
      <c r="L304" s="1400"/>
      <c r="M304" s="1400"/>
      <c r="N304" s="1400"/>
      <c r="O304" s="1400"/>
      <c r="P304" s="1400"/>
      <c r="Q304" s="1400"/>
      <c r="R304" s="1400"/>
      <c r="T304" s="3" t="s">
        <v>472</v>
      </c>
      <c r="V304" s="3"/>
      <c r="W304" s="3"/>
      <c r="X304" s="3"/>
      <c r="Y304" s="3"/>
      <c r="AA304" s="1400"/>
      <c r="AB304" s="1400"/>
      <c r="AC304" s="1400"/>
      <c r="AD304" s="1400"/>
      <c r="AE304" s="1400"/>
      <c r="AF304" s="1400"/>
      <c r="AG304" s="1400"/>
      <c r="AH304" s="1400"/>
      <c r="AI304" s="1400"/>
      <c r="AJ304" s="1400"/>
      <c r="AK304" s="1400"/>
    </row>
    <row r="305" spans="2:37" ht="13" customHeight="1">
      <c r="B305" s="3" t="s">
        <v>473</v>
      </c>
      <c r="C305" s="3"/>
      <c r="D305" s="3"/>
      <c r="E305" s="3"/>
      <c r="F305" s="3"/>
      <c r="H305" s="1400" t="s">
        <v>2630</v>
      </c>
      <c r="I305" s="1400"/>
      <c r="J305" s="1400"/>
      <c r="K305" s="1400"/>
      <c r="L305" s="1400"/>
      <c r="M305" s="1400"/>
      <c r="N305" s="1400"/>
      <c r="O305" s="1400"/>
      <c r="P305" s="1400"/>
      <c r="Q305" s="1400"/>
      <c r="R305" s="1400"/>
      <c r="T305" s="3" t="s">
        <v>75</v>
      </c>
      <c r="V305" s="3"/>
      <c r="W305" s="3"/>
      <c r="X305" s="3"/>
      <c r="Y305" s="3"/>
      <c r="AA305" s="1400"/>
      <c r="AB305" s="1400"/>
      <c r="AC305" s="1400"/>
      <c r="AD305" s="1400"/>
      <c r="AE305" s="1400"/>
      <c r="AF305" s="1400"/>
      <c r="AG305" s="1400"/>
      <c r="AH305" s="1400"/>
      <c r="AI305" s="1400"/>
      <c r="AJ305" s="1400"/>
      <c r="AK305" s="1400"/>
    </row>
    <row r="306" spans="2:37" ht="13" customHeight="1">
      <c r="B306" s="3" t="s">
        <v>87</v>
      </c>
      <c r="C306" s="3"/>
      <c r="D306" s="3"/>
      <c r="E306" s="3"/>
      <c r="F306" s="3"/>
      <c r="H306" s="1400" t="s">
        <v>2631</v>
      </c>
      <c r="I306" s="1400"/>
      <c r="J306" s="1400"/>
      <c r="K306" s="1400"/>
      <c r="L306" s="1400"/>
      <c r="M306" s="1400"/>
      <c r="N306" s="1400"/>
      <c r="O306" s="1400"/>
      <c r="P306" s="1400"/>
      <c r="Q306" s="1400"/>
      <c r="R306" s="1400"/>
      <c r="T306" s="3" t="s">
        <v>87</v>
      </c>
      <c r="V306" s="3"/>
      <c r="W306" s="3"/>
      <c r="X306" s="3"/>
      <c r="Y306" s="3"/>
      <c r="AA306" s="1400"/>
      <c r="AB306" s="1400"/>
      <c r="AC306" s="1400"/>
      <c r="AD306" s="1400"/>
      <c r="AE306" s="1400"/>
      <c r="AF306" s="1400"/>
      <c r="AG306" s="1400"/>
      <c r="AH306" s="1400"/>
      <c r="AI306" s="1400"/>
      <c r="AJ306" s="1400"/>
      <c r="AK306" s="1400"/>
    </row>
    <row r="307" spans="2:37" ht="13" customHeight="1">
      <c r="B307" s="3" t="s">
        <v>88</v>
      </c>
      <c r="C307" s="3"/>
      <c r="D307" s="3"/>
      <c r="E307" s="3"/>
      <c r="F307" s="3"/>
      <c r="G307" s="3"/>
      <c r="H307" s="1529" t="s">
        <v>2632</v>
      </c>
      <c r="I307" s="1530"/>
      <c r="J307" s="1530"/>
      <c r="K307" s="1530"/>
      <c r="L307" s="1530"/>
      <c r="M307" s="1530"/>
      <c r="N307" s="4" t="s">
        <v>206</v>
      </c>
      <c r="O307" s="4"/>
      <c r="P307" s="1521"/>
      <c r="Q307" s="1521"/>
      <c r="R307" s="1521"/>
      <c r="S307" s="3"/>
      <c r="T307" s="3" t="s">
        <v>88</v>
      </c>
      <c r="V307" s="3"/>
      <c r="W307" s="3"/>
      <c r="X307" s="3"/>
      <c r="Y307" s="3"/>
      <c r="AA307" s="1530"/>
      <c r="AB307" s="1530"/>
      <c r="AC307" s="1530"/>
      <c r="AD307" s="1530"/>
      <c r="AE307" s="1530"/>
      <c r="AF307" s="1530"/>
      <c r="AG307" s="4" t="s">
        <v>206</v>
      </c>
      <c r="AH307" s="4"/>
      <c r="AI307" s="1521"/>
      <c r="AJ307" s="1521"/>
      <c r="AK307" s="1521"/>
    </row>
    <row r="308" spans="2:37" ht="13" customHeight="1">
      <c r="B308" s="3" t="s">
        <v>89</v>
      </c>
      <c r="C308" s="3"/>
      <c r="D308" s="3"/>
      <c r="E308" s="3"/>
      <c r="F308" s="3"/>
      <c r="G308" s="3"/>
      <c r="H308" s="1547" t="s">
        <v>2633</v>
      </c>
      <c r="I308" s="1462"/>
      <c r="J308" s="1462"/>
      <c r="K308" s="1462"/>
      <c r="L308" s="1462"/>
      <c r="M308" s="1462"/>
      <c r="N308" s="4"/>
      <c r="O308" s="4"/>
      <c r="P308" s="35"/>
      <c r="Q308" s="35"/>
      <c r="R308" s="35"/>
      <c r="S308" s="3"/>
      <c r="T308" s="3" t="s">
        <v>89</v>
      </c>
      <c r="V308" s="3"/>
      <c r="W308" s="3"/>
      <c r="X308" s="3"/>
      <c r="Y308" s="3"/>
      <c r="AA308" s="1462"/>
      <c r="AB308" s="1462"/>
      <c r="AC308" s="1462"/>
      <c r="AD308" s="1462"/>
      <c r="AE308" s="1462"/>
      <c r="AF308" s="1462"/>
      <c r="AG308" s="4"/>
      <c r="AH308" s="4"/>
      <c r="AI308" s="35"/>
      <c r="AJ308" s="35"/>
      <c r="AK308" s="35"/>
    </row>
    <row r="309" spans="2:37" ht="13" customHeight="1">
      <c r="B309" s="3" t="s">
        <v>76</v>
      </c>
      <c r="C309" s="3"/>
      <c r="D309" s="3"/>
      <c r="E309" s="3"/>
      <c r="F309" s="3"/>
      <c r="G309" s="3"/>
      <c r="H309" s="1400" t="s">
        <v>2634</v>
      </c>
      <c r="I309" s="1400"/>
      <c r="J309" s="1400"/>
      <c r="K309" s="1400"/>
      <c r="L309" s="1400"/>
      <c r="M309" s="1400"/>
      <c r="N309" s="1393"/>
      <c r="O309" s="1393"/>
      <c r="P309" s="1393"/>
      <c r="Q309" s="1393"/>
      <c r="R309" s="1393"/>
      <c r="S309" s="3"/>
      <c r="T309" s="3" t="s">
        <v>76</v>
      </c>
      <c r="V309" s="3"/>
      <c r="W309" s="3"/>
      <c r="X309" s="3"/>
      <c r="Y309" s="3"/>
      <c r="AA309" s="1400"/>
      <c r="AB309" s="1400"/>
      <c r="AC309" s="1400"/>
      <c r="AD309" s="1400"/>
      <c r="AE309" s="1400"/>
      <c r="AF309" s="1400"/>
      <c r="AG309" s="1393"/>
      <c r="AH309" s="1393"/>
      <c r="AI309" s="1393"/>
      <c r="AJ309" s="1393"/>
      <c r="AK309" s="1393"/>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393" t="s">
        <v>2628</v>
      </c>
      <c r="I311" s="1393"/>
      <c r="J311" s="1393"/>
      <c r="K311" s="1393"/>
      <c r="L311" s="1393"/>
      <c r="M311" s="1393"/>
      <c r="N311" s="1393"/>
      <c r="O311" s="1393"/>
      <c r="P311" s="1393"/>
      <c r="Q311" s="1393"/>
      <c r="R311" s="1393"/>
      <c r="S311" s="3"/>
      <c r="T311" s="3" t="s">
        <v>365</v>
      </c>
      <c r="V311" s="3"/>
      <c r="W311" s="3"/>
      <c r="X311" s="3"/>
      <c r="Y311" s="3"/>
      <c r="AA311" s="1393" t="s">
        <v>2692</v>
      </c>
      <c r="AB311" s="1393"/>
      <c r="AC311" s="1393"/>
      <c r="AD311" s="1393"/>
      <c r="AE311" s="1393"/>
      <c r="AF311" s="1393"/>
      <c r="AG311" s="1393"/>
      <c r="AH311" s="1393"/>
      <c r="AI311" s="1393"/>
      <c r="AJ311" s="1393"/>
      <c r="AK311" s="1393"/>
    </row>
    <row r="312" spans="2:37" ht="13" customHeight="1">
      <c r="B312" s="3" t="s">
        <v>472</v>
      </c>
      <c r="C312" s="3"/>
      <c r="D312" s="3"/>
      <c r="E312" s="3"/>
      <c r="F312" s="3"/>
      <c r="H312" s="1400" t="s">
        <v>2629</v>
      </c>
      <c r="I312" s="1400"/>
      <c r="J312" s="1400"/>
      <c r="K312" s="1400"/>
      <c r="L312" s="1400"/>
      <c r="M312" s="1400"/>
      <c r="N312" s="1400"/>
      <c r="O312" s="1400"/>
      <c r="P312" s="1400"/>
      <c r="Q312" s="1400"/>
      <c r="R312" s="1400"/>
      <c r="S312" s="3"/>
      <c r="T312" s="3" t="s">
        <v>472</v>
      </c>
      <c r="V312" s="3"/>
      <c r="W312" s="3"/>
      <c r="X312" s="3"/>
      <c r="Y312" s="3"/>
      <c r="AA312" s="1522" t="s">
        <v>2688</v>
      </c>
      <c r="AB312" s="1400"/>
      <c r="AC312" s="1400"/>
      <c r="AD312" s="1400"/>
      <c r="AE312" s="1400"/>
      <c r="AF312" s="1400"/>
      <c r="AG312" s="1400"/>
      <c r="AH312" s="1400"/>
      <c r="AI312" s="1400"/>
      <c r="AJ312" s="1400"/>
      <c r="AK312" s="1400"/>
    </row>
    <row r="313" spans="2:37" ht="13" customHeight="1">
      <c r="B313" s="3" t="s">
        <v>473</v>
      </c>
      <c r="C313" s="3"/>
      <c r="D313" s="3"/>
      <c r="E313" s="3"/>
      <c r="F313" s="3"/>
      <c r="H313" s="1400" t="s">
        <v>2630</v>
      </c>
      <c r="I313" s="1400"/>
      <c r="J313" s="1400"/>
      <c r="K313" s="1400"/>
      <c r="L313" s="1400"/>
      <c r="M313" s="1400"/>
      <c r="N313" s="1400"/>
      <c r="O313" s="1400"/>
      <c r="P313" s="1400"/>
      <c r="Q313" s="1400"/>
      <c r="R313" s="1400"/>
      <c r="S313" s="3"/>
      <c r="T313" s="3" t="s">
        <v>75</v>
      </c>
      <c r="V313" s="3"/>
      <c r="W313" s="3"/>
      <c r="X313" s="3"/>
      <c r="Y313" s="3"/>
      <c r="AA313" s="1522" t="s">
        <v>2689</v>
      </c>
      <c r="AB313" s="1400"/>
      <c r="AC313" s="1400"/>
      <c r="AD313" s="1400"/>
      <c r="AE313" s="1400"/>
      <c r="AF313" s="1400"/>
      <c r="AG313" s="1400"/>
      <c r="AH313" s="1400"/>
      <c r="AI313" s="1400"/>
      <c r="AJ313" s="1400"/>
      <c r="AK313" s="1400"/>
    </row>
    <row r="314" spans="2:37" ht="13" customHeight="1">
      <c r="B314" s="3" t="s">
        <v>87</v>
      </c>
      <c r="C314" s="3"/>
      <c r="D314" s="3"/>
      <c r="E314" s="3"/>
      <c r="F314" s="3"/>
      <c r="H314" s="1400" t="s">
        <v>2631</v>
      </c>
      <c r="I314" s="1400"/>
      <c r="J314" s="1400"/>
      <c r="K314" s="1400"/>
      <c r="L314" s="1400"/>
      <c r="M314" s="1400"/>
      <c r="N314" s="1400"/>
      <c r="O314" s="1400"/>
      <c r="P314" s="1400"/>
      <c r="Q314" s="1400"/>
      <c r="R314" s="1400"/>
      <c r="S314" s="3"/>
      <c r="T314" s="3" t="s">
        <v>87</v>
      </c>
      <c r="V314" s="3"/>
      <c r="W314" s="3"/>
      <c r="X314" s="3"/>
      <c r="Y314" s="3"/>
      <c r="AA314" s="1522" t="s">
        <v>2690</v>
      </c>
      <c r="AB314" s="1400"/>
      <c r="AC314" s="1400"/>
      <c r="AD314" s="1400"/>
      <c r="AE314" s="1400"/>
      <c r="AF314" s="1400"/>
      <c r="AG314" s="1400"/>
      <c r="AH314" s="1400"/>
      <c r="AI314" s="1400"/>
      <c r="AJ314" s="1400"/>
      <c r="AK314" s="1400"/>
    </row>
    <row r="315" spans="2:37" ht="13" customHeight="1">
      <c r="B315" s="3" t="s">
        <v>88</v>
      </c>
      <c r="C315" s="3"/>
      <c r="D315" s="3"/>
      <c r="E315" s="3"/>
      <c r="F315" s="3"/>
      <c r="G315" s="3"/>
      <c r="H315" s="1530" t="s">
        <v>2632</v>
      </c>
      <c r="I315" s="1530"/>
      <c r="J315" s="1530"/>
      <c r="K315" s="1530"/>
      <c r="L315" s="1530"/>
      <c r="M315" s="1530"/>
      <c r="N315" s="4" t="s">
        <v>206</v>
      </c>
      <c r="O315" s="4"/>
      <c r="P315" s="1521"/>
      <c r="Q315" s="1521"/>
      <c r="R315" s="1521"/>
      <c r="S315" s="3"/>
      <c r="T315" s="3" t="s">
        <v>88</v>
      </c>
      <c r="V315" s="3"/>
      <c r="W315" s="3"/>
      <c r="X315" s="3"/>
      <c r="Y315" s="3"/>
      <c r="AA315" s="1529" t="s">
        <v>2691</v>
      </c>
      <c r="AB315" s="1529"/>
      <c r="AC315" s="1529"/>
      <c r="AD315" s="1529"/>
      <c r="AE315" s="1529"/>
      <c r="AF315" s="1529"/>
      <c r="AG315" s="4" t="s">
        <v>206</v>
      </c>
      <c r="AH315" s="4"/>
      <c r="AI315" s="1521"/>
      <c r="AJ315" s="1521"/>
      <c r="AK315" s="1521"/>
    </row>
    <row r="316" spans="2:37" ht="13" customHeight="1">
      <c r="B316" s="3" t="s">
        <v>89</v>
      </c>
      <c r="C316" s="3"/>
      <c r="D316" s="3"/>
      <c r="E316" s="3"/>
      <c r="F316" s="3"/>
      <c r="G316" s="3"/>
      <c r="H316" s="1462" t="s">
        <v>2633</v>
      </c>
      <c r="I316" s="1462"/>
      <c r="J316" s="1462"/>
      <c r="K316" s="1462"/>
      <c r="L316" s="1462"/>
      <c r="M316" s="1462"/>
      <c r="N316" s="4"/>
      <c r="O316" s="4"/>
      <c r="P316" s="35"/>
      <c r="Q316" s="35"/>
      <c r="R316" s="35"/>
      <c r="S316" s="3"/>
      <c r="T316" s="3" t="s">
        <v>89</v>
      </c>
      <c r="V316" s="3"/>
      <c r="W316" s="3"/>
      <c r="X316" s="3"/>
      <c r="Y316" s="3"/>
      <c r="AA316" s="1462"/>
      <c r="AB316" s="1462"/>
      <c r="AC316" s="1462"/>
      <c r="AD316" s="1462"/>
      <c r="AE316" s="1462"/>
      <c r="AF316" s="1462"/>
      <c r="AG316" s="4"/>
      <c r="AH316" s="4"/>
      <c r="AI316" s="35"/>
      <c r="AJ316" s="35"/>
      <c r="AK316" s="35"/>
    </row>
    <row r="317" spans="2:37" ht="13" customHeight="1">
      <c r="B317" s="3" t="s">
        <v>76</v>
      </c>
      <c r="C317" s="3"/>
      <c r="D317" s="3"/>
      <c r="E317" s="3"/>
      <c r="F317" s="3"/>
      <c r="G317" s="3"/>
      <c r="H317" s="1400" t="s">
        <v>2634</v>
      </c>
      <c r="I317" s="1400"/>
      <c r="J317" s="1400"/>
      <c r="K317" s="1400"/>
      <c r="L317" s="1400"/>
      <c r="M317" s="1400"/>
      <c r="N317" s="1393"/>
      <c r="O317" s="1393"/>
      <c r="P317" s="1393"/>
      <c r="Q317" s="1393"/>
      <c r="R317" s="1393"/>
      <c r="S317" s="3"/>
      <c r="T317" s="3" t="s">
        <v>76</v>
      </c>
      <c r="V317" s="3"/>
      <c r="W317" s="3"/>
      <c r="X317" s="3"/>
      <c r="Y317" s="3"/>
      <c r="AA317" s="1522" t="s">
        <v>2693</v>
      </c>
      <c r="AB317" s="1400"/>
      <c r="AC317" s="1400"/>
      <c r="AD317" s="1400"/>
      <c r="AE317" s="1400"/>
      <c r="AF317" s="1400"/>
      <c r="AG317" s="1393"/>
      <c r="AH317" s="1393"/>
      <c r="AI317" s="1393"/>
      <c r="AJ317" s="1393"/>
      <c r="AK317" s="1393"/>
    </row>
    <row r="318" spans="2:37" ht="13" customHeight="1"/>
    <row r="319" spans="2:37" ht="13" customHeight="1">
      <c r="B319" s="4" t="s">
        <v>908</v>
      </c>
      <c r="C319" s="3"/>
      <c r="D319" s="3"/>
      <c r="E319" s="3"/>
      <c r="F319" s="3"/>
      <c r="H319" s="1393" t="s">
        <v>2628</v>
      </c>
      <c r="I319" s="1393"/>
      <c r="J319" s="1393"/>
      <c r="K319" s="1393"/>
      <c r="L319" s="1393"/>
      <c r="M319" s="1393"/>
      <c r="N319" s="1393"/>
      <c r="O319" s="1393"/>
      <c r="P319" s="1393"/>
      <c r="Q319" s="1393"/>
      <c r="R319" s="1393"/>
      <c r="T319" s="3" t="s">
        <v>366</v>
      </c>
      <c r="V319" s="3"/>
      <c r="W319" s="3"/>
      <c r="X319" s="3"/>
      <c r="Y319" s="3"/>
      <c r="AA319" s="1393" t="s">
        <v>2628</v>
      </c>
      <c r="AB319" s="1393"/>
      <c r="AC319" s="1393"/>
      <c r="AD319" s="1393"/>
      <c r="AE319" s="1393"/>
      <c r="AF319" s="1393"/>
      <c r="AG319" s="1393"/>
      <c r="AH319" s="1393"/>
      <c r="AI319" s="1393"/>
      <c r="AJ319" s="1393"/>
      <c r="AK319" s="1393"/>
    </row>
    <row r="320" spans="2:37" ht="13" customHeight="1">
      <c r="B320" s="3" t="s">
        <v>472</v>
      </c>
      <c r="C320" s="3"/>
      <c r="D320" s="3"/>
      <c r="E320" s="3"/>
      <c r="F320" s="3"/>
      <c r="H320" s="1400" t="s">
        <v>2629</v>
      </c>
      <c r="I320" s="1400"/>
      <c r="J320" s="1400"/>
      <c r="K320" s="1400"/>
      <c r="L320" s="1400"/>
      <c r="M320" s="1400"/>
      <c r="N320" s="1400"/>
      <c r="O320" s="1400"/>
      <c r="P320" s="1400"/>
      <c r="Q320" s="1400"/>
      <c r="R320" s="1400"/>
      <c r="T320" s="3" t="s">
        <v>472</v>
      </c>
      <c r="V320" s="3"/>
      <c r="W320" s="3"/>
      <c r="X320" s="3"/>
      <c r="Y320" s="3"/>
      <c r="AA320" s="1400" t="s">
        <v>2641</v>
      </c>
      <c r="AB320" s="1400"/>
      <c r="AC320" s="1400"/>
      <c r="AD320" s="1400"/>
      <c r="AE320" s="1400"/>
      <c r="AF320" s="1400"/>
      <c r="AG320" s="1400"/>
      <c r="AH320" s="1400"/>
      <c r="AI320" s="1400"/>
      <c r="AJ320" s="1400"/>
      <c r="AK320" s="1400"/>
    </row>
    <row r="321" spans="2:37" ht="13" customHeight="1">
      <c r="B321" s="3" t="s">
        <v>473</v>
      </c>
      <c r="C321" s="3"/>
      <c r="D321" s="3"/>
      <c r="E321" s="3"/>
      <c r="F321" s="3"/>
      <c r="H321" s="1400" t="s">
        <v>2630</v>
      </c>
      <c r="I321" s="1400"/>
      <c r="J321" s="1400"/>
      <c r="K321" s="1400"/>
      <c r="L321" s="1400"/>
      <c r="M321" s="1400"/>
      <c r="N321" s="1400"/>
      <c r="O321" s="1400"/>
      <c r="P321" s="1400"/>
      <c r="Q321" s="1400"/>
      <c r="R321" s="1400"/>
      <c r="T321" s="3" t="s">
        <v>75</v>
      </c>
      <c r="V321" s="3"/>
      <c r="W321" s="3"/>
      <c r="X321" s="3"/>
      <c r="Y321" s="3"/>
      <c r="AA321" s="1400" t="s">
        <v>2642</v>
      </c>
      <c r="AB321" s="1400"/>
      <c r="AC321" s="1400"/>
      <c r="AD321" s="1400"/>
      <c r="AE321" s="1400"/>
      <c r="AF321" s="1400"/>
      <c r="AG321" s="1400"/>
      <c r="AH321" s="1400"/>
      <c r="AI321" s="1400"/>
      <c r="AJ321" s="1400"/>
      <c r="AK321" s="1400"/>
    </row>
    <row r="322" spans="2:37" ht="13" customHeight="1">
      <c r="B322" s="3" t="s">
        <v>87</v>
      </c>
      <c r="C322" s="3"/>
      <c r="D322" s="3"/>
      <c r="E322" s="3"/>
      <c r="F322" s="3"/>
      <c r="H322" s="1400" t="s">
        <v>2631</v>
      </c>
      <c r="I322" s="1400"/>
      <c r="J322" s="1400"/>
      <c r="K322" s="1400"/>
      <c r="L322" s="1400"/>
      <c r="M322" s="1400"/>
      <c r="N322" s="1400"/>
      <c r="O322" s="1400"/>
      <c r="P322" s="1400"/>
      <c r="Q322" s="1400"/>
      <c r="R322" s="1400"/>
      <c r="T322" s="3" t="s">
        <v>87</v>
      </c>
      <c r="V322" s="3"/>
      <c r="W322" s="3"/>
      <c r="X322" s="3"/>
      <c r="Y322" s="3"/>
      <c r="AA322" s="1400" t="s">
        <v>2643</v>
      </c>
      <c r="AB322" s="1400"/>
      <c r="AC322" s="1400"/>
      <c r="AD322" s="1400"/>
      <c r="AE322" s="1400"/>
      <c r="AF322" s="1400"/>
      <c r="AG322" s="1400"/>
      <c r="AH322" s="1400"/>
      <c r="AI322" s="1400"/>
      <c r="AJ322" s="1400"/>
      <c r="AK322" s="1400"/>
    </row>
    <row r="323" spans="2:37" ht="13" customHeight="1">
      <c r="B323" s="3" t="s">
        <v>88</v>
      </c>
      <c r="C323" s="3"/>
      <c r="D323" s="3"/>
      <c r="E323" s="3"/>
      <c r="F323" s="3"/>
      <c r="G323" s="3"/>
      <c r="H323" s="1530" t="s">
        <v>2632</v>
      </c>
      <c r="I323" s="1530"/>
      <c r="J323" s="1530"/>
      <c r="K323" s="1530"/>
      <c r="L323" s="1530"/>
      <c r="M323" s="1530"/>
      <c r="N323" s="4" t="s">
        <v>206</v>
      </c>
      <c r="O323" s="4"/>
      <c r="P323" s="1521"/>
      <c r="Q323" s="1521"/>
      <c r="R323" s="1521"/>
      <c r="S323" s="3"/>
      <c r="T323" s="3" t="s">
        <v>88</v>
      </c>
      <c r="V323" s="3"/>
      <c r="W323" s="3"/>
      <c r="X323" s="3"/>
      <c r="Y323" s="3"/>
      <c r="AA323" s="1530" t="s">
        <v>2644</v>
      </c>
      <c r="AB323" s="1530"/>
      <c r="AC323" s="1530"/>
      <c r="AD323" s="1530"/>
      <c r="AE323" s="1530"/>
      <c r="AF323" s="1530"/>
      <c r="AG323" s="4" t="s">
        <v>206</v>
      </c>
      <c r="AH323" s="4"/>
      <c r="AI323" s="1521"/>
      <c r="AJ323" s="1521"/>
      <c r="AK323" s="1521"/>
    </row>
    <row r="324" spans="2:37" ht="13" customHeight="1">
      <c r="B324" s="3" t="s">
        <v>89</v>
      </c>
      <c r="C324" s="3"/>
      <c r="D324" s="3"/>
      <c r="E324" s="3"/>
      <c r="F324" s="3"/>
      <c r="G324" s="3"/>
      <c r="H324" s="1462" t="s">
        <v>2633</v>
      </c>
      <c r="I324" s="1462"/>
      <c r="J324" s="1462"/>
      <c r="K324" s="1462"/>
      <c r="L324" s="1462"/>
      <c r="M324" s="1462"/>
      <c r="N324" s="4"/>
      <c r="O324" s="4"/>
      <c r="P324" s="35"/>
      <c r="Q324" s="35"/>
      <c r="R324" s="35"/>
      <c r="S324" s="3"/>
      <c r="T324" s="3" t="s">
        <v>89</v>
      </c>
      <c r="V324" s="3"/>
      <c r="W324" s="3"/>
      <c r="X324" s="3"/>
      <c r="Y324" s="3"/>
      <c r="AA324" s="1462"/>
      <c r="AB324" s="1462"/>
      <c r="AC324" s="1462"/>
      <c r="AD324" s="1462"/>
      <c r="AE324" s="1462"/>
      <c r="AF324" s="1462"/>
      <c r="AG324" s="4"/>
      <c r="AH324" s="4"/>
      <c r="AI324" s="35"/>
      <c r="AJ324" s="35"/>
      <c r="AK324" s="35"/>
    </row>
    <row r="325" spans="2:37" ht="13" customHeight="1">
      <c r="B325" s="3" t="s">
        <v>76</v>
      </c>
      <c r="C325" s="3"/>
      <c r="D325" s="3"/>
      <c r="E325" s="3"/>
      <c r="F325" s="3"/>
      <c r="G325" s="3"/>
      <c r="H325" s="1400" t="s">
        <v>2634</v>
      </c>
      <c r="I325" s="1400"/>
      <c r="J325" s="1400"/>
      <c r="K325" s="1400"/>
      <c r="L325" s="1400"/>
      <c r="M325" s="1400"/>
      <c r="N325" s="1393"/>
      <c r="O325" s="1393"/>
      <c r="P325" s="1393"/>
      <c r="Q325" s="1393"/>
      <c r="R325" s="1393"/>
      <c r="S325" s="3"/>
      <c r="T325" s="3" t="s">
        <v>76</v>
      </c>
      <c r="V325" s="3"/>
      <c r="W325" s="3"/>
      <c r="X325" s="3"/>
      <c r="Y325" s="3"/>
      <c r="AA325" s="1400" t="s">
        <v>2645</v>
      </c>
      <c r="AB325" s="1400"/>
      <c r="AC325" s="1400"/>
      <c r="AD325" s="1400"/>
      <c r="AE325" s="1400"/>
      <c r="AF325" s="1400"/>
      <c r="AG325" s="1393"/>
      <c r="AH325" s="1393"/>
      <c r="AI325" s="1393"/>
      <c r="AJ325" s="1393"/>
      <c r="AK325" s="1393"/>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93" t="s">
        <v>2674</v>
      </c>
      <c r="I327" s="1393"/>
      <c r="J327" s="1393"/>
      <c r="K327" s="1393"/>
      <c r="L327" s="1393"/>
      <c r="M327" s="1393"/>
      <c r="N327" s="1393"/>
      <c r="O327" s="1393"/>
      <c r="P327" s="1393"/>
      <c r="Q327" s="1393"/>
      <c r="R327" s="1393"/>
      <c r="T327" s="3" t="s">
        <v>368</v>
      </c>
      <c r="V327" s="3"/>
      <c r="W327" s="3"/>
      <c r="X327" s="3"/>
      <c r="Y327" s="3"/>
      <c r="AA327" s="1393"/>
      <c r="AB327" s="1393"/>
      <c r="AC327" s="1393"/>
      <c r="AD327" s="1393"/>
      <c r="AE327" s="1393"/>
      <c r="AF327" s="1393"/>
      <c r="AG327" s="1393"/>
      <c r="AH327" s="1393"/>
      <c r="AI327" s="1393"/>
      <c r="AJ327" s="1393"/>
      <c r="AK327" s="1393"/>
    </row>
    <row r="328" spans="2:37" ht="13" customHeight="1">
      <c r="B328" s="3" t="s">
        <v>472</v>
      </c>
      <c r="C328" s="3"/>
      <c r="D328" s="3"/>
      <c r="E328" s="3"/>
      <c r="F328" s="3"/>
      <c r="H328" s="1400" t="s">
        <v>2675</v>
      </c>
      <c r="I328" s="1400"/>
      <c r="J328" s="1400"/>
      <c r="K328" s="1400"/>
      <c r="L328" s="1400"/>
      <c r="M328" s="1400"/>
      <c r="N328" s="1400"/>
      <c r="O328" s="1400"/>
      <c r="P328" s="1400"/>
      <c r="Q328" s="1400"/>
      <c r="R328" s="1400"/>
      <c r="T328" s="3" t="s">
        <v>472</v>
      </c>
      <c r="V328" s="3"/>
      <c r="W328" s="3"/>
      <c r="X328" s="3"/>
      <c r="Y328" s="3"/>
      <c r="AA328" s="1400"/>
      <c r="AB328" s="1400"/>
      <c r="AC328" s="1400"/>
      <c r="AD328" s="1400"/>
      <c r="AE328" s="1400"/>
      <c r="AF328" s="1400"/>
      <c r="AG328" s="1400"/>
      <c r="AH328" s="1400"/>
      <c r="AI328" s="1400"/>
      <c r="AJ328" s="1400"/>
      <c r="AK328" s="1400"/>
    </row>
    <row r="329" spans="2:37" ht="13" customHeight="1">
      <c r="B329" s="3" t="s">
        <v>473</v>
      </c>
      <c r="C329" s="3"/>
      <c r="D329" s="3"/>
      <c r="E329" s="3"/>
      <c r="F329" s="3"/>
      <c r="H329" s="1400" t="s">
        <v>2672</v>
      </c>
      <c r="I329" s="1400"/>
      <c r="J329" s="1400"/>
      <c r="K329" s="1400"/>
      <c r="L329" s="1400"/>
      <c r="M329" s="1400"/>
      <c r="N329" s="1400"/>
      <c r="O329" s="1400"/>
      <c r="P329" s="1400"/>
      <c r="Q329" s="1400"/>
      <c r="R329" s="1400"/>
      <c r="T329" s="3" t="s">
        <v>75</v>
      </c>
      <c r="V329" s="3"/>
      <c r="W329" s="3"/>
      <c r="X329" s="3"/>
      <c r="Y329" s="3"/>
      <c r="AA329" s="1400"/>
      <c r="AB329" s="1400"/>
      <c r="AC329" s="1400"/>
      <c r="AD329" s="1400"/>
      <c r="AE329" s="1400"/>
      <c r="AF329" s="1400"/>
      <c r="AG329" s="1400"/>
      <c r="AH329" s="1400"/>
      <c r="AI329" s="1400"/>
      <c r="AJ329" s="1400"/>
      <c r="AK329" s="1400"/>
    </row>
    <row r="330" spans="2:37" ht="13" customHeight="1">
      <c r="B330" s="3" t="s">
        <v>87</v>
      </c>
      <c r="C330" s="3"/>
      <c r="D330" s="3"/>
      <c r="E330" s="3"/>
      <c r="F330" s="3"/>
      <c r="H330" s="1400" t="s">
        <v>2677</v>
      </c>
      <c r="I330" s="1400"/>
      <c r="J330" s="1400"/>
      <c r="K330" s="1400"/>
      <c r="L330" s="1400"/>
      <c r="M330" s="1400"/>
      <c r="N330" s="1400"/>
      <c r="O330" s="1400"/>
      <c r="P330" s="1400"/>
      <c r="Q330" s="1400"/>
      <c r="R330" s="1400"/>
      <c r="T330" s="3" t="s">
        <v>87</v>
      </c>
      <c r="V330" s="3"/>
      <c r="W330" s="3"/>
      <c r="X330" s="3"/>
      <c r="Y330" s="3"/>
      <c r="AA330" s="1400"/>
      <c r="AB330" s="1400"/>
      <c r="AC330" s="1400"/>
      <c r="AD330" s="1400"/>
      <c r="AE330" s="1400"/>
      <c r="AF330" s="1400"/>
      <c r="AG330" s="1400"/>
      <c r="AH330" s="1400"/>
      <c r="AI330" s="1400"/>
      <c r="AJ330" s="1400"/>
      <c r="AK330" s="1400"/>
    </row>
    <row r="331" spans="2:37" ht="13" customHeight="1">
      <c r="B331" s="3" t="s">
        <v>88</v>
      </c>
      <c r="C331" s="3"/>
      <c r="D331" s="3"/>
      <c r="E331" s="3"/>
      <c r="F331" s="3"/>
      <c r="G331" s="3"/>
      <c r="H331" s="1529" t="s">
        <v>2676</v>
      </c>
      <c r="I331" s="1530"/>
      <c r="J331" s="1530"/>
      <c r="K331" s="1530"/>
      <c r="L331" s="1530"/>
      <c r="M331" s="1530"/>
      <c r="N331" s="4" t="s">
        <v>206</v>
      </c>
      <c r="O331" s="4"/>
      <c r="P331" s="1521"/>
      <c r="Q331" s="1521"/>
      <c r="R331" s="1521"/>
      <c r="S331" s="3"/>
      <c r="T331" s="3" t="s">
        <v>88</v>
      </c>
      <c r="V331" s="3"/>
      <c r="W331" s="3"/>
      <c r="X331" s="3"/>
      <c r="Y331" s="3"/>
      <c r="AA331" s="1530"/>
      <c r="AB331" s="1530"/>
      <c r="AC331" s="1530"/>
      <c r="AD331" s="1530"/>
      <c r="AE331" s="1530"/>
      <c r="AF331" s="1530"/>
      <c r="AG331" s="4" t="s">
        <v>206</v>
      </c>
      <c r="AH331" s="4"/>
      <c r="AI331" s="1521"/>
      <c r="AJ331" s="1521"/>
      <c r="AK331" s="1521"/>
    </row>
    <row r="332" spans="2:37" ht="13" customHeight="1">
      <c r="B332" s="3" t="s">
        <v>89</v>
      </c>
      <c r="C332" s="3"/>
      <c r="D332" s="3"/>
      <c r="E332" s="3"/>
      <c r="F332" s="3"/>
      <c r="G332" s="3"/>
      <c r="H332" s="1462"/>
      <c r="I332" s="1462"/>
      <c r="J332" s="1462"/>
      <c r="K332" s="1462"/>
      <c r="L332" s="1462"/>
      <c r="M332" s="1462"/>
      <c r="N332" s="4"/>
      <c r="O332" s="4"/>
      <c r="P332" s="35"/>
      <c r="Q332" s="35"/>
      <c r="R332" s="35"/>
      <c r="S332" s="3"/>
      <c r="T332" s="3" t="s">
        <v>89</v>
      </c>
      <c r="V332" s="3"/>
      <c r="W332" s="3"/>
      <c r="X332" s="3"/>
      <c r="Y332" s="3"/>
      <c r="AA332" s="1462"/>
      <c r="AB332" s="1462"/>
      <c r="AC332" s="1462"/>
      <c r="AD332" s="1462"/>
      <c r="AE332" s="1462"/>
      <c r="AF332" s="1462"/>
      <c r="AG332" s="4"/>
      <c r="AH332" s="4"/>
      <c r="AI332" s="35"/>
      <c r="AJ332" s="35"/>
      <c r="AK332" s="35"/>
    </row>
    <row r="333" spans="2:37" ht="13" customHeight="1">
      <c r="B333" s="3" t="s">
        <v>76</v>
      </c>
      <c r="C333" s="3"/>
      <c r="D333" s="3"/>
      <c r="E333" s="3"/>
      <c r="F333" s="3"/>
      <c r="G333" s="3"/>
      <c r="H333" s="1400" t="s">
        <v>2678</v>
      </c>
      <c r="I333" s="1400"/>
      <c r="J333" s="1400"/>
      <c r="K333" s="1400"/>
      <c r="L333" s="1400"/>
      <c r="M333" s="1400"/>
      <c r="N333" s="1393"/>
      <c r="O333" s="1393"/>
      <c r="P333" s="1393"/>
      <c r="Q333" s="1393"/>
      <c r="R333" s="1393"/>
      <c r="S333" s="3"/>
      <c r="T333" s="3" t="s">
        <v>76</v>
      </c>
      <c r="V333" s="3"/>
      <c r="W333" s="3"/>
      <c r="X333" s="3"/>
      <c r="Y333" s="3"/>
      <c r="AA333" s="1400"/>
      <c r="AB333" s="1400"/>
      <c r="AC333" s="1400"/>
      <c r="AD333" s="1400"/>
      <c r="AE333" s="1400"/>
      <c r="AF333" s="1400"/>
      <c r="AG333" s="1393"/>
      <c r="AH333" s="1393"/>
      <c r="AI333" s="1393"/>
      <c r="AJ333" s="1393"/>
      <c r="AK333" s="1393"/>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93" t="s">
        <v>2635</v>
      </c>
      <c r="I335" s="1393"/>
      <c r="J335" s="1393"/>
      <c r="K335" s="1393"/>
      <c r="L335" s="1393"/>
      <c r="M335" s="1393"/>
      <c r="N335" s="1393"/>
      <c r="O335" s="1393"/>
      <c r="P335" s="1393"/>
      <c r="Q335" s="1393"/>
      <c r="R335" s="1393"/>
      <c r="T335" s="205" t="s">
        <v>886</v>
      </c>
      <c r="V335" s="3"/>
      <c r="W335" s="3"/>
      <c r="X335" s="3"/>
      <c r="Y335" s="3"/>
      <c r="AA335" s="1393" t="s">
        <v>2723</v>
      </c>
      <c r="AB335" s="1393"/>
      <c r="AC335" s="1393"/>
      <c r="AD335" s="1393"/>
      <c r="AE335" s="1393"/>
      <c r="AF335" s="1393"/>
      <c r="AG335" s="1393"/>
      <c r="AH335" s="1393"/>
      <c r="AI335" s="1393"/>
      <c r="AJ335" s="1393"/>
      <c r="AK335" s="1393"/>
    </row>
    <row r="336" spans="2:37" ht="13" customHeight="1">
      <c r="B336" s="3" t="s">
        <v>472</v>
      </c>
      <c r="C336" s="3"/>
      <c r="D336" s="3"/>
      <c r="E336" s="3"/>
      <c r="F336" s="3"/>
      <c r="H336" s="1400" t="s">
        <v>2636</v>
      </c>
      <c r="I336" s="1400"/>
      <c r="J336" s="1400"/>
      <c r="K336" s="1400"/>
      <c r="L336" s="1400"/>
      <c r="M336" s="1400"/>
      <c r="N336" s="1400"/>
      <c r="O336" s="1400"/>
      <c r="P336" s="1400"/>
      <c r="Q336" s="1400"/>
      <c r="R336" s="1400"/>
      <c r="T336" s="3" t="s">
        <v>472</v>
      </c>
      <c r="V336" s="3"/>
      <c r="W336" s="3"/>
      <c r="X336" s="3"/>
      <c r="Y336" s="3"/>
      <c r="AA336" s="1400" t="s">
        <v>2724</v>
      </c>
      <c r="AB336" s="1400"/>
      <c r="AC336" s="1400"/>
      <c r="AD336" s="1400"/>
      <c r="AE336" s="1400"/>
      <c r="AF336" s="1400"/>
      <c r="AG336" s="1400"/>
      <c r="AH336" s="1400"/>
      <c r="AI336" s="1400"/>
      <c r="AJ336" s="1400"/>
      <c r="AK336" s="1400"/>
    </row>
    <row r="337" spans="1:66" ht="13" customHeight="1">
      <c r="B337" s="3" t="s">
        <v>75</v>
      </c>
      <c r="C337" s="3"/>
      <c r="D337" s="3"/>
      <c r="E337" s="3"/>
      <c r="F337" s="3"/>
      <c r="H337" s="1400" t="s">
        <v>2637</v>
      </c>
      <c r="I337" s="1400"/>
      <c r="J337" s="1400"/>
      <c r="K337" s="1400"/>
      <c r="L337" s="1400"/>
      <c r="M337" s="1400"/>
      <c r="N337" s="1400"/>
      <c r="O337" s="1400"/>
      <c r="P337" s="1400"/>
      <c r="Q337" s="1400"/>
      <c r="R337" s="1400"/>
      <c r="T337" s="3" t="s">
        <v>75</v>
      </c>
      <c r="V337" s="3"/>
      <c r="W337" s="3"/>
      <c r="X337" s="3"/>
      <c r="Y337" s="3"/>
      <c r="AA337" s="1400" t="s">
        <v>2725</v>
      </c>
      <c r="AB337" s="1400"/>
      <c r="AC337" s="1400"/>
      <c r="AD337" s="1400"/>
      <c r="AE337" s="1400"/>
      <c r="AF337" s="1400"/>
      <c r="AG337" s="1400"/>
      <c r="AH337" s="1400"/>
      <c r="AI337" s="1400"/>
      <c r="AJ337" s="1400"/>
      <c r="AK337" s="1400"/>
    </row>
    <row r="338" spans="1:66" ht="13" customHeight="1">
      <c r="B338" s="3" t="s">
        <v>87</v>
      </c>
      <c r="C338" s="3"/>
      <c r="D338" s="3"/>
      <c r="E338" s="3"/>
      <c r="F338" s="3"/>
      <c r="G338" s="3"/>
      <c r="H338" s="1400" t="s">
        <v>2638</v>
      </c>
      <c r="I338" s="1400"/>
      <c r="J338" s="1400"/>
      <c r="K338" s="1400"/>
      <c r="L338" s="1400"/>
      <c r="M338" s="1400"/>
      <c r="N338" s="1400"/>
      <c r="O338" s="1400"/>
      <c r="P338" s="1400"/>
      <c r="Q338" s="1400"/>
      <c r="R338" s="1400"/>
      <c r="T338" s="3" t="s">
        <v>87</v>
      </c>
      <c r="V338" s="3"/>
      <c r="W338" s="3"/>
      <c r="X338" s="3"/>
      <c r="Y338" s="3"/>
      <c r="AA338" s="1522" t="s">
        <v>2727</v>
      </c>
      <c r="AB338" s="1400"/>
      <c r="AC338" s="1400"/>
      <c r="AD338" s="1400"/>
      <c r="AE338" s="1400"/>
      <c r="AF338" s="1400"/>
      <c r="AG338" s="1400"/>
      <c r="AH338" s="1400"/>
      <c r="AI338" s="1400"/>
      <c r="AJ338" s="1400"/>
      <c r="AK338" s="1400"/>
    </row>
    <row r="339" spans="1:66" ht="13" customHeight="1">
      <c r="B339" s="3" t="s">
        <v>88</v>
      </c>
      <c r="C339" s="3"/>
      <c r="D339" s="3"/>
      <c r="E339" s="3"/>
      <c r="F339" s="3"/>
      <c r="G339" s="3"/>
      <c r="H339" s="1530" t="s">
        <v>2639</v>
      </c>
      <c r="I339" s="1530"/>
      <c r="J339" s="1530"/>
      <c r="K339" s="1530"/>
      <c r="L339" s="1530"/>
      <c r="M339" s="1530"/>
      <c r="N339" s="4" t="s">
        <v>206</v>
      </c>
      <c r="O339" s="4"/>
      <c r="P339" s="1521"/>
      <c r="Q339" s="1521"/>
      <c r="R339" s="1521"/>
      <c r="S339" s="3"/>
      <c r="T339" s="3" t="s">
        <v>88</v>
      </c>
      <c r="V339" s="3"/>
      <c r="W339" s="3"/>
      <c r="X339" s="3"/>
      <c r="Y339" s="3"/>
      <c r="AA339" s="1529" t="s">
        <v>2726</v>
      </c>
      <c r="AB339" s="1530"/>
      <c r="AC339" s="1530"/>
      <c r="AD339" s="1530"/>
      <c r="AE339" s="1530"/>
      <c r="AF339" s="1530"/>
      <c r="AG339" s="4" t="s">
        <v>206</v>
      </c>
      <c r="AH339" s="4"/>
      <c r="AI339" s="1521"/>
      <c r="AJ339" s="1521"/>
      <c r="AK339" s="1521"/>
    </row>
    <row r="340" spans="1:66" ht="13" customHeight="1">
      <c r="B340" s="3" t="s">
        <v>89</v>
      </c>
      <c r="C340" s="3"/>
      <c r="D340" s="3"/>
      <c r="E340" s="3"/>
      <c r="F340" s="3"/>
      <c r="G340" s="3"/>
      <c r="H340" s="1462"/>
      <c r="I340" s="1462"/>
      <c r="J340" s="1462"/>
      <c r="K340" s="1462"/>
      <c r="L340" s="1462"/>
      <c r="M340" s="1462"/>
      <c r="N340" s="4"/>
      <c r="O340" s="4"/>
      <c r="P340" s="35"/>
      <c r="Q340" s="35"/>
      <c r="R340" s="35"/>
      <c r="S340" s="3"/>
      <c r="T340" s="3" t="s">
        <v>89</v>
      </c>
      <c r="V340" s="3"/>
      <c r="W340" s="3"/>
      <c r="X340" s="3"/>
      <c r="Y340" s="3"/>
      <c r="AA340" s="1462"/>
      <c r="AB340" s="1462"/>
      <c r="AC340" s="1462"/>
      <c r="AD340" s="1462"/>
      <c r="AE340" s="1462"/>
      <c r="AF340" s="1462"/>
      <c r="AG340" s="4"/>
      <c r="AH340" s="4"/>
      <c r="AI340" s="35"/>
      <c r="AJ340" s="35"/>
      <c r="AK340" s="35"/>
    </row>
    <row r="341" spans="1:66" ht="13" customHeight="1">
      <c r="B341" s="3" t="s">
        <v>76</v>
      </c>
      <c r="C341" s="3"/>
      <c r="D341" s="3"/>
      <c r="E341" s="3"/>
      <c r="F341" s="3"/>
      <c r="G341" s="3"/>
      <c r="H341" s="1400" t="s">
        <v>2640</v>
      </c>
      <c r="I341" s="1400"/>
      <c r="J341" s="1400"/>
      <c r="K341" s="1400"/>
      <c r="L341" s="1400"/>
      <c r="M341" s="1400"/>
      <c r="N341" s="1393"/>
      <c r="O341" s="1393"/>
      <c r="P341" s="1393"/>
      <c r="Q341" s="1393"/>
      <c r="R341" s="1393"/>
      <c r="S341" s="3"/>
      <c r="T341" s="3" t="s">
        <v>76</v>
      </c>
      <c r="V341" s="3"/>
      <c r="W341" s="3"/>
      <c r="X341" s="3"/>
      <c r="Y341" s="3"/>
      <c r="AA341" s="1522" t="s">
        <v>2728</v>
      </c>
      <c r="AB341" s="1400"/>
      <c r="AC341" s="1400"/>
      <c r="AD341" s="1400"/>
      <c r="AE341" s="1400"/>
      <c r="AF341" s="1400"/>
      <c r="AG341" s="1393"/>
      <c r="AH341" s="1393"/>
      <c r="AI341" s="1393"/>
      <c r="AJ341" s="1393"/>
      <c r="AK341" s="1393"/>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5" t="s">
        <v>887</v>
      </c>
      <c r="P343" s="1393"/>
      <c r="Q343" s="1393"/>
      <c r="R343" s="1393"/>
      <c r="S343" s="1393"/>
      <c r="T343" s="1393"/>
      <c r="U343" s="1393"/>
      <c r="V343" s="1393"/>
      <c r="W343" s="1393"/>
      <c r="X343" s="1393"/>
      <c r="Y343" s="1393"/>
      <c r="Z343" s="1393"/>
      <c r="AA343" s="1393"/>
      <c r="AB343" s="1393"/>
      <c r="AC343" s="1393"/>
      <c r="AD343" s="1393"/>
      <c r="AE343" s="1393"/>
      <c r="BN343" t="s">
        <v>670</v>
      </c>
    </row>
    <row r="344" spans="1:66" ht="13" customHeight="1">
      <c r="B344" s="4"/>
      <c r="C344" s="4"/>
      <c r="D344" s="4"/>
      <c r="E344" s="4"/>
      <c r="F344" s="4"/>
      <c r="I344" s="4" t="s">
        <v>472</v>
      </c>
      <c r="P344" s="1400"/>
      <c r="Q344" s="1400"/>
      <c r="R344" s="1400"/>
      <c r="S344" s="1400"/>
      <c r="T344" s="1400"/>
      <c r="U344" s="1400"/>
      <c r="V344" s="1400"/>
      <c r="W344" s="1400"/>
      <c r="X344" s="1400"/>
      <c r="Y344" s="1400"/>
      <c r="Z344" s="1400"/>
      <c r="AA344" s="1400"/>
      <c r="AB344" s="1400"/>
      <c r="AC344" s="1400"/>
      <c r="AD344" s="1400"/>
      <c r="AE344" s="1400"/>
      <c r="BN344" t="s">
        <v>546</v>
      </c>
    </row>
    <row r="345" spans="1:66" ht="13" customHeight="1">
      <c r="B345" s="4"/>
      <c r="C345" s="4"/>
      <c r="D345" s="4"/>
      <c r="E345" s="4"/>
      <c r="F345" s="4"/>
      <c r="I345" s="4" t="s">
        <v>75</v>
      </c>
      <c r="P345" s="1400"/>
      <c r="Q345" s="1400"/>
      <c r="R345" s="1400"/>
      <c r="S345" s="1400"/>
      <c r="T345" s="1400"/>
      <c r="U345" s="1400"/>
      <c r="V345" s="1400"/>
      <c r="W345" s="1400"/>
      <c r="X345" s="1400"/>
      <c r="Y345" s="1400"/>
      <c r="Z345" s="1400"/>
      <c r="AA345" s="1400"/>
      <c r="AB345" s="1400"/>
      <c r="AC345" s="1400"/>
      <c r="AD345" s="1400"/>
      <c r="AE345" s="1400"/>
    </row>
    <row r="346" spans="1:66" ht="13" customHeight="1">
      <c r="B346" s="4"/>
      <c r="C346" s="4"/>
      <c r="D346" s="4"/>
      <c r="E346" s="4"/>
      <c r="F346" s="4"/>
      <c r="G346" s="4"/>
      <c r="I346" s="4" t="s">
        <v>87</v>
      </c>
      <c r="P346" s="1400"/>
      <c r="Q346" s="1400"/>
      <c r="R346" s="1400"/>
      <c r="S346" s="1400"/>
      <c r="T346" s="1400"/>
      <c r="U346" s="1400"/>
      <c r="V346" s="1400"/>
      <c r="W346" s="1400"/>
      <c r="X346" s="1400"/>
      <c r="Y346" s="1400"/>
      <c r="Z346" s="1400"/>
      <c r="AA346" s="1400"/>
      <c r="AB346" s="1400"/>
      <c r="AC346" s="1400"/>
      <c r="AD346" s="1400"/>
      <c r="AE346" s="1400"/>
    </row>
    <row r="347" spans="1:66" ht="13" customHeight="1">
      <c r="B347" s="4"/>
      <c r="C347" s="4"/>
      <c r="D347" s="4"/>
      <c r="E347" s="4"/>
      <c r="F347" s="4"/>
      <c r="G347" s="4"/>
      <c r="H347" s="303"/>
      <c r="I347" s="4" t="s">
        <v>88</v>
      </c>
      <c r="P347" s="1462"/>
      <c r="Q347" s="1462"/>
      <c r="R347" s="1462"/>
      <c r="S347" s="1462"/>
      <c r="T347" s="1462"/>
      <c r="U347" s="1462"/>
      <c r="V347" s="1462"/>
      <c r="W347" s="1462"/>
      <c r="X347" s="1462"/>
      <c r="Y347" s="1462"/>
      <c r="Z347" s="1462"/>
      <c r="AA347" s="4" t="s">
        <v>206</v>
      </c>
      <c r="AB347" s="4"/>
      <c r="AC347" s="1445"/>
      <c r="AD347" s="1445"/>
      <c r="AE347" s="1445"/>
      <c r="AF347" s="303"/>
      <c r="AG347" s="4"/>
      <c r="AH347" s="4"/>
      <c r="AI347" s="4"/>
      <c r="AJ347" s="4"/>
      <c r="AK347" s="4"/>
    </row>
    <row r="348" spans="1:66" ht="13" customHeight="1">
      <c r="B348" s="4"/>
      <c r="C348" s="4"/>
      <c r="D348" s="4"/>
      <c r="E348" s="4"/>
      <c r="F348" s="4"/>
      <c r="G348" s="4"/>
      <c r="H348" s="303"/>
      <c r="I348" s="4" t="s">
        <v>89</v>
      </c>
      <c r="P348" s="1462"/>
      <c r="Q348" s="1462"/>
      <c r="R348" s="1462"/>
      <c r="S348" s="1462"/>
      <c r="T348" s="1462"/>
      <c r="U348" s="1462"/>
      <c r="V348" s="1462"/>
      <c r="W348" s="1462"/>
      <c r="X348" s="1462"/>
      <c r="Y348" s="1462"/>
      <c r="Z348" s="1462"/>
      <c r="AF348" s="303"/>
      <c r="AG348" s="4"/>
      <c r="AH348" s="4"/>
      <c r="AI348" s="35"/>
      <c r="AJ348" s="35"/>
      <c r="AK348" s="35"/>
    </row>
    <row r="349" spans="1:66" ht="13" customHeight="1">
      <c r="B349" s="4"/>
      <c r="C349" s="4"/>
      <c r="D349" s="4"/>
      <c r="E349" s="4"/>
      <c r="F349" s="4"/>
      <c r="G349" s="4"/>
      <c r="I349" s="4" t="s">
        <v>76</v>
      </c>
      <c r="P349" s="1393"/>
      <c r="Q349" s="1393"/>
      <c r="R349" s="1393"/>
      <c r="S349" s="1393"/>
      <c r="T349" s="1393"/>
      <c r="U349" s="1393"/>
      <c r="V349" s="1393"/>
      <c r="W349" s="1393"/>
      <c r="X349" s="1393"/>
      <c r="Y349" s="1393"/>
      <c r="Z349" s="1393"/>
      <c r="AA349" s="1393"/>
      <c r="AB349" s="1393"/>
      <c r="AC349" s="1393"/>
      <c r="AD349" s="1393"/>
      <c r="AE349" s="1393"/>
    </row>
    <row r="350" spans="1:66" ht="13" customHeight="1">
      <c r="T350" s="8"/>
      <c r="U350" s="8"/>
      <c r="V350" s="8"/>
      <c r="W350" s="8"/>
      <c r="X350" s="8"/>
      <c r="Y350" s="8"/>
      <c r="Z350" s="8"/>
      <c r="AU350" s="95"/>
      <c r="AV350" s="95"/>
      <c r="AW350" s="95"/>
      <c r="AX350" s="95"/>
      <c r="AY350" s="95"/>
    </row>
    <row r="351" spans="1:66" ht="13" customHeight="1">
      <c r="A351" s="1540" t="s">
        <v>543</v>
      </c>
      <c r="B351" s="1540"/>
      <c r="C351" s="1540"/>
      <c r="D351" s="1540"/>
      <c r="E351" s="1540"/>
      <c r="F351" s="1540"/>
      <c r="G351" s="1540"/>
      <c r="H351" s="1540"/>
      <c r="I351" s="1540"/>
      <c r="J351" s="1540"/>
      <c r="K351" s="1540"/>
      <c r="L351" s="1540"/>
      <c r="M351" s="1540"/>
      <c r="N351" s="1540"/>
      <c r="O351" s="1540"/>
      <c r="P351" s="1540"/>
      <c r="Q351" s="1540"/>
      <c r="R351" s="1540"/>
      <c r="S351" s="1540"/>
      <c r="T351" s="1540"/>
      <c r="U351" s="1540"/>
      <c r="V351" s="1540"/>
      <c r="W351" s="1540"/>
      <c r="X351" s="1540"/>
      <c r="Y351" s="1540"/>
      <c r="Z351" s="1540"/>
      <c r="AA351" s="1540"/>
      <c r="AB351" s="1540"/>
      <c r="AC351" s="1540"/>
      <c r="AD351" s="1540"/>
      <c r="AE351" s="1540"/>
      <c r="AF351" s="1540"/>
      <c r="AG351" s="1540"/>
      <c r="AH351" s="1540"/>
      <c r="AI351" s="1540"/>
      <c r="AJ351" s="1540"/>
      <c r="AK351" s="1540"/>
      <c r="AL351" s="1540"/>
      <c r="AM351" s="1540"/>
      <c r="AN351" s="1540"/>
      <c r="AO351" s="1540"/>
      <c r="AP351" s="1540"/>
      <c r="AQ351" s="1540"/>
      <c r="AR351" s="1540"/>
      <c r="AS351" s="1540"/>
      <c r="AT351" s="1540"/>
      <c r="AU351" s="95"/>
      <c r="AV351" s="95"/>
      <c r="AW351" s="95"/>
      <c r="AX351" s="95"/>
      <c r="AY351" s="95"/>
    </row>
    <row r="352" spans="1:66" ht="13" customHeight="1">
      <c r="A352" s="1540"/>
      <c r="B352" s="1540"/>
      <c r="C352" s="1540"/>
      <c r="D352" s="1540"/>
      <c r="E352" s="1540"/>
      <c r="F352" s="1540"/>
      <c r="G352" s="1540"/>
      <c r="H352" s="1540"/>
      <c r="I352" s="1540"/>
      <c r="J352" s="1540"/>
      <c r="K352" s="1540"/>
      <c r="L352" s="1540"/>
      <c r="M352" s="1540"/>
      <c r="N352" s="1540"/>
      <c r="O352" s="1540"/>
      <c r="P352" s="1540"/>
      <c r="Q352" s="1540"/>
      <c r="R352" s="1540"/>
      <c r="S352" s="1540"/>
      <c r="T352" s="1540"/>
      <c r="U352" s="1540"/>
      <c r="V352" s="1540"/>
      <c r="W352" s="1540"/>
      <c r="X352" s="1540"/>
      <c r="Y352" s="1540"/>
      <c r="Z352" s="1540"/>
      <c r="AA352" s="1540"/>
      <c r="AB352" s="1540"/>
      <c r="AC352" s="1540"/>
      <c r="AD352" s="1540"/>
      <c r="AE352" s="1540"/>
      <c r="AF352" s="1540"/>
      <c r="AG352" s="1540"/>
      <c r="AH352" s="1540"/>
      <c r="AI352" s="1540"/>
      <c r="AJ352" s="1540"/>
      <c r="AK352" s="1540"/>
      <c r="AL352" s="1540"/>
      <c r="AM352" s="1540"/>
      <c r="AN352" s="1540"/>
      <c r="AO352" s="1540"/>
      <c r="AP352" s="1540"/>
      <c r="AQ352" s="1540"/>
      <c r="AR352" s="1540"/>
      <c r="AS352" s="1540"/>
      <c r="AT352" s="1540"/>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2100</v>
      </c>
      <c r="M355" s="1397" t="s">
        <v>592</v>
      </c>
      <c r="N355" s="1397"/>
      <c r="P355" t="s">
        <v>1650</v>
      </c>
      <c r="AJ355" s="1397" t="s">
        <v>592</v>
      </c>
      <c r="AK355" s="1397"/>
    </row>
    <row r="356" spans="1:46" ht="13" customHeight="1">
      <c r="D356" s="3" t="s">
        <v>1639</v>
      </c>
      <c r="M356" s="1397" t="s">
        <v>546</v>
      </c>
      <c r="N356" s="1397"/>
      <c r="P356" s="3" t="s">
        <v>1719</v>
      </c>
      <c r="AJ356" s="1417"/>
      <c r="AK356" s="1417"/>
    </row>
    <row r="357" spans="1:46" ht="13" customHeight="1">
      <c r="D357" s="3" t="s">
        <v>705</v>
      </c>
      <c r="M357" s="1397" t="s">
        <v>592</v>
      </c>
      <c r="N357" s="1397"/>
      <c r="P357" t="s">
        <v>1649</v>
      </c>
      <c r="AJ357" s="1397" t="s">
        <v>592</v>
      </c>
      <c r="AK357" s="1397"/>
    </row>
    <row r="358" spans="1:46" ht="13" customHeight="1">
      <c r="D358" s="3" t="s">
        <v>706</v>
      </c>
      <c r="M358" s="1397" t="s">
        <v>592</v>
      </c>
      <c r="N358" s="1397"/>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97" t="s">
        <v>546</v>
      </c>
      <c r="O363" s="1397"/>
      <c r="P363" s="40"/>
      <c r="Q363" s="40"/>
      <c r="R363" s="40"/>
      <c r="S363" s="40"/>
      <c r="T363" s="40"/>
      <c r="U363" s="40"/>
      <c r="V363" s="40"/>
      <c r="W363" s="40"/>
      <c r="X363" s="40"/>
      <c r="Y363" s="40"/>
      <c r="Z363" s="40"/>
      <c r="AC363" s="40"/>
      <c r="AD363" s="40"/>
      <c r="AE363" s="40"/>
    </row>
    <row r="364" spans="1:46" ht="13" customHeight="1">
      <c r="E364" t="s">
        <v>370</v>
      </c>
      <c r="Y364" s="1397" t="s">
        <v>592</v>
      </c>
      <c r="Z364" s="1397"/>
    </row>
    <row r="365" spans="1:46" ht="13" customHeight="1">
      <c r="D365" s="4" t="s">
        <v>978</v>
      </c>
      <c r="Q365" s="1393" t="s">
        <v>2646</v>
      </c>
      <c r="R365" s="1393"/>
      <c r="S365" s="1393"/>
      <c r="T365" s="1393"/>
      <c r="U365" s="1393"/>
      <c r="V365" s="1393"/>
      <c r="W365" s="1393"/>
      <c r="X365" s="1393"/>
      <c r="Y365" s="1393"/>
      <c r="Z365" s="1393"/>
      <c r="AA365" s="1393"/>
      <c r="AB365" s="1393"/>
      <c r="AC365" s="1393"/>
      <c r="AD365" s="1393"/>
      <c r="AE365" s="1393"/>
      <c r="AF365" s="1393"/>
      <c r="AG365" s="1393"/>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97" t="s">
        <v>546</v>
      </c>
      <c r="K367" s="1397"/>
      <c r="L367" s="40"/>
      <c r="M367" s="40"/>
      <c r="N367" s="40"/>
      <c r="O367" s="40"/>
      <c r="P367" s="40"/>
      <c r="Q367" s="40"/>
      <c r="R367" s="40"/>
      <c r="S367" s="40"/>
      <c r="T367" s="40"/>
      <c r="U367" s="40"/>
      <c r="V367" s="40"/>
      <c r="W367" s="40"/>
      <c r="X367" s="40"/>
      <c r="Y367" s="40"/>
      <c r="Z367" s="40"/>
      <c r="AC367" s="40"/>
      <c r="AD367" s="40"/>
      <c r="AE367" s="40"/>
    </row>
    <row r="368" spans="1:46" ht="13" customHeight="1">
      <c r="E368" s="1545" t="s">
        <v>707</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3"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3" customHeight="1">
      <c r="E370" s="4" t="s">
        <v>449</v>
      </c>
      <c r="F370" s="4"/>
      <c r="G370" s="4"/>
      <c r="H370" s="4"/>
      <c r="I370" s="4"/>
      <c r="J370" s="4"/>
      <c r="K370" s="4"/>
      <c r="L370" s="4"/>
      <c r="N370" s="1371">
        <v>35</v>
      </c>
      <c r="O370" s="1371"/>
      <c r="P370" s="1371"/>
      <c r="Q370" s="1371"/>
      <c r="R370" s="4"/>
      <c r="U370" s="4" t="s">
        <v>450</v>
      </c>
      <c r="V370" s="4"/>
      <c r="W370" s="4"/>
      <c r="X370" s="4"/>
      <c r="Y370" s="4"/>
      <c r="Z370" s="4"/>
      <c r="AA370" s="4"/>
      <c r="AB370" s="4"/>
      <c r="AC370" s="1371">
        <v>1</v>
      </c>
      <c r="AD370" s="1371"/>
      <c r="AE370" s="1371"/>
      <c r="AF370" s="1371"/>
    </row>
    <row r="371" spans="1:34" ht="13" customHeight="1">
      <c r="E371" s="4" t="s">
        <v>451</v>
      </c>
      <c r="F371" s="4"/>
      <c r="G371" s="4"/>
      <c r="H371" s="4"/>
      <c r="I371" s="4"/>
      <c r="J371" s="4"/>
      <c r="K371" s="4"/>
      <c r="L371" s="4"/>
      <c r="N371" s="1371">
        <v>1</v>
      </c>
      <c r="O371" s="1371"/>
      <c r="P371" s="1371"/>
      <c r="Q371" s="1371"/>
      <c r="R371" s="4"/>
      <c r="U371" s="4" t="s">
        <v>0</v>
      </c>
      <c r="V371" s="4"/>
      <c r="W371" s="4"/>
      <c r="X371" s="4"/>
      <c r="Y371" s="4"/>
      <c r="Z371" s="4"/>
      <c r="AA371" s="4"/>
      <c r="AB371" s="4"/>
      <c r="AC371" s="1371"/>
      <c r="AD371" s="1371"/>
      <c r="AE371" s="1371"/>
      <c r="AF371" s="1371"/>
    </row>
    <row r="372" spans="1:34" ht="13" customHeight="1">
      <c r="E372" s="4" t="s">
        <v>1</v>
      </c>
      <c r="F372" s="4"/>
      <c r="G372" s="4"/>
      <c r="H372" s="4"/>
      <c r="I372" s="4"/>
      <c r="J372" s="4"/>
      <c r="K372" s="4"/>
      <c r="L372" s="4"/>
      <c r="N372" s="1371">
        <v>11</v>
      </c>
      <c r="O372" s="1371"/>
      <c r="P372" s="1371"/>
      <c r="Q372" s="1371"/>
      <c r="R372" s="4"/>
      <c r="V372" s="4"/>
      <c r="W372" s="4"/>
      <c r="X372" s="4"/>
      <c r="Y372" s="4"/>
      <c r="Z372" s="4"/>
      <c r="AA372" s="4"/>
      <c r="AB372" s="4"/>
    </row>
    <row r="373" spans="1:34" ht="13" customHeight="1">
      <c r="E373" s="4" t="s">
        <v>2</v>
      </c>
      <c r="F373" s="4"/>
      <c r="G373" s="4"/>
      <c r="H373" s="4"/>
      <c r="I373" s="4"/>
      <c r="J373" s="4"/>
      <c r="K373" s="4"/>
      <c r="L373" s="4"/>
      <c r="N373" s="1583" t="s">
        <v>2658</v>
      </c>
      <c r="O373" s="1584"/>
      <c r="P373" s="1584"/>
      <c r="Q373" s="1584"/>
      <c r="R373" s="1584"/>
      <c r="S373" s="1584"/>
      <c r="T373" s="1584"/>
      <c r="U373" s="1584"/>
      <c r="V373" s="1584"/>
      <c r="W373" s="1584"/>
      <c r="X373" s="1584"/>
      <c r="Y373" s="1584"/>
      <c r="Z373" s="1584"/>
      <c r="AA373" s="1584"/>
      <c r="AB373" s="1584"/>
      <c r="AC373" s="1584"/>
      <c r="AD373" s="1584"/>
      <c r="AE373" s="1584"/>
      <c r="AF373" s="1584"/>
    </row>
    <row r="374" spans="1:34" ht="13" customHeight="1">
      <c r="E374" s="4"/>
      <c r="F374" s="4"/>
      <c r="G374" s="4"/>
      <c r="H374" s="4"/>
      <c r="I374" s="4"/>
      <c r="J374" s="4"/>
      <c r="K374" s="4"/>
      <c r="L374" s="4"/>
      <c r="N374" s="1585"/>
      <c r="O374" s="1585"/>
      <c r="P374" s="1585"/>
      <c r="Q374" s="1585"/>
      <c r="R374" s="1585"/>
      <c r="S374" s="1585"/>
      <c r="T374" s="1585"/>
      <c r="U374" s="1585"/>
      <c r="V374" s="1585"/>
      <c r="W374" s="1585"/>
      <c r="X374" s="1585"/>
      <c r="Y374" s="1585"/>
      <c r="Z374" s="1585"/>
      <c r="AA374" s="1585"/>
      <c r="AB374" s="1585"/>
      <c r="AC374" s="1585"/>
      <c r="AD374" s="1585"/>
      <c r="AE374" s="1585"/>
      <c r="AF374" s="1585"/>
    </row>
    <row r="375" spans="1:34" ht="13" customHeight="1">
      <c r="C375" s="513"/>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2086</v>
      </c>
      <c r="F377" s="4"/>
      <c r="G377" s="4"/>
      <c r="H377" s="4"/>
      <c r="I377" s="4"/>
      <c r="J377" s="4"/>
      <c r="K377" s="4"/>
      <c r="L377" s="4"/>
      <c r="N377" t="s">
        <v>2081</v>
      </c>
      <c r="R377" s="27" t="s">
        <v>305</v>
      </c>
      <c r="S377" s="1499"/>
      <c r="T377" s="1499"/>
      <c r="U377" s="1" t="s">
        <v>306</v>
      </c>
      <c r="V377" s="1499"/>
      <c r="W377" s="1499"/>
      <c r="Y377" t="s">
        <v>2081</v>
      </c>
      <c r="AC377" s="27" t="s">
        <v>305</v>
      </c>
      <c r="AD377" s="1499"/>
      <c r="AE377" s="1499"/>
      <c r="AF377" s="1" t="s">
        <v>306</v>
      </c>
      <c r="AG377" s="1499"/>
      <c r="AH377" s="1499"/>
    </row>
    <row r="378" spans="1:34" ht="13" customHeight="1">
      <c r="E378" s="4" t="s">
        <v>987</v>
      </c>
      <c r="F378" s="4"/>
      <c r="G378" s="4"/>
      <c r="H378" s="4"/>
      <c r="I378" s="4"/>
      <c r="J378" s="4"/>
      <c r="K378" s="4"/>
      <c r="L378" s="4"/>
      <c r="N378" s="1499"/>
      <c r="O378" s="1499"/>
      <c r="P378" s="1499"/>
    </row>
    <row r="379" spans="1:34" ht="13" customHeight="1">
      <c r="E379" s="205" t="s">
        <v>2087</v>
      </c>
      <c r="F379" s="4"/>
      <c r="G379" s="4"/>
      <c r="H379" s="4"/>
      <c r="I379" s="4"/>
      <c r="J379" s="4"/>
      <c r="K379" s="4"/>
      <c r="L379" s="4"/>
      <c r="AG379" s="1449" t="s">
        <v>592</v>
      </c>
      <c r="AH379" s="1449"/>
    </row>
    <row r="380" spans="1:34" ht="13" customHeight="1">
      <c r="E380" s="4"/>
      <c r="F380" s="4"/>
      <c r="G380" s="4" t="s">
        <v>2088</v>
      </c>
      <c r="H380" s="4"/>
      <c r="I380" s="4"/>
      <c r="J380" s="4"/>
      <c r="K380" s="4"/>
      <c r="L380" s="4"/>
      <c r="AG380" s="1449" t="s">
        <v>592</v>
      </c>
      <c r="AH380" s="1449"/>
    </row>
    <row r="381" spans="1:34" ht="13" customHeight="1">
      <c r="E381" s="4"/>
      <c r="F381" s="4"/>
      <c r="G381" s="321" t="s">
        <v>988</v>
      </c>
      <c r="H381" s="4"/>
      <c r="I381" s="4"/>
      <c r="J381" s="4"/>
      <c r="K381" s="4"/>
      <c r="L381" s="4"/>
      <c r="V381" s="1397" t="s">
        <v>592</v>
      </c>
      <c r="W381" s="1397"/>
      <c r="Y381" s="22" t="s">
        <v>980</v>
      </c>
    </row>
    <row r="382" spans="1:34" ht="13" customHeight="1">
      <c r="E382" s="4" t="s">
        <v>981</v>
      </c>
      <c r="F382" s="4"/>
      <c r="G382" s="4"/>
      <c r="H382" s="4"/>
      <c r="I382" s="4"/>
      <c r="J382" s="4"/>
      <c r="K382" s="4"/>
      <c r="L382" s="4"/>
      <c r="V382" s="1397" t="s">
        <v>592</v>
      </c>
      <c r="W382" s="1397"/>
      <c r="Y382" s="4" t="s">
        <v>982</v>
      </c>
    </row>
    <row r="383" spans="1:34" ht="13" customHeight="1"/>
    <row r="384" spans="1:34" ht="13" customHeight="1">
      <c r="A384" s="2" t="s">
        <v>78</v>
      </c>
      <c r="B384" s="2"/>
    </row>
    <row r="385" spans="4:36" ht="13" customHeight="1">
      <c r="D385" t="s">
        <v>428</v>
      </c>
      <c r="J385" s="1536" t="s">
        <v>2700</v>
      </c>
      <c r="K385" s="1393"/>
      <c r="L385" s="1393"/>
      <c r="M385" s="1393"/>
      <c r="N385" s="1393"/>
      <c r="O385" s="1393"/>
      <c r="P385" s="1393"/>
      <c r="Q385" s="1393"/>
      <c r="R385" s="1393"/>
      <c r="S385" s="1393"/>
      <c r="T385" s="1393"/>
      <c r="U385" s="1393"/>
      <c r="V385" s="8" t="s">
        <v>83</v>
      </c>
      <c r="W385" s="8"/>
      <c r="X385" s="8"/>
      <c r="Y385" s="8"/>
      <c r="Z385" s="8"/>
      <c r="AA385" s="8"/>
      <c r="AB385" s="8"/>
      <c r="AC385" s="1393" t="s">
        <v>2714</v>
      </c>
      <c r="AD385" s="1393"/>
      <c r="AE385" s="1393"/>
      <c r="AF385" s="1393"/>
      <c r="AG385" s="1393"/>
      <c r="AH385" s="1393"/>
      <c r="AI385" s="1393"/>
      <c r="AJ385" s="1393"/>
    </row>
    <row r="386" spans="4:36" ht="13" customHeight="1">
      <c r="D386" s="3" t="s">
        <v>1182</v>
      </c>
      <c r="J386" s="1400" t="s">
        <v>2714</v>
      </c>
      <c r="K386" s="1400"/>
      <c r="L386" s="1400"/>
      <c r="M386" s="1400"/>
      <c r="N386" s="1400"/>
      <c r="O386" s="1400"/>
      <c r="P386" s="1400"/>
      <c r="Q386" s="1400"/>
      <c r="R386" s="1400"/>
      <c r="S386" s="1400"/>
      <c r="T386" s="1400"/>
      <c r="U386" s="1400"/>
      <c r="V386" s="3" t="s">
        <v>1182</v>
      </c>
      <c r="W386" s="8"/>
      <c r="X386" s="8"/>
      <c r="Y386" s="8"/>
      <c r="Z386" s="8"/>
      <c r="AA386" s="8"/>
      <c r="AB386" s="8"/>
      <c r="AC386" s="1393"/>
      <c r="AD386" s="1393"/>
      <c r="AE386" s="1393"/>
      <c r="AF386" s="1393"/>
      <c r="AG386" s="1393"/>
      <c r="AH386" s="1393"/>
      <c r="AI386" s="1393"/>
      <c r="AJ386" s="1393"/>
    </row>
    <row r="387" spans="4:36" ht="13" customHeight="1">
      <c r="D387" s="3" t="s">
        <v>442</v>
      </c>
      <c r="J387" s="1400" t="s">
        <v>2715</v>
      </c>
      <c r="K387" s="1400"/>
      <c r="L387" s="1400"/>
      <c r="M387" s="1400"/>
      <c r="N387" s="1400"/>
      <c r="O387" s="1400"/>
      <c r="P387" s="1400"/>
      <c r="Q387" s="1400"/>
      <c r="R387" s="1400"/>
      <c r="S387" s="1400"/>
      <c r="T387" s="1400"/>
      <c r="U387" s="1400"/>
      <c r="V387" s="3" t="s">
        <v>442</v>
      </c>
      <c r="W387" s="8"/>
      <c r="X387" s="8"/>
      <c r="Y387" s="8"/>
      <c r="Z387" s="8"/>
      <c r="AA387" s="8"/>
      <c r="AB387" s="8"/>
      <c r="AC387" s="1393"/>
      <c r="AD387" s="1393"/>
      <c r="AE387" s="1393"/>
      <c r="AF387" s="1393"/>
      <c r="AG387" s="1393"/>
      <c r="AH387" s="1393"/>
      <c r="AI387" s="1393"/>
      <c r="AJ387" s="1393"/>
    </row>
    <row r="388" spans="4:36" ht="13" customHeight="1">
      <c r="D388" t="s">
        <v>1178</v>
      </c>
      <c r="J388" s="1389" t="s">
        <v>2703</v>
      </c>
      <c r="K388" s="1389"/>
      <c r="L388" s="1389"/>
      <c r="M388" s="1389"/>
      <c r="N388" s="1389"/>
      <c r="O388" s="1389"/>
      <c r="P388" s="1389"/>
      <c r="Q388" s="1389"/>
      <c r="R388" s="1389"/>
      <c r="S388" s="1389"/>
      <c r="T388" s="1389"/>
      <c r="U388" s="1389"/>
      <c r="V388" s="1393" t="s">
        <v>2621</v>
      </c>
      <c r="W388" s="1393"/>
      <c r="X388" s="1393"/>
      <c r="Y388" s="1393"/>
      <c r="Z388" s="1393"/>
      <c r="AA388" s="1393"/>
      <c r="AB388" s="1393"/>
      <c r="AC388" s="1393"/>
      <c r="AD388" s="1393"/>
      <c r="AE388" s="1393"/>
      <c r="AF388" s="1393"/>
      <c r="AG388" s="1393"/>
      <c r="AH388" s="1393"/>
      <c r="AI388" s="1393"/>
      <c r="AJ388" s="1393"/>
    </row>
    <row r="389" spans="4:36" ht="13" customHeight="1">
      <c r="D389" t="s">
        <v>4</v>
      </c>
      <c r="Q389" s="1586">
        <v>45677</v>
      </c>
      <c r="R389" s="1586"/>
      <c r="S389" s="1586"/>
      <c r="T389" s="1586"/>
      <c r="U389" s="1586"/>
      <c r="V389" t="s">
        <v>309</v>
      </c>
      <c r="AI389" s="1397" t="s">
        <v>546</v>
      </c>
      <c r="AJ389" s="1397"/>
    </row>
    <row r="390" spans="4:36" ht="13" customHeight="1">
      <c r="D390" t="s">
        <v>5</v>
      </c>
      <c r="Q390" s="1593"/>
      <c r="R390" s="1594"/>
      <c r="S390" s="1594"/>
      <c r="T390" s="1594"/>
      <c r="U390" s="1594"/>
      <c r="W390" s="21" t="s">
        <v>74</v>
      </c>
      <c r="AG390" s="1451"/>
      <c r="AH390" s="1451"/>
      <c r="AI390" s="1451"/>
      <c r="AJ390" s="1451"/>
    </row>
    <row r="391" spans="4:36" ht="13" customHeight="1">
      <c r="D391" t="s">
        <v>427</v>
      </c>
      <c r="Q391" s="1452">
        <f>'Sources and Uses Budget'!C9+'Sources and Uses Budget'!C4</f>
        <v>32700000</v>
      </c>
      <c r="R391" s="1452"/>
      <c r="S391" s="1452"/>
      <c r="T391" s="1452"/>
      <c r="U391" s="1452"/>
      <c r="V391" s="3" t="s">
        <v>1181</v>
      </c>
      <c r="AG391" s="1531">
        <v>45931</v>
      </c>
      <c r="AH391" s="1531"/>
      <c r="AI391" s="1531"/>
      <c r="AJ391" s="1531"/>
    </row>
    <row r="392" spans="4:36" ht="13" customHeight="1">
      <c r="D392" t="s">
        <v>88</v>
      </c>
      <c r="I392" s="1529" t="s">
        <v>2666</v>
      </c>
      <c r="J392" s="1530"/>
      <c r="K392" s="1530"/>
      <c r="L392" s="1530"/>
      <c r="M392" s="1530"/>
      <c r="N392" s="1530"/>
      <c r="Q392" s="4" t="s">
        <v>206</v>
      </c>
      <c r="S392" s="1450"/>
      <c r="T392" s="1450"/>
      <c r="U392" s="1450"/>
      <c r="V392" t="s">
        <v>73</v>
      </c>
      <c r="AI392" s="1397" t="s">
        <v>670</v>
      </c>
      <c r="AJ392" s="1397"/>
    </row>
    <row r="393" spans="4:36" ht="13" customHeight="1">
      <c r="D393" t="s">
        <v>310</v>
      </c>
      <c r="Q393" s="1526"/>
      <c r="R393" s="1526"/>
      <c r="S393" s="1526"/>
      <c r="T393" s="1526"/>
      <c r="U393" s="1526"/>
      <c r="V393" t="s">
        <v>311</v>
      </c>
      <c r="AG393" s="1451">
        <v>41000</v>
      </c>
      <c r="AH393" s="1451"/>
      <c r="AI393" s="1451"/>
      <c r="AJ393" s="1451"/>
    </row>
    <row r="394" spans="4:36" ht="13" customHeight="1">
      <c r="D394" t="s">
        <v>312</v>
      </c>
      <c r="Q394" s="1596"/>
      <c r="R394" s="1596"/>
      <c r="S394" s="1596"/>
      <c r="T394" s="1596"/>
      <c r="U394" s="1596"/>
      <c r="V394" t="s">
        <v>1163</v>
      </c>
      <c r="AG394" s="1451"/>
      <c r="AH394" s="1451"/>
      <c r="AI394" s="1451"/>
      <c r="AJ394" s="1451"/>
    </row>
    <row r="395" spans="4:36" ht="13" customHeight="1">
      <c r="D395" t="s">
        <v>1162</v>
      </c>
      <c r="AG395" s="1451"/>
      <c r="AH395" s="1451"/>
      <c r="AI395" s="1451"/>
      <c r="AJ395" s="1451"/>
    </row>
    <row r="396" spans="4:36" ht="13" customHeight="1">
      <c r="AG396" s="457"/>
      <c r="AH396" s="457"/>
      <c r="AI396" s="457"/>
      <c r="AJ396" s="457"/>
    </row>
    <row r="397" spans="4:36" ht="13" customHeight="1">
      <c r="D397" s="3" t="s">
        <v>2144</v>
      </c>
      <c r="AG397" s="457"/>
      <c r="AH397" s="457"/>
      <c r="AI397" s="1397" t="s">
        <v>670</v>
      </c>
      <c r="AJ397" s="1397"/>
    </row>
    <row r="398" spans="4:36" ht="13" customHeight="1">
      <c r="D398" s="3" t="s">
        <v>1667</v>
      </c>
      <c r="T398" s="1491"/>
      <c r="U398" s="1491"/>
      <c r="V398" s="1491"/>
      <c r="W398" s="1491"/>
      <c r="X398" s="1491"/>
      <c r="Y398" s="1491"/>
      <c r="Z398" s="1491"/>
      <c r="AA398" s="1491"/>
      <c r="AB398" s="1491"/>
      <c r="AC398" s="1491"/>
      <c r="AD398" s="1491"/>
      <c r="AE398" s="1491"/>
      <c r="AF398" s="1491"/>
      <c r="AG398" s="1491"/>
      <c r="AH398" s="1491"/>
      <c r="AI398" s="1491"/>
      <c r="AJ398" s="1491"/>
    </row>
    <row r="399" spans="4:36" ht="13" customHeight="1">
      <c r="D399" s="3" t="s">
        <v>1666</v>
      </c>
      <c r="T399" s="1491"/>
      <c r="U399" s="1491"/>
      <c r="V399" s="1491"/>
      <c r="W399" s="1491"/>
      <c r="X399" s="1491"/>
      <c r="Y399" s="1491"/>
      <c r="Z399" s="1491"/>
      <c r="AA399" s="1491"/>
      <c r="AB399" s="1491"/>
      <c r="AC399" s="1491"/>
      <c r="AD399" s="1491"/>
      <c r="AE399" s="1491"/>
      <c r="AF399" s="1491"/>
      <c r="AG399" s="1491"/>
      <c r="AH399" s="1491"/>
      <c r="AI399" s="1491"/>
      <c r="AJ399" s="1491"/>
    </row>
    <row r="400" spans="4:36" ht="13" customHeight="1">
      <c r="AG400" s="457"/>
      <c r="AH400" s="457"/>
      <c r="AI400" s="457"/>
      <c r="AJ400" s="457"/>
    </row>
    <row r="401" spans="1:36" ht="13" customHeight="1">
      <c r="D401" s="3" t="s">
        <v>1660</v>
      </c>
      <c r="S401" s="1491" t="s">
        <v>670</v>
      </c>
      <c r="T401" s="1491"/>
      <c r="U401" s="1491"/>
      <c r="V401" t="s">
        <v>1661</v>
      </c>
      <c r="AG401" s="1597"/>
      <c r="AH401" s="1597"/>
      <c r="AI401" s="1597"/>
      <c r="AJ401" s="1597"/>
    </row>
    <row r="402" spans="1:36" ht="13" customHeight="1">
      <c r="D402" s="3" t="s">
        <v>1658</v>
      </c>
      <c r="S402" s="1491" t="s">
        <v>592</v>
      </c>
      <c r="T402" s="1491"/>
      <c r="U402" s="1491"/>
      <c r="V402" t="s">
        <v>1663</v>
      </c>
      <c r="AE402" s="1598"/>
      <c r="AF402" s="1598"/>
      <c r="AG402" s="1598"/>
      <c r="AH402" s="1598"/>
      <c r="AI402" s="1598"/>
      <c r="AJ402" s="1598"/>
    </row>
    <row r="403" spans="1:36" ht="13" customHeight="1">
      <c r="D403" s="3" t="s">
        <v>1659</v>
      </c>
      <c r="K403" s="1532"/>
      <c r="L403" s="1532"/>
      <c r="M403" s="1532"/>
      <c r="N403" s="1532"/>
      <c r="O403" s="1532"/>
      <c r="P403" s="1532"/>
      <c r="Q403" s="1532"/>
      <c r="R403" s="1532"/>
      <c r="S403" s="1532"/>
      <c r="T403" s="1532"/>
      <c r="U403" s="1532"/>
      <c r="V403" s="1532"/>
      <c r="W403" s="1532"/>
      <c r="X403" s="1532"/>
      <c r="Y403" s="1532"/>
      <c r="Z403" s="1532"/>
      <c r="AA403" s="1532"/>
      <c r="AB403" s="1532"/>
      <c r="AC403" s="1532"/>
      <c r="AD403" s="1532"/>
      <c r="AE403" s="1532"/>
      <c r="AF403" s="1532"/>
      <c r="AG403" s="1532"/>
      <c r="AH403" s="1532"/>
      <c r="AI403" s="1532"/>
      <c r="AJ403" s="1532"/>
    </row>
    <row r="404" spans="1:36" ht="13" customHeight="1">
      <c r="D404" s="3" t="s">
        <v>1662</v>
      </c>
      <c r="K404" s="1532"/>
      <c r="L404" s="1532"/>
      <c r="M404" s="1532"/>
      <c r="N404" s="1532"/>
      <c r="O404" s="1532"/>
      <c r="P404" s="1532"/>
      <c r="Q404" s="1532"/>
      <c r="R404" s="1532"/>
      <c r="S404" s="1532"/>
      <c r="T404" s="1532"/>
      <c r="U404" s="1532"/>
      <c r="V404" s="1532"/>
      <c r="W404" s="1532"/>
      <c r="X404" s="1532"/>
      <c r="Y404" s="1532"/>
      <c r="Z404" s="1532"/>
      <c r="AA404" s="1532"/>
      <c r="AB404" s="1532"/>
      <c r="AC404" s="1532"/>
      <c r="AD404" s="1532"/>
      <c r="AE404" s="1532"/>
      <c r="AF404" s="1532"/>
      <c r="AG404" s="1532"/>
      <c r="AH404" s="1532"/>
      <c r="AI404" s="1532"/>
      <c r="AJ404" s="1532"/>
    </row>
    <row r="405" spans="1:36" ht="13" customHeight="1">
      <c r="D405" s="3" t="s">
        <v>1665</v>
      </c>
      <c r="E405" s="478"/>
      <c r="F405" s="478"/>
      <c r="G405" s="478"/>
      <c r="H405" s="478"/>
      <c r="I405" s="478"/>
      <c r="J405" s="478"/>
      <c r="K405" s="478"/>
      <c r="L405" s="478"/>
      <c r="M405" s="478"/>
      <c r="N405" s="478"/>
      <c r="O405" s="478"/>
      <c r="P405" s="478"/>
      <c r="Q405" s="478"/>
      <c r="R405" s="478"/>
      <c r="S405" s="1448" t="s">
        <v>1184</v>
      </c>
      <c r="T405" s="1448"/>
      <c r="U405" s="1448"/>
      <c r="V405" s="1448"/>
      <c r="W405" s="1448"/>
      <c r="X405" s="1448"/>
      <c r="Y405" s="1448"/>
      <c r="Z405" s="1448"/>
      <c r="AA405" s="1448"/>
      <c r="AB405" s="1448"/>
      <c r="AC405" s="1448"/>
      <c r="AD405" s="1448"/>
      <c r="AE405" s="1448"/>
      <c r="AF405" s="1448"/>
      <c r="AG405" s="1448"/>
      <c r="AH405" s="1448"/>
      <c r="AI405" s="1448"/>
      <c r="AJ405" s="1448"/>
    </row>
    <row r="406" spans="1:36" ht="13" customHeight="1">
      <c r="D406" s="1265" t="s">
        <v>1664</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3"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3" customHeight="1">
      <c r="AG408" s="457"/>
      <c r="AH408" s="457"/>
      <c r="AI408" s="457"/>
      <c r="AJ408" s="457"/>
    </row>
    <row r="409" spans="1:36" ht="13" customHeight="1">
      <c r="A409" s="2" t="s">
        <v>590</v>
      </c>
      <c r="B409" s="2"/>
      <c r="C409" s="2" t="s">
        <v>111</v>
      </c>
    </row>
    <row r="410" spans="1:36" ht="13" customHeight="1">
      <c r="B410" s="2"/>
      <c r="C410" s="2"/>
      <c r="D410" s="2" t="s">
        <v>1204</v>
      </c>
      <c r="I410" s="1536" t="s">
        <v>2647</v>
      </c>
      <c r="J410" s="1536"/>
      <c r="K410" s="1536"/>
      <c r="L410" s="1536"/>
      <c r="M410" s="1536"/>
      <c r="N410" s="1536"/>
      <c r="O410" s="1536"/>
      <c r="P410" s="1536"/>
      <c r="Q410" s="1536"/>
      <c r="R410" s="1536"/>
      <c r="S410" s="1536"/>
      <c r="T410" s="1536"/>
      <c r="U410" s="1536"/>
      <c r="V410" s="1536"/>
      <c r="W410" s="1536"/>
      <c r="X410" s="1536"/>
      <c r="Y410" s="1536"/>
      <c r="Z410" s="1536"/>
      <c r="AA410" s="1536"/>
      <c r="AB410" s="1536"/>
      <c r="AC410" s="1536"/>
      <c r="AD410" s="1536"/>
      <c r="AE410" s="1536"/>
    </row>
    <row r="411" spans="1:36" ht="13" customHeight="1">
      <c r="E411" t="s">
        <v>106</v>
      </c>
      <c r="R411" s="1397" t="s">
        <v>546</v>
      </c>
      <c r="S411" s="1397"/>
      <c r="AC411" s="27" t="s">
        <v>571</v>
      </c>
      <c r="AD411" s="1371">
        <v>12</v>
      </c>
      <c r="AE411" s="1371"/>
    </row>
    <row r="412" spans="1:36" ht="13" customHeight="1">
      <c r="E412" t="s">
        <v>107</v>
      </c>
      <c r="R412" s="1397" t="s">
        <v>592</v>
      </c>
      <c r="S412" s="1397"/>
      <c r="AC412" s="27" t="s">
        <v>571</v>
      </c>
      <c r="AD412" s="1371"/>
      <c r="AE412" s="1371"/>
    </row>
    <row r="413" spans="1:36" ht="13" customHeight="1">
      <c r="E413" t="s">
        <v>108</v>
      </c>
      <c r="S413" s="1397" t="s">
        <v>592</v>
      </c>
      <c r="T413" s="1397"/>
    </row>
    <row r="414" spans="1:36" ht="13" customHeight="1">
      <c r="E414" t="s">
        <v>170</v>
      </c>
      <c r="H414" s="1575" t="s">
        <v>2704</v>
      </c>
      <c r="I414" s="1575"/>
      <c r="J414" s="1575"/>
      <c r="K414" s="1575"/>
      <c r="L414" s="1575"/>
      <c r="M414" s="1575"/>
      <c r="N414" s="1575"/>
      <c r="O414" s="1575"/>
      <c r="P414" s="1575"/>
      <c r="Q414" s="1575"/>
      <c r="R414" s="1575"/>
      <c r="S414" s="1575"/>
      <c r="T414" s="1575"/>
      <c r="U414" s="1575"/>
      <c r="V414" s="1575"/>
      <c r="W414" s="1575"/>
      <c r="X414" s="1575"/>
      <c r="Y414" s="1575"/>
      <c r="Z414" s="1575"/>
      <c r="AA414" s="1575"/>
      <c r="AB414" s="1575"/>
      <c r="AC414" s="1575"/>
      <c r="AD414" s="1575"/>
      <c r="AE414" s="1575"/>
    </row>
    <row r="415" spans="1:36" ht="13" customHeight="1">
      <c r="H415" s="1576"/>
      <c r="I415" s="1576"/>
      <c r="J415" s="1576"/>
      <c r="K415" s="1576"/>
      <c r="L415" s="1576"/>
      <c r="M415" s="1576"/>
      <c r="N415" s="1576"/>
      <c r="O415" s="1576"/>
      <c r="P415" s="1576"/>
      <c r="Q415" s="1576"/>
      <c r="R415" s="1576"/>
      <c r="S415" s="1576"/>
      <c r="T415" s="1576"/>
      <c r="U415" s="1576"/>
      <c r="V415" s="1576"/>
      <c r="W415" s="1576"/>
      <c r="X415" s="1576"/>
      <c r="Y415" s="1576"/>
      <c r="Z415" s="1576"/>
      <c r="AA415" s="1576"/>
      <c r="AB415" s="1576"/>
      <c r="AC415" s="1576"/>
      <c r="AD415" s="1576"/>
      <c r="AE415" s="1576"/>
    </row>
    <row r="416" spans="1:36" ht="13" customHeight="1"/>
    <row r="417" spans="1:39" ht="13" customHeight="1">
      <c r="A417" s="2" t="s">
        <v>591</v>
      </c>
      <c r="B417" s="2"/>
      <c r="C417" s="2"/>
      <c r="D417" s="2" t="s">
        <v>114</v>
      </c>
      <c r="AF417" s="2" t="s">
        <v>957</v>
      </c>
    </row>
    <row r="418" spans="1:39" ht="13" customHeight="1">
      <c r="E418" s="1499"/>
      <c r="F418" s="1499"/>
      <c r="G418" s="1499"/>
      <c r="H418" s="13" t="s">
        <v>115</v>
      </c>
      <c r="I418" s="1499"/>
      <c r="J418" s="1499"/>
      <c r="K418" s="1499"/>
      <c r="L418" t="s">
        <v>116</v>
      </c>
      <c r="N418" s="27" t="s">
        <v>576</v>
      </c>
      <c r="P418" s="1588">
        <f>59357/43560</f>
        <v>1.3626492194674014</v>
      </c>
      <c r="Q418" s="1588"/>
      <c r="R418" s="1588"/>
      <c r="S418" t="s">
        <v>117</v>
      </c>
      <c r="W418" s="1447">
        <f>IF(E418&gt;0,(E418*I418),(P418*43560))</f>
        <v>59357</v>
      </c>
      <c r="X418" s="1447"/>
      <c r="Y418" s="1447"/>
      <c r="Z418" t="s">
        <v>118</v>
      </c>
      <c r="AF418" s="1577">
        <f>IFERROR(IF(P418&gt;0,(AG437/P418),(AG437/(W418/43560))),0)</f>
        <v>176.86136428727866</v>
      </c>
      <c r="AG418" s="1577"/>
      <c r="AH418" s="1577"/>
      <c r="AM418" s="3"/>
    </row>
    <row r="419" spans="1:39" ht="13" customHeight="1">
      <c r="E419" t="s">
        <v>51</v>
      </c>
    </row>
    <row r="420" spans="1:39" ht="13" customHeight="1">
      <c r="E420" s="1492"/>
      <c r="F420" s="1492"/>
      <c r="G420" s="1492"/>
      <c r="H420" s="1492"/>
      <c r="I420" s="1492"/>
      <c r="J420" s="1492"/>
      <c r="K420" s="1492"/>
      <c r="L420" s="1492"/>
      <c r="M420" s="1492"/>
      <c r="N420" s="1492"/>
      <c r="O420" s="1492"/>
      <c r="P420" s="1492"/>
      <c r="Q420" s="1492"/>
      <c r="R420" s="1492"/>
      <c r="S420" s="1492"/>
      <c r="T420" s="1492"/>
      <c r="U420" s="1492"/>
      <c r="V420" s="1492"/>
      <c r="W420" s="1492"/>
      <c r="X420" s="1492"/>
      <c r="Y420" s="1492"/>
      <c r="Z420" s="1492"/>
      <c r="AA420" s="1492"/>
      <c r="AB420" s="1492"/>
      <c r="AC420" s="1492"/>
      <c r="AD420" s="1492"/>
      <c r="AE420" s="1492"/>
      <c r="AF420" s="1492"/>
      <c r="AG420" s="1492"/>
      <c r="AH420" s="1492"/>
      <c r="AI420" s="1492"/>
      <c r="AJ420" s="1492"/>
    </row>
    <row r="421" spans="1:39" ht="13" customHeight="1">
      <c r="E421" s="118" t="s">
        <v>1736</v>
      </c>
      <c r="F421" s="1014"/>
      <c r="G421" s="1014"/>
      <c r="H421" s="1014"/>
      <c r="I421" s="1587">
        <f>P418</f>
        <v>1.3626492194674014</v>
      </c>
      <c r="J421" s="1587"/>
      <c r="K421" s="1587"/>
      <c r="L421" s="1014"/>
      <c r="M421" s="118"/>
      <c r="N421" s="1014"/>
      <c r="O421" s="1014"/>
      <c r="P421" s="1595">
        <f>(DU755+DU778+DU800)/I421</f>
        <v>275.9330828714389</v>
      </c>
      <c r="Q421" s="1595"/>
      <c r="R421" s="1595"/>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593</v>
      </c>
      <c r="B423" s="2"/>
      <c r="C423" s="2"/>
      <c r="D423" s="2" t="s">
        <v>120</v>
      </c>
    </row>
    <row r="424" spans="1:39" ht="13" customHeight="1">
      <c r="E424" t="s">
        <v>121</v>
      </c>
      <c r="P424" s="1397">
        <v>1</v>
      </c>
      <c r="Q424" s="1397"/>
      <c r="S424" t="s">
        <v>189</v>
      </c>
      <c r="AE424" s="1397">
        <v>1</v>
      </c>
      <c r="AF424" s="1397"/>
    </row>
    <row r="425" spans="1:39" ht="13" customHeight="1">
      <c r="E425" t="s">
        <v>190</v>
      </c>
      <c r="P425" s="1397">
        <v>0</v>
      </c>
      <c r="Q425" s="1397"/>
      <c r="S425" t="s">
        <v>131</v>
      </c>
      <c r="AE425" s="1397" t="s">
        <v>592</v>
      </c>
      <c r="AF425" s="1397"/>
    </row>
    <row r="426" spans="1:39" ht="13" customHeight="1">
      <c r="F426" s="28" t="s">
        <v>132</v>
      </c>
    </row>
    <row r="427" spans="1:39" ht="13" customHeight="1">
      <c r="F427" s="1537"/>
      <c r="G427" s="1537"/>
      <c r="H427" s="1537"/>
      <c r="I427" s="1537"/>
      <c r="J427" s="1537"/>
      <c r="K427" s="1537"/>
      <c r="L427" s="1537"/>
      <c r="M427" s="1537"/>
      <c r="N427" s="1537"/>
      <c r="O427" s="1537"/>
      <c r="P427" s="1537"/>
      <c r="Q427" s="1537"/>
      <c r="R427" s="1537"/>
      <c r="S427" s="1537"/>
      <c r="T427" s="1537"/>
      <c r="U427" s="1537"/>
      <c r="V427" s="1537"/>
      <c r="W427" s="1537"/>
      <c r="X427" s="1537"/>
      <c r="Y427" s="1537"/>
      <c r="Z427" s="1537"/>
      <c r="AA427" s="1537"/>
      <c r="AB427" s="1537"/>
      <c r="AC427" s="1537"/>
      <c r="AD427" s="1537"/>
      <c r="AE427" s="1537"/>
      <c r="AF427" s="1537"/>
      <c r="AG427" s="1537"/>
      <c r="AH427" s="1537"/>
    </row>
    <row r="428" spans="1:39" ht="13" customHeight="1">
      <c r="F428" s="1538"/>
      <c r="G428" s="1538"/>
      <c r="H428" s="1538"/>
      <c r="I428" s="1538"/>
      <c r="J428" s="1538"/>
      <c r="K428" s="1538"/>
      <c r="L428" s="1538"/>
      <c r="M428" s="1538"/>
      <c r="N428" s="1538"/>
      <c r="O428" s="1538"/>
      <c r="P428" s="1538"/>
      <c r="Q428" s="1538"/>
      <c r="R428" s="1538"/>
      <c r="S428" s="1538"/>
      <c r="T428" s="1538"/>
      <c r="U428" s="1538"/>
      <c r="V428" s="1538"/>
      <c r="W428" s="1538"/>
      <c r="X428" s="1538"/>
      <c r="Y428" s="1538"/>
      <c r="Z428" s="1538"/>
      <c r="AA428" s="1538"/>
      <c r="AB428" s="1538"/>
      <c r="AC428" s="1538"/>
      <c r="AD428" s="1538"/>
      <c r="AE428" s="1538"/>
      <c r="AF428" s="1538"/>
      <c r="AG428" s="1538"/>
      <c r="AH428" s="1538"/>
    </row>
    <row r="429" spans="1:39" ht="13" customHeight="1">
      <c r="E429" t="s">
        <v>609</v>
      </c>
      <c r="P429" s="1"/>
      <c r="Q429" s="1397" t="s">
        <v>670</v>
      </c>
      <c r="R429" s="1397"/>
    </row>
    <row r="430" spans="1:39" ht="13" customHeight="1">
      <c r="F430" t="s">
        <v>610</v>
      </c>
      <c r="P430" s="1"/>
      <c r="Q430" s="1"/>
      <c r="AF430" s="1397" t="s">
        <v>592</v>
      </c>
      <c r="AG430" s="1523"/>
    </row>
    <row r="431" spans="1:39" ht="13" customHeight="1"/>
    <row r="432" spans="1:39" ht="13" customHeight="1">
      <c r="A432" s="2"/>
      <c r="B432" s="2"/>
      <c r="C432" s="2"/>
      <c r="E432" s="4" t="s">
        <v>308</v>
      </c>
      <c r="Z432" s="1397" t="s">
        <v>670</v>
      </c>
      <c r="AA432" s="1397"/>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397" t="s">
        <v>592</v>
      </c>
      <c r="AA434" s="1397"/>
    </row>
    <row r="435" spans="1:55" ht="13" customHeight="1"/>
    <row r="436" spans="1:55" ht="13" customHeight="1">
      <c r="A436" s="2" t="s">
        <v>468</v>
      </c>
      <c r="B436" s="2"/>
      <c r="C436" s="2"/>
      <c r="D436" s="2" t="s">
        <v>765</v>
      </c>
      <c r="AF436" s="48"/>
    </row>
    <row r="437" spans="1:55" ht="13" customHeight="1">
      <c r="D437" s="1533" t="s">
        <v>43</v>
      </c>
      <c r="E437" s="1423"/>
      <c r="F437" s="1423"/>
      <c r="G437" s="1423"/>
      <c r="H437" s="1423"/>
      <c r="I437" s="1423"/>
      <c r="J437" s="1423"/>
      <c r="K437" s="1423"/>
      <c r="L437" s="1423"/>
      <c r="M437" s="1423"/>
      <c r="N437" s="1423"/>
      <c r="O437" s="1423"/>
      <c r="P437" s="1423"/>
      <c r="Q437" s="1423"/>
      <c r="R437" s="1423"/>
      <c r="S437" s="1423"/>
      <c r="T437" s="1423"/>
      <c r="U437" s="1423"/>
      <c r="V437" s="1423"/>
      <c r="W437" s="1423"/>
      <c r="X437" s="1423"/>
      <c r="Y437" s="1423"/>
      <c r="Z437" s="1423"/>
      <c r="AA437" s="1423"/>
      <c r="AB437" s="1423"/>
      <c r="AC437" s="1423"/>
      <c r="AD437" s="1423"/>
      <c r="AE437" s="1423"/>
      <c r="AF437" s="1424"/>
      <c r="AG437" s="1434">
        <v>241</v>
      </c>
      <c r="AH437" s="1434"/>
      <c r="AI437" s="1434"/>
      <c r="AJ437" s="1434"/>
    </row>
    <row r="438" spans="1:55" ht="13" customHeight="1">
      <c r="D438" s="1422" t="s">
        <v>1222</v>
      </c>
      <c r="E438" s="1457"/>
      <c r="F438" s="1457"/>
      <c r="G438" s="1457"/>
      <c r="H438" s="1457"/>
      <c r="I438" s="1457"/>
      <c r="J438" s="1457"/>
      <c r="K438" s="1457"/>
      <c r="L438" s="1457"/>
      <c r="M438" s="1457"/>
      <c r="N438" s="1457"/>
      <c r="O438" s="1457"/>
      <c r="P438" s="1457"/>
      <c r="Q438" s="1457"/>
      <c r="R438" s="1457"/>
      <c r="S438" s="1457"/>
      <c r="T438" s="1457"/>
      <c r="U438" s="1457"/>
      <c r="V438" s="1457"/>
      <c r="W438" s="1457"/>
      <c r="X438" s="1457"/>
      <c r="Y438" s="1457"/>
      <c r="Z438" s="1457"/>
      <c r="AA438" s="1457"/>
      <c r="AB438" s="1457"/>
      <c r="AC438" s="1457"/>
      <c r="AD438" s="1457"/>
      <c r="AE438" s="1457"/>
      <c r="AF438" s="1458"/>
      <c r="AG438" s="1524">
        <v>0</v>
      </c>
      <c r="AH438" s="1525"/>
      <c r="AI438" s="1525"/>
      <c r="AJ438" s="1525"/>
    </row>
    <row r="439" spans="1:55" ht="13" customHeight="1">
      <c r="D439" s="1422" t="s">
        <v>1031</v>
      </c>
      <c r="E439" s="1457"/>
      <c r="F439" s="1457"/>
      <c r="G439" s="1457"/>
      <c r="H439" s="1457"/>
      <c r="I439" s="1457"/>
      <c r="J439" s="1457"/>
      <c r="K439" s="1457"/>
      <c r="L439" s="1457"/>
      <c r="M439" s="1457"/>
      <c r="N439" s="1457"/>
      <c r="O439" s="1457"/>
      <c r="P439" s="1457"/>
      <c r="Q439" s="1457"/>
      <c r="R439" s="1457"/>
      <c r="S439" s="1457"/>
      <c r="T439" s="1457"/>
      <c r="U439" s="1457"/>
      <c r="V439" s="1457"/>
      <c r="W439" s="1457"/>
      <c r="X439" s="1457"/>
      <c r="Y439" s="1457"/>
      <c r="Z439" s="1457"/>
      <c r="AA439" s="1457"/>
      <c r="AB439" s="1457"/>
      <c r="AC439" s="1457"/>
      <c r="AD439" s="1457"/>
      <c r="AE439" s="1457"/>
      <c r="AF439" s="1458"/>
      <c r="AG439" s="1434">
        <v>239</v>
      </c>
      <c r="AH439" s="1434"/>
      <c r="AI439" s="1434"/>
      <c r="AJ439" s="1434"/>
    </row>
    <row r="440" spans="1:55" ht="13" customHeight="1">
      <c r="D440" s="1422" t="s">
        <v>1032</v>
      </c>
      <c r="E440" s="1457"/>
      <c r="F440" s="1457"/>
      <c r="G440" s="1457"/>
      <c r="H440" s="1457"/>
      <c r="I440" s="1457"/>
      <c r="J440" s="1457"/>
      <c r="K440" s="1457"/>
      <c r="L440" s="1457"/>
      <c r="M440" s="1457"/>
      <c r="N440" s="1457"/>
      <c r="O440" s="1457"/>
      <c r="P440" s="1457"/>
      <c r="Q440" s="1457"/>
      <c r="R440" s="1457"/>
      <c r="S440" s="1457"/>
      <c r="T440" s="1457"/>
      <c r="U440" s="1457"/>
      <c r="V440" s="1457"/>
      <c r="W440" s="1457"/>
      <c r="X440" s="1457"/>
      <c r="Y440" s="1457"/>
      <c r="Z440" s="1457"/>
      <c r="AA440" s="1457"/>
      <c r="AB440" s="1457"/>
      <c r="AC440" s="1457"/>
      <c r="AD440" s="1457"/>
      <c r="AE440" s="1457"/>
      <c r="AF440" s="1458"/>
      <c r="AG440" s="1434">
        <v>239</v>
      </c>
      <c r="AH440" s="1434"/>
      <c r="AI440" s="1434"/>
      <c r="AJ440" s="1434"/>
    </row>
    <row r="441" spans="1:55" ht="13" customHeight="1">
      <c r="D441" s="1422" t="s">
        <v>1034</v>
      </c>
      <c r="E441" s="1457"/>
      <c r="F441" s="1457"/>
      <c r="G441" s="1457"/>
      <c r="H441" s="1457"/>
      <c r="I441" s="1457"/>
      <c r="J441" s="1457"/>
      <c r="K441" s="1457"/>
      <c r="L441" s="1457"/>
      <c r="M441" s="1457"/>
      <c r="N441" s="1457"/>
      <c r="O441" s="1457"/>
      <c r="P441" s="1457"/>
      <c r="Q441" s="1457"/>
      <c r="R441" s="1457"/>
      <c r="S441" s="1457"/>
      <c r="T441" s="1457"/>
      <c r="U441" s="1457"/>
      <c r="V441" s="1457"/>
      <c r="W441" s="1457"/>
      <c r="X441" s="1457"/>
      <c r="Y441" s="1457"/>
      <c r="Z441" s="1457"/>
      <c r="AA441" s="1457"/>
      <c r="AB441" s="1457"/>
      <c r="AC441" s="1457"/>
      <c r="AD441" s="1457"/>
      <c r="AE441" s="1457"/>
      <c r="AF441" s="1458"/>
      <c r="AG441" s="1444">
        <f>IF(ISERROR(AG440/AG439),0,AG440/AG439)</f>
        <v>1</v>
      </c>
      <c r="AH441" s="1444"/>
      <c r="AI441" s="1444"/>
      <c r="AJ441" s="1444"/>
    </row>
    <row r="442" spans="1:55" ht="13" customHeight="1">
      <c r="D442" s="1422" t="s">
        <v>1033</v>
      </c>
      <c r="E442" s="1457"/>
      <c r="F442" s="1457"/>
      <c r="G442" s="1457"/>
      <c r="H442" s="1457"/>
      <c r="I442" s="1457"/>
      <c r="J442" s="1457"/>
      <c r="K442" s="1457"/>
      <c r="L442" s="1457"/>
      <c r="M442" s="1457"/>
      <c r="N442" s="1457"/>
      <c r="O442" s="1457"/>
      <c r="P442" s="1457"/>
      <c r="Q442" s="1457"/>
      <c r="R442" s="1457"/>
      <c r="S442" s="1457"/>
      <c r="T442" s="1457"/>
      <c r="U442" s="1457"/>
      <c r="V442" s="1457"/>
      <c r="W442" s="1457"/>
      <c r="X442" s="1457"/>
      <c r="Y442" s="1457"/>
      <c r="Z442" s="1457"/>
      <c r="AA442" s="1457"/>
      <c r="AB442" s="1457"/>
      <c r="AC442" s="1457"/>
      <c r="AD442" s="1457"/>
      <c r="AE442" s="1457"/>
      <c r="AF442" s="1458"/>
      <c r="AG442" s="1456">
        <v>172210</v>
      </c>
      <c r="AH442" s="1456"/>
      <c r="AI442" s="1456"/>
      <c r="AJ442" s="1456"/>
    </row>
    <row r="443" spans="1:55" ht="13" customHeight="1">
      <c r="D443" s="1422" t="s">
        <v>1035</v>
      </c>
      <c r="E443" s="1457"/>
      <c r="F443" s="1457"/>
      <c r="G443" s="1457"/>
      <c r="H443" s="1457"/>
      <c r="I443" s="1457"/>
      <c r="J443" s="1457"/>
      <c r="K443" s="1457"/>
      <c r="L443" s="1457"/>
      <c r="M443" s="1457"/>
      <c r="N443" s="1457"/>
      <c r="O443" s="1457"/>
      <c r="P443" s="1457"/>
      <c r="Q443" s="1457"/>
      <c r="R443" s="1457"/>
      <c r="S443" s="1457"/>
      <c r="T443" s="1457"/>
      <c r="U443" s="1457"/>
      <c r="V443" s="1457"/>
      <c r="W443" s="1457"/>
      <c r="X443" s="1457"/>
      <c r="Y443" s="1457"/>
      <c r="Z443" s="1457"/>
      <c r="AA443" s="1457"/>
      <c r="AB443" s="1457"/>
      <c r="AC443" s="1457"/>
      <c r="AD443" s="1457"/>
      <c r="AE443" s="1457"/>
      <c r="AF443" s="1458"/>
      <c r="AG443" s="1456">
        <v>172210</v>
      </c>
      <c r="AH443" s="1456"/>
      <c r="AI443" s="1456"/>
      <c r="AJ443" s="1456"/>
    </row>
    <row r="444" spans="1:55" ht="13" customHeight="1">
      <c r="D444" s="1422" t="s">
        <v>1036</v>
      </c>
      <c r="E444" s="1457"/>
      <c r="F444" s="1457"/>
      <c r="G444" s="1457"/>
      <c r="H444" s="1457"/>
      <c r="I444" s="1457"/>
      <c r="J444" s="1457"/>
      <c r="K444" s="1457"/>
      <c r="L444" s="1457"/>
      <c r="M444" s="1457"/>
      <c r="N444" s="1457"/>
      <c r="O444" s="1457"/>
      <c r="P444" s="1457"/>
      <c r="Q444" s="1457"/>
      <c r="R444" s="1457"/>
      <c r="S444" s="1457"/>
      <c r="T444" s="1457"/>
      <c r="U444" s="1457"/>
      <c r="V444" s="1457"/>
      <c r="W444" s="1457"/>
      <c r="X444" s="1457"/>
      <c r="Y444" s="1457"/>
      <c r="Z444" s="1457"/>
      <c r="AA444" s="1457"/>
      <c r="AB444" s="1457"/>
      <c r="AC444" s="1457"/>
      <c r="AD444" s="1457"/>
      <c r="AE444" s="1457"/>
      <c r="AF444" s="1458"/>
      <c r="AG444" s="1444">
        <f>IF(ISERROR(AG443/AG442),0,AG443/AG442)</f>
        <v>1</v>
      </c>
      <c r="AH444" s="1444"/>
      <c r="AI444" s="1444"/>
      <c r="AJ444" s="1444"/>
    </row>
    <row r="445" spans="1:55" ht="13" customHeight="1">
      <c r="D445" s="1422" t="s">
        <v>1037</v>
      </c>
      <c r="E445" s="1457"/>
      <c r="F445" s="1457"/>
      <c r="G445" s="1457"/>
      <c r="H445" s="1457"/>
      <c r="I445" s="1457"/>
      <c r="J445" s="1457"/>
      <c r="K445" s="1457"/>
      <c r="L445" s="1457"/>
      <c r="M445" s="1457"/>
      <c r="N445" s="1457"/>
      <c r="O445" s="1457"/>
      <c r="P445" s="1457"/>
      <c r="Q445" s="1457"/>
      <c r="R445" s="1457"/>
      <c r="S445" s="1457"/>
      <c r="T445" s="1457"/>
      <c r="U445" s="1457"/>
      <c r="V445" s="1457"/>
      <c r="W445" s="1457"/>
      <c r="X445" s="1457"/>
      <c r="Y445" s="1457"/>
      <c r="Z445" s="1457"/>
      <c r="AA445" s="1457"/>
      <c r="AB445" s="1457"/>
      <c r="AC445" s="1457"/>
      <c r="AD445" s="1457"/>
      <c r="AE445" s="1457"/>
      <c r="AF445" s="1458"/>
      <c r="AG445" s="1444">
        <f>MIN(IF(AG441&gt;AG444,AG444,AG441),1)</f>
        <v>1</v>
      </c>
      <c r="AH445" s="1444"/>
      <c r="AI445" s="1444"/>
      <c r="AJ445" s="1444"/>
    </row>
    <row r="446" spans="1:55" ht="13" customHeight="1">
      <c r="D446" s="1422" t="s">
        <v>2089</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456">
        <v>6927</v>
      </c>
      <c r="AH446" s="1456"/>
      <c r="AI446" s="1456"/>
      <c r="AJ446" s="1456"/>
      <c r="AZ446" s="34"/>
      <c r="BA446" s="34"/>
      <c r="BB446" s="34"/>
      <c r="BC446" s="34"/>
    </row>
    <row r="447" spans="1:55" ht="13" customHeight="1">
      <c r="D447" s="1533" t="s">
        <v>570</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456">
        <v>0</v>
      </c>
      <c r="AH447" s="1456"/>
      <c r="AI447" s="1456"/>
      <c r="AJ447" s="1456"/>
      <c r="AZ447" s="3"/>
      <c r="BA447" s="3"/>
      <c r="BB447" s="3"/>
      <c r="BC447" s="3"/>
    </row>
    <row r="448" spans="1:55" ht="13" customHeight="1">
      <c r="D448" s="1422" t="s">
        <v>1205</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456">
        <v>29943</v>
      </c>
      <c r="AH448" s="1456"/>
      <c r="AI448" s="1456"/>
      <c r="AJ448" s="1456"/>
      <c r="AZ448" s="3"/>
      <c r="BA448" s="3"/>
      <c r="BB448" s="3"/>
      <c r="BC448" s="3"/>
    </row>
    <row r="449" spans="1:55" ht="13" customHeight="1">
      <c r="D449" s="1422" t="s">
        <v>1038</v>
      </c>
      <c r="E449" s="1423"/>
      <c r="F449" s="1423"/>
      <c r="G449" s="1423"/>
      <c r="H449" s="1423"/>
      <c r="I449" s="1423"/>
      <c r="J449" s="1423"/>
      <c r="K449" s="1423"/>
      <c r="L449" s="1423"/>
      <c r="M449" s="1423"/>
      <c r="N449" s="1423"/>
      <c r="O449" s="1423"/>
      <c r="P449" s="1423"/>
      <c r="Q449" s="1423"/>
      <c r="R449" s="1423"/>
      <c r="S449" s="1423"/>
      <c r="T449" s="1423"/>
      <c r="U449" s="1423"/>
      <c r="V449" s="1423"/>
      <c r="W449" s="1423"/>
      <c r="X449" s="1423"/>
      <c r="Y449" s="1423"/>
      <c r="Z449" s="1423"/>
      <c r="AA449" s="1423"/>
      <c r="AB449" s="1423"/>
      <c r="AC449" s="1423"/>
      <c r="AD449" s="1423"/>
      <c r="AE449" s="1423"/>
      <c r="AF449" s="1424"/>
      <c r="AG449" s="1456">
        <v>0</v>
      </c>
      <c r="AH449" s="1456"/>
      <c r="AI449" s="1456"/>
      <c r="AJ449" s="1456"/>
      <c r="BB449" s="3"/>
      <c r="BC449" s="3"/>
    </row>
    <row r="450" spans="1:55" ht="13" customHeight="1">
      <c r="D450" s="1440" t="s">
        <v>1039</v>
      </c>
      <c r="E450" s="1441"/>
      <c r="F450" s="1441"/>
      <c r="G450" s="1441"/>
      <c r="H450" s="1441"/>
      <c r="I450" s="1441"/>
      <c r="J450" s="1441"/>
      <c r="K450" s="1441"/>
      <c r="L450" s="1441"/>
      <c r="M450" s="1441"/>
      <c r="N450" s="1441"/>
      <c r="O450" s="1441"/>
      <c r="P450" s="1441"/>
      <c r="Q450" s="1441"/>
      <c r="R450" s="1441"/>
      <c r="S450" s="1441"/>
      <c r="T450" s="1441"/>
      <c r="U450" s="1441"/>
      <c r="V450" s="1441"/>
      <c r="W450" s="1441"/>
      <c r="X450" s="1441"/>
      <c r="Y450" s="1441"/>
      <c r="Z450" s="1441"/>
      <c r="AA450" s="1441"/>
      <c r="AB450" s="1441"/>
      <c r="AC450" s="1441"/>
      <c r="AD450" s="1441"/>
      <c r="AE450" s="1441"/>
      <c r="AF450" s="1442"/>
      <c r="AG450" s="1438">
        <f>AG442+AG446+AG448+AG449</f>
        <v>209080</v>
      </c>
      <c r="AH450" s="1438"/>
      <c r="AI450" s="1438"/>
      <c r="AJ450" s="1438"/>
      <c r="AZ450" s="3"/>
      <c r="BA450" s="3"/>
      <c r="BB450" s="3"/>
      <c r="BC450" s="3"/>
    </row>
    <row r="451" spans="1:55" ht="13" customHeight="1">
      <c r="D451" s="1573" t="s">
        <v>1206</v>
      </c>
      <c r="E451" s="1573"/>
      <c r="F451" s="1573"/>
      <c r="G451" s="1573"/>
      <c r="H451" s="1573"/>
      <c r="I451" s="1573"/>
      <c r="J451" s="1573"/>
      <c r="K451" s="1573"/>
      <c r="L451" s="1573"/>
      <c r="M451" s="1573"/>
      <c r="N451" s="1573"/>
      <c r="O451" s="1573"/>
      <c r="P451" s="1573"/>
      <c r="Q451" s="1573"/>
      <c r="R451" s="1573"/>
      <c r="S451" s="1573"/>
      <c r="T451" s="1573"/>
      <c r="U451" s="1573"/>
      <c r="V451" s="1573"/>
      <c r="W451" s="1573"/>
      <c r="X451" s="1573"/>
      <c r="Y451" s="1573"/>
      <c r="Z451" s="1573"/>
      <c r="AA451" s="1573"/>
      <c r="AB451" s="1573"/>
      <c r="AC451" s="1573"/>
      <c r="AD451" s="1573"/>
      <c r="AE451" s="1573"/>
      <c r="AF451" s="1573"/>
      <c r="AG451" s="1573"/>
      <c r="AH451" s="1573"/>
      <c r="AI451" s="1573"/>
      <c r="AJ451" s="1573"/>
      <c r="AZ451" s="3"/>
      <c r="BA451" s="3"/>
      <c r="BB451" s="3"/>
      <c r="BC451" s="3"/>
    </row>
    <row r="452" spans="1:55" ht="13" customHeight="1">
      <c r="D452" s="1574"/>
      <c r="E452" s="1574"/>
      <c r="F452" s="1574"/>
      <c r="G452" s="1574"/>
      <c r="H452" s="1574"/>
      <c r="I452" s="1574"/>
      <c r="J452" s="1574"/>
      <c r="K452" s="1574"/>
      <c r="L452" s="1574"/>
      <c r="M452" s="1574"/>
      <c r="N452" s="1574"/>
      <c r="O452" s="1574"/>
      <c r="P452" s="1574"/>
      <c r="Q452" s="1574"/>
      <c r="R452" s="1574"/>
      <c r="S452" s="1574"/>
      <c r="T452" s="1574"/>
      <c r="U452" s="1574"/>
      <c r="V452" s="1574"/>
      <c r="W452" s="1574"/>
      <c r="X452" s="1574"/>
      <c r="Y452" s="1574"/>
      <c r="Z452" s="1574"/>
      <c r="AA452" s="1574"/>
      <c r="AB452" s="1574"/>
      <c r="AC452" s="1574"/>
      <c r="AD452" s="1574"/>
      <c r="AE452" s="1574"/>
      <c r="AF452" s="1574"/>
      <c r="AG452" s="1574"/>
      <c r="AH452" s="1574"/>
      <c r="AI452" s="1574"/>
      <c r="AJ452" s="1574"/>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443">
        <f>IF(AG437=0,"",'Sources and Uses Budget'!B105/Application!AG437)</f>
        <v>455848.70954356849</v>
      </c>
      <c r="AD454" s="1443"/>
      <c r="AE454" s="1443"/>
      <c r="AF454" s="1443"/>
      <c r="AG454" s="177"/>
      <c r="AH454" s="177"/>
      <c r="AI454" s="177"/>
      <c r="AJ454" s="183"/>
      <c r="AZ454" s="3"/>
      <c r="BA454" s="3" t="str">
        <f>AG575</f>
        <v>Yes</v>
      </c>
      <c r="BB454" s="3"/>
      <c r="BC454" s="3"/>
    </row>
    <row r="455" spans="1:55" ht="13"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443">
        <f>IF(AG437=0,"",'Sources and Uses Budget'!C105/Application!AG437)</f>
        <v>455848.70954356849</v>
      </c>
      <c r="AD455" s="1443"/>
      <c r="AE455" s="1443"/>
      <c r="AF455" s="1443"/>
      <c r="AG455" s="177"/>
      <c r="AH455" s="177"/>
      <c r="AI455" s="177"/>
      <c r="AJ455" s="183"/>
      <c r="AZ455" s="3"/>
      <c r="BA455" s="3"/>
      <c r="BB455" s="3"/>
      <c r="BC455" s="3"/>
    </row>
    <row r="456" spans="1:55" ht="13"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443">
        <f>IF(AG437=0,"",('Sources and Uses Budget'!$S$107+'Sources and Uses Budget'!$T$107)/Application!AG437)</f>
        <v>426193.82157676347</v>
      </c>
      <c r="AD456" s="1443"/>
      <c r="AE456" s="1443"/>
      <c r="AF456" s="1443"/>
      <c r="AG456" s="177"/>
      <c r="AH456" s="177"/>
      <c r="AI456" s="177"/>
      <c r="AJ456" s="183"/>
      <c r="AZ456" s="3"/>
      <c r="BA456" s="3"/>
      <c r="BB456" s="3"/>
      <c r="BC456" s="3"/>
    </row>
    <row r="457" spans="1:55" ht="13" customHeight="1">
      <c r="D457" s="177"/>
      <c r="E457" s="177"/>
      <c r="F457" s="1519" t="str">
        <f>IFERROR(IF(AC454&gt;650000,"Please provide a justification of cost per unit in Tab 12 for all projects with per unit costs of greater than $650,000.",""),"")</f>
        <v/>
      </c>
      <c r="G457" s="1519"/>
      <c r="H457" s="1519"/>
      <c r="I457" s="1519"/>
      <c r="J457" s="1519"/>
      <c r="K457" s="1519"/>
      <c r="L457" s="1519"/>
      <c r="M457" s="1519"/>
      <c r="N457" s="1519"/>
      <c r="O457" s="1519"/>
      <c r="P457" s="1519"/>
      <c r="Q457" s="1519"/>
      <c r="R457" s="1519"/>
      <c r="S457" s="1519"/>
      <c r="T457" s="1519"/>
      <c r="U457" s="1519"/>
      <c r="V457" s="1519"/>
      <c r="W457" s="1519"/>
      <c r="X457" s="1519"/>
      <c r="Y457" s="1519"/>
      <c r="Z457" s="1519"/>
      <c r="AA457" s="1519"/>
      <c r="AB457" s="1519"/>
      <c r="AC457" s="516"/>
      <c r="AD457" s="177"/>
      <c r="AE457" s="177"/>
      <c r="AF457" s="177"/>
      <c r="AG457" s="177"/>
      <c r="AH457" s="177"/>
      <c r="AI457" s="177"/>
      <c r="AJ457" s="183"/>
      <c r="AZ457" s="3"/>
      <c r="BA457" s="3"/>
      <c r="BB457" s="3"/>
      <c r="BC457" s="3"/>
    </row>
    <row r="458" spans="1:55" ht="13" customHeight="1">
      <c r="A458" s="2"/>
      <c r="D458" s="2"/>
      <c r="E458" s="177"/>
      <c r="F458" s="1519"/>
      <c r="G458" s="1519"/>
      <c r="H458" s="1519"/>
      <c r="I458" s="1519"/>
      <c r="J458" s="1519"/>
      <c r="K458" s="1519"/>
      <c r="L458" s="1519"/>
      <c r="M458" s="1519"/>
      <c r="N458" s="1519"/>
      <c r="O458" s="1519"/>
      <c r="P458" s="1519"/>
      <c r="Q458" s="1519"/>
      <c r="R458" s="1519"/>
      <c r="S458" s="1519"/>
      <c r="T458" s="1519"/>
      <c r="U458" s="1519"/>
      <c r="V458" s="1519"/>
      <c r="W458" s="1519"/>
      <c r="X458" s="1519"/>
      <c r="Y458" s="1519"/>
      <c r="Z458" s="1519"/>
      <c r="AA458" s="1519"/>
      <c r="AB458" s="1519"/>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75" t="s">
        <v>2101</v>
      </c>
      <c r="E465" s="1432"/>
      <c r="F465" s="1432"/>
      <c r="G465" s="1432"/>
      <c r="H465" s="1432"/>
      <c r="I465" s="1432"/>
      <c r="J465" s="1432"/>
      <c r="K465" s="1432"/>
      <c r="L465" s="1432"/>
      <c r="M465" s="1432"/>
      <c r="N465" s="1432"/>
      <c r="O465" s="1432"/>
      <c r="P465" s="1432"/>
      <c r="Q465" s="1432"/>
      <c r="R465" s="1432"/>
      <c r="S465" s="1432"/>
      <c r="T465" s="1432"/>
      <c r="U465" s="1432"/>
      <c r="V465" s="1433"/>
      <c r="W465" s="1372">
        <v>0</v>
      </c>
      <c r="X465" s="1373"/>
      <c r="Y465" s="1374"/>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439" t="s">
        <v>694</v>
      </c>
      <c r="E466" s="1432"/>
      <c r="F466" s="1432"/>
      <c r="G466" s="1432"/>
      <c r="H466" s="1432"/>
      <c r="I466" s="1432"/>
      <c r="J466" s="1432"/>
      <c r="K466" s="1432"/>
      <c r="L466" s="1432"/>
      <c r="M466" s="1432"/>
      <c r="N466" s="1432"/>
      <c r="O466" s="1432"/>
      <c r="P466" s="1432"/>
      <c r="Q466" s="1432"/>
      <c r="R466" s="1432"/>
      <c r="S466" s="1432"/>
      <c r="T466" s="1432"/>
      <c r="U466" s="1432"/>
      <c r="V466" s="1433"/>
      <c r="W466" s="1372">
        <v>0</v>
      </c>
      <c r="X466" s="1373"/>
      <c r="Y466" s="1374"/>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439" t="s">
        <v>695</v>
      </c>
      <c r="E467" s="1432"/>
      <c r="F467" s="1432"/>
      <c r="G467" s="1432"/>
      <c r="H467" s="1432"/>
      <c r="I467" s="1432"/>
      <c r="J467" s="1432"/>
      <c r="K467" s="1432"/>
      <c r="L467" s="1432"/>
      <c r="M467" s="1432"/>
      <c r="N467" s="1432"/>
      <c r="O467" s="1432"/>
      <c r="P467" s="1432"/>
      <c r="Q467" s="1432"/>
      <c r="R467" s="1432"/>
      <c r="S467" s="1432"/>
      <c r="T467" s="1432"/>
      <c r="U467" s="1432"/>
      <c r="V467" s="1433"/>
      <c r="W467" s="1372">
        <v>0</v>
      </c>
      <c r="X467" s="1373"/>
      <c r="Y467" s="1374"/>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439" t="s">
        <v>696</v>
      </c>
      <c r="E468" s="1432"/>
      <c r="F468" s="1432"/>
      <c r="G468" s="1432"/>
      <c r="H468" s="1432"/>
      <c r="I468" s="1432"/>
      <c r="J468" s="1432"/>
      <c r="K468" s="1432"/>
      <c r="L468" s="1432"/>
      <c r="M468" s="1432"/>
      <c r="N468" s="1432"/>
      <c r="O468" s="1432"/>
      <c r="P468" s="1432"/>
      <c r="Q468" s="1432"/>
      <c r="R468" s="1432"/>
      <c r="S468" s="1432"/>
      <c r="T468" s="1432"/>
      <c r="U468" s="1432"/>
      <c r="V468" s="1433"/>
      <c r="W468" s="1372">
        <v>0</v>
      </c>
      <c r="X468" s="1373"/>
      <c r="Y468" s="1374"/>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439" t="s">
        <v>881</v>
      </c>
      <c r="E469" s="1432"/>
      <c r="F469" s="1432"/>
      <c r="G469" s="1432"/>
      <c r="H469" s="1432"/>
      <c r="I469" s="1432"/>
      <c r="J469" s="1432"/>
      <c r="K469" s="1432"/>
      <c r="L469" s="1432"/>
      <c r="M469" s="1432"/>
      <c r="N469" s="1432"/>
      <c r="O469" s="1432"/>
      <c r="P469" s="1432"/>
      <c r="Q469" s="1432"/>
      <c r="R469" s="1432"/>
      <c r="S469" s="1432"/>
      <c r="T469" s="1432"/>
      <c r="U469" s="1432"/>
      <c r="V469" s="1433"/>
      <c r="W469" s="1372">
        <v>0</v>
      </c>
      <c r="X469" s="1373"/>
      <c r="Y469" s="1374"/>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439" t="s">
        <v>697</v>
      </c>
      <c r="E470" s="1432"/>
      <c r="F470" s="1432"/>
      <c r="G470" s="1432"/>
      <c r="H470" s="1432"/>
      <c r="I470" s="1432"/>
      <c r="J470" s="1432"/>
      <c r="K470" s="1432"/>
      <c r="L470" s="1432"/>
      <c r="M470" s="1432"/>
      <c r="N470" s="1432"/>
      <c r="O470" s="1432"/>
      <c r="P470" s="1432"/>
      <c r="Q470" s="1432"/>
      <c r="R470" s="1432"/>
      <c r="S470" s="1432"/>
      <c r="T470" s="1432"/>
      <c r="U470" s="1432"/>
      <c r="V470" s="1433"/>
      <c r="W470" s="1372">
        <v>0</v>
      </c>
      <c r="X470" s="1373"/>
      <c r="Y470" s="1374"/>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439" t="s">
        <v>1012</v>
      </c>
      <c r="E471" s="1432"/>
      <c r="F471" s="1432"/>
      <c r="G471" s="1432"/>
      <c r="H471" s="1432"/>
      <c r="I471" s="1432"/>
      <c r="J471" s="1432"/>
      <c r="K471" s="1432"/>
      <c r="L471" s="1432"/>
      <c r="M471" s="1432"/>
      <c r="N471" s="1432"/>
      <c r="O471" s="1432"/>
      <c r="P471" s="1432"/>
      <c r="Q471" s="1432"/>
      <c r="R471" s="1432"/>
      <c r="S471" s="1432"/>
      <c r="T471" s="1432"/>
      <c r="U471" s="1432"/>
      <c r="V471" s="1433"/>
      <c r="W471" s="1372">
        <v>0</v>
      </c>
      <c r="X471" s="1373"/>
      <c r="Y471" s="1374"/>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75" t="s">
        <v>2192</v>
      </c>
      <c r="E472" s="1376"/>
      <c r="F472" s="1376"/>
      <c r="G472" s="1376"/>
      <c r="H472" s="1376"/>
      <c r="I472" s="1376"/>
      <c r="J472" s="1376"/>
      <c r="K472" s="1376"/>
      <c r="L472" s="1376"/>
      <c r="M472" s="1376"/>
      <c r="N472" s="1376"/>
      <c r="O472" s="1376"/>
      <c r="P472" s="1376"/>
      <c r="Q472" s="1376"/>
      <c r="R472" s="1376"/>
      <c r="S472" s="1376"/>
      <c r="T472" s="1376"/>
      <c r="U472" s="1376"/>
      <c r="V472" s="1377"/>
      <c r="W472" s="1372">
        <v>0</v>
      </c>
      <c r="X472" s="1373"/>
      <c r="Y472" s="137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75" t="s">
        <v>1654</v>
      </c>
      <c r="E473" s="1432"/>
      <c r="F473" s="1432"/>
      <c r="G473" s="1432"/>
      <c r="H473" s="1432"/>
      <c r="I473" s="1432"/>
      <c r="J473" s="1432"/>
      <c r="K473" s="1432"/>
      <c r="L473" s="1432"/>
      <c r="M473" s="1432"/>
      <c r="N473" s="1432"/>
      <c r="O473" s="1432"/>
      <c r="P473" s="1432"/>
      <c r="Q473" s="1432"/>
      <c r="R473" s="1432"/>
      <c r="S473" s="1432"/>
      <c r="T473" s="1432"/>
      <c r="U473" s="1432"/>
      <c r="V473" s="1433"/>
      <c r="W473" s="1372">
        <v>0</v>
      </c>
      <c r="X473" s="1373"/>
      <c r="Y473" s="1374"/>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170</v>
      </c>
      <c r="E474" s="245"/>
      <c r="F474" s="246"/>
      <c r="G474" s="1676" t="s">
        <v>2648</v>
      </c>
      <c r="H474" s="1677"/>
      <c r="I474" s="1677"/>
      <c r="J474" s="1677"/>
      <c r="K474" s="1677"/>
      <c r="L474" s="1677"/>
      <c r="M474" s="1677"/>
      <c r="N474" s="1677"/>
      <c r="O474" s="1677"/>
      <c r="P474" s="1677"/>
      <c r="Q474" s="1677"/>
      <c r="R474" s="1677"/>
      <c r="S474" s="1677"/>
      <c r="T474" s="1677"/>
      <c r="U474" s="1677"/>
      <c r="V474" s="1678"/>
      <c r="W474" s="1372">
        <f>AG440</f>
        <v>239</v>
      </c>
      <c r="X474" s="1373"/>
      <c r="Y474" s="1374"/>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540" t="s">
        <v>811</v>
      </c>
      <c r="B480" s="1540"/>
      <c r="C480" s="1540"/>
      <c r="D480" s="1540"/>
      <c r="E480" s="1540"/>
      <c r="F480" s="1540"/>
      <c r="G480" s="1540"/>
      <c r="H480" s="1540"/>
      <c r="I480" s="1540"/>
      <c r="J480" s="1540"/>
      <c r="K480" s="1540"/>
      <c r="L480" s="1540"/>
      <c r="M480" s="1540"/>
      <c r="N480" s="1540"/>
      <c r="O480" s="1540"/>
      <c r="P480" s="1540"/>
      <c r="Q480" s="1540"/>
      <c r="R480" s="1540"/>
      <c r="S480" s="1540"/>
      <c r="T480" s="1540"/>
      <c r="U480" s="1540"/>
      <c r="V480" s="1540"/>
      <c r="W480" s="1540"/>
      <c r="X480" s="1540"/>
      <c r="Y480" s="1540"/>
      <c r="Z480" s="1540"/>
      <c r="AA480" s="1540"/>
      <c r="AB480" s="1540"/>
      <c r="AC480" s="1540"/>
      <c r="AD480" s="1540"/>
      <c r="AE480" s="1540"/>
      <c r="AF480" s="1540"/>
      <c r="AG480" s="1540"/>
      <c r="AH480" s="1540"/>
      <c r="AI480" s="1540"/>
      <c r="AJ480" s="1540"/>
      <c r="AK480" s="1540"/>
      <c r="AL480" s="1540"/>
      <c r="AM480" s="1540"/>
      <c r="AN480" s="1540"/>
      <c r="AO480" s="1540"/>
      <c r="AP480" s="1540"/>
      <c r="AQ480" s="1540"/>
      <c r="AR480" s="1540"/>
      <c r="AS480" s="1540"/>
      <c r="AT480" s="1540"/>
      <c r="AU480" s="95"/>
      <c r="AV480" s="95"/>
      <c r="AW480" s="95"/>
      <c r="AX480" s="95"/>
      <c r="AY480" s="95"/>
      <c r="AZ480" s="3"/>
      <c r="BB480" s="3"/>
      <c r="BC480" s="3"/>
    </row>
    <row r="481" spans="1:55" ht="13" customHeight="1">
      <c r="A481" s="1540"/>
      <c r="B481" s="1540"/>
      <c r="C481" s="1540"/>
      <c r="D481" s="1540"/>
      <c r="E481" s="1540"/>
      <c r="F481" s="1540"/>
      <c r="G481" s="1540"/>
      <c r="H481" s="1540"/>
      <c r="I481" s="1540"/>
      <c r="J481" s="1540"/>
      <c r="K481" s="1540"/>
      <c r="L481" s="1540"/>
      <c r="M481" s="1540"/>
      <c r="N481" s="1540"/>
      <c r="O481" s="1540"/>
      <c r="P481" s="1540"/>
      <c r="Q481" s="1540"/>
      <c r="R481" s="1540"/>
      <c r="S481" s="1540"/>
      <c r="T481" s="1540"/>
      <c r="U481" s="1540"/>
      <c r="V481" s="1540"/>
      <c r="W481" s="1540"/>
      <c r="X481" s="1540"/>
      <c r="Y481" s="1540"/>
      <c r="Z481" s="1540"/>
      <c r="AA481" s="1540"/>
      <c r="AB481" s="1540"/>
      <c r="AC481" s="1540"/>
      <c r="AD481" s="1540"/>
      <c r="AE481" s="1540"/>
      <c r="AF481" s="1540"/>
      <c r="AG481" s="1540"/>
      <c r="AH481" s="1540"/>
      <c r="AI481" s="1540"/>
      <c r="AJ481" s="1540"/>
      <c r="AK481" s="1540"/>
      <c r="AL481" s="1540"/>
      <c r="AM481" s="1540"/>
      <c r="AN481" s="1540"/>
      <c r="AO481" s="1540"/>
      <c r="AP481" s="1540"/>
      <c r="AQ481" s="1540"/>
      <c r="AR481" s="1540"/>
      <c r="AS481" s="1540"/>
      <c r="AT481" s="1540"/>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435" t="s">
        <v>393</v>
      </c>
      <c r="R485" s="1436"/>
      <c r="S485" s="1436"/>
      <c r="T485" s="1436"/>
      <c r="U485" s="1436"/>
      <c r="V485" s="1436"/>
      <c r="W485" s="1436"/>
      <c r="X485" s="1436"/>
      <c r="Y485" s="1436"/>
      <c r="Z485" s="1436"/>
      <c r="AA485" s="1436"/>
      <c r="AB485" s="1436"/>
      <c r="AC485" s="1436"/>
      <c r="AD485" s="1436"/>
      <c r="AE485" s="1436"/>
      <c r="AF485" s="1436"/>
      <c r="AG485" s="1436"/>
      <c r="AH485" s="1436"/>
      <c r="AI485" s="1436"/>
      <c r="AJ485" s="1436"/>
      <c r="AK485" s="1437"/>
      <c r="AZ485" s="3"/>
      <c r="BB485" s="3"/>
      <c r="BC485" s="3"/>
    </row>
    <row r="486" spans="1:55" ht="13" customHeight="1">
      <c r="B486" s="45" t="s">
        <v>394</v>
      </c>
      <c r="C486" s="5"/>
      <c r="D486" s="5"/>
      <c r="E486" s="5"/>
      <c r="F486" s="5"/>
      <c r="G486" s="5"/>
      <c r="H486" s="5"/>
      <c r="I486" s="5"/>
      <c r="J486" s="5"/>
      <c r="K486" s="5"/>
      <c r="L486" s="5"/>
      <c r="M486" s="5"/>
      <c r="N486" s="5"/>
      <c r="O486" s="5"/>
      <c r="P486" s="5"/>
      <c r="Q486" s="1399" t="s">
        <v>2679</v>
      </c>
      <c r="R486" s="1400"/>
      <c r="S486" s="1400"/>
      <c r="T486" s="1400"/>
      <c r="U486" s="1400"/>
      <c r="V486" s="1400"/>
      <c r="W486" s="1400"/>
      <c r="X486" s="1400"/>
      <c r="Y486" s="1400"/>
      <c r="Z486" s="1400"/>
      <c r="AA486" s="1400"/>
      <c r="AB486" s="1400"/>
      <c r="AC486" s="1400"/>
      <c r="AD486" s="1400"/>
      <c r="AE486" s="1400"/>
      <c r="AF486" s="1400"/>
      <c r="AG486" s="1400"/>
      <c r="AH486" s="1400"/>
      <c r="AI486" s="1400"/>
      <c r="AJ486" s="1400"/>
      <c r="AK486" s="1401"/>
      <c r="AZ486" s="3"/>
      <c r="BB486" s="3"/>
      <c r="BC486" s="3"/>
    </row>
    <row r="487" spans="1:55" ht="13" customHeight="1">
      <c r="B487" s="45" t="s">
        <v>395</v>
      </c>
      <c r="C487" s="5"/>
      <c r="D487" s="5"/>
      <c r="E487" s="5"/>
      <c r="F487" s="5"/>
      <c r="G487" s="5"/>
      <c r="H487" s="5"/>
      <c r="I487" s="5"/>
      <c r="J487" s="5"/>
      <c r="K487" s="5"/>
      <c r="L487" s="5"/>
      <c r="M487" s="5"/>
      <c r="N487" s="5"/>
      <c r="O487" s="5"/>
      <c r="P487" s="5"/>
      <c r="Q487" s="1399" t="s">
        <v>2680</v>
      </c>
      <c r="R487" s="1400"/>
      <c r="S487" s="1400"/>
      <c r="T487" s="1400"/>
      <c r="U487" s="1400"/>
      <c r="V487" s="1400"/>
      <c r="W487" s="1400"/>
      <c r="X487" s="1400"/>
      <c r="Y487" s="1400"/>
      <c r="Z487" s="1400"/>
      <c r="AA487" s="1400"/>
      <c r="AB487" s="1400"/>
      <c r="AC487" s="1400"/>
      <c r="AD487" s="1400"/>
      <c r="AE487" s="1400"/>
      <c r="AF487" s="1400"/>
      <c r="AG487" s="1400"/>
      <c r="AH487" s="1400"/>
      <c r="AI487" s="1400"/>
      <c r="AJ487" s="1400"/>
      <c r="AK487" s="1401"/>
      <c r="AZ487" s="3"/>
      <c r="BB487" s="3"/>
      <c r="BC487" s="3"/>
    </row>
    <row r="488" spans="1:55" ht="13" customHeight="1">
      <c r="B488" s="45" t="s">
        <v>396</v>
      </c>
      <c r="C488" s="5"/>
      <c r="D488" s="5"/>
      <c r="E488" s="5"/>
      <c r="F488" s="5"/>
      <c r="G488" s="5"/>
      <c r="H488" s="5"/>
      <c r="I488" s="5"/>
      <c r="J488" s="5"/>
      <c r="K488" s="5"/>
      <c r="L488" s="5"/>
      <c r="M488" s="5"/>
      <c r="N488" s="5"/>
      <c r="O488" s="5"/>
      <c r="P488" s="5"/>
      <c r="Q488" s="1399" t="s">
        <v>2681</v>
      </c>
      <c r="R488" s="1400"/>
      <c r="S488" s="1400"/>
      <c r="T488" s="1400"/>
      <c r="U488" s="1400"/>
      <c r="V488" s="1400"/>
      <c r="W488" s="1400"/>
      <c r="X488" s="1400"/>
      <c r="Y488" s="1400"/>
      <c r="Z488" s="1400"/>
      <c r="AA488" s="1400"/>
      <c r="AB488" s="1400"/>
      <c r="AC488" s="1400"/>
      <c r="AD488" s="1400"/>
      <c r="AE488" s="1400"/>
      <c r="AF488" s="1400"/>
      <c r="AG488" s="1400"/>
      <c r="AH488" s="1400"/>
      <c r="AI488" s="1400"/>
      <c r="AJ488" s="1400"/>
      <c r="AK488" s="1401"/>
      <c r="AZ488" s="3"/>
      <c r="BA488" s="3"/>
      <c r="BB488" s="3"/>
      <c r="BC488" s="3"/>
    </row>
    <row r="489" spans="1:55" ht="13" customHeight="1">
      <c r="B489" s="1493" t="s">
        <v>397</v>
      </c>
      <c r="C489" s="1494"/>
      <c r="D489" s="1494"/>
      <c r="E489" s="1494"/>
      <c r="F489" s="1494"/>
      <c r="G489" s="1494"/>
      <c r="H489" s="1494"/>
      <c r="I489" s="1494"/>
      <c r="J489" s="1494"/>
      <c r="K489" s="1494"/>
      <c r="L489" s="1494"/>
      <c r="M489" s="1494"/>
      <c r="N489" s="1494"/>
      <c r="O489" s="1494"/>
      <c r="P489" s="1495"/>
      <c r="Q489" s="1589" t="s">
        <v>670</v>
      </c>
      <c r="R489" s="1590"/>
      <c r="S489" s="1578" t="s">
        <v>166</v>
      </c>
      <c r="T489" s="1579"/>
      <c r="U489" s="1579"/>
      <c r="V489" s="1579"/>
      <c r="W489" s="1579"/>
      <c r="X489" s="1579"/>
      <c r="Y489" s="1579"/>
      <c r="Z489" s="1579"/>
      <c r="AA489" s="1579"/>
      <c r="AB489" s="1579"/>
      <c r="AC489" s="1579"/>
      <c r="AD489" s="1579"/>
      <c r="AE489" s="1579"/>
      <c r="AF489" s="1579"/>
      <c r="AG489" s="1579"/>
      <c r="AH489" s="1579"/>
      <c r="AI489" s="1579"/>
      <c r="AJ489" s="1579"/>
      <c r="AK489" s="1580"/>
      <c r="AZ489" s="3"/>
      <c r="BA489" s="3"/>
      <c r="BB489" s="3"/>
      <c r="BC489" s="3"/>
    </row>
    <row r="490" spans="1:55" ht="13" customHeight="1">
      <c r="B490" s="1496"/>
      <c r="C490" s="1497"/>
      <c r="D490" s="1497"/>
      <c r="E490" s="1497"/>
      <c r="F490" s="1497"/>
      <c r="G490" s="1497"/>
      <c r="H490" s="1497"/>
      <c r="I490" s="1497"/>
      <c r="J490" s="1497"/>
      <c r="K490" s="1497"/>
      <c r="L490" s="1497"/>
      <c r="M490" s="1497"/>
      <c r="N490" s="1497"/>
      <c r="O490" s="1497"/>
      <c r="P490" s="1498"/>
      <c r="Q490" s="1591"/>
      <c r="R490" s="1592"/>
      <c r="S490" s="1581"/>
      <c r="T490" s="1538"/>
      <c r="U490" s="1538"/>
      <c r="V490" s="1538"/>
      <c r="W490" s="1538"/>
      <c r="X490" s="1538"/>
      <c r="Y490" s="1538"/>
      <c r="Z490" s="1538"/>
      <c r="AA490" s="1538"/>
      <c r="AB490" s="1538"/>
      <c r="AC490" s="1538"/>
      <c r="AD490" s="1538"/>
      <c r="AE490" s="1538"/>
      <c r="AF490" s="1538"/>
      <c r="AG490" s="1538"/>
      <c r="AH490" s="1538"/>
      <c r="AI490" s="1538"/>
      <c r="AJ490" s="1538"/>
      <c r="AK490" s="1582"/>
      <c r="AZ490" s="3"/>
      <c r="BA490" s="3"/>
      <c r="BB490" s="3"/>
      <c r="BC490" s="3"/>
    </row>
    <row r="491" spans="1:55" ht="13" customHeight="1">
      <c r="B491" s="896" t="s">
        <v>1671</v>
      </c>
      <c r="C491" s="874"/>
      <c r="D491" s="874"/>
      <c r="E491" s="874"/>
      <c r="F491" s="874"/>
      <c r="G491" s="874"/>
      <c r="H491" s="874"/>
      <c r="I491" s="874"/>
      <c r="J491" s="874"/>
      <c r="K491" s="874"/>
      <c r="L491" s="874"/>
      <c r="M491" s="874"/>
      <c r="N491" s="874"/>
      <c r="O491" s="874"/>
      <c r="P491" s="874"/>
      <c r="Q491" s="1413" t="s">
        <v>670</v>
      </c>
      <c r="R491" s="1414"/>
      <c r="S491" s="1414"/>
      <c r="T491" s="1414"/>
      <c r="U491" s="1414"/>
      <c r="V491" s="1414"/>
      <c r="W491" s="1414"/>
      <c r="X491" s="1414"/>
      <c r="Y491" s="1414"/>
      <c r="Z491" s="1414"/>
      <c r="AA491" s="1414"/>
      <c r="AB491" s="1414"/>
      <c r="AC491" s="1414"/>
      <c r="AD491" s="1414"/>
      <c r="AE491" s="1414"/>
      <c r="AF491" s="1414"/>
      <c r="AG491" s="1414"/>
      <c r="AH491" s="1414"/>
      <c r="AI491" s="1414"/>
      <c r="AJ491" s="1414"/>
      <c r="AK491" s="1415"/>
      <c r="AZ491" s="3"/>
      <c r="BA491" s="3"/>
      <c r="BB491" s="3"/>
      <c r="BC491" s="3"/>
    </row>
    <row r="492" spans="1:55" ht="13" customHeight="1">
      <c r="B492" s="45" t="s">
        <v>398</v>
      </c>
      <c r="C492" s="5"/>
      <c r="D492" s="5"/>
      <c r="E492" s="5"/>
      <c r="F492" s="5"/>
      <c r="G492" s="5"/>
      <c r="H492" s="5"/>
      <c r="I492" s="5"/>
      <c r="J492" s="5"/>
      <c r="K492" s="5"/>
      <c r="L492" s="5"/>
      <c r="M492" s="5"/>
      <c r="N492" s="5"/>
      <c r="O492" s="5"/>
      <c r="P492" s="5"/>
      <c r="Q492" s="1399" t="s">
        <v>2682</v>
      </c>
      <c r="R492" s="1400"/>
      <c r="S492" s="1400"/>
      <c r="T492" s="1400"/>
      <c r="U492" s="1400"/>
      <c r="V492" s="1400"/>
      <c r="W492" s="1400"/>
      <c r="X492" s="1400"/>
      <c r="Y492" s="1400"/>
      <c r="Z492" s="1400"/>
      <c r="AA492" s="1400"/>
      <c r="AB492" s="1400"/>
      <c r="AC492" s="1400"/>
      <c r="AD492" s="1400"/>
      <c r="AE492" s="1400"/>
      <c r="AF492" s="1400"/>
      <c r="AG492" s="1400"/>
      <c r="AH492" s="1400"/>
      <c r="AI492" s="1400"/>
      <c r="AJ492" s="1400"/>
      <c r="AK492" s="1401"/>
      <c r="AZ492" s="3"/>
      <c r="BA492" s="3"/>
      <c r="BB492" s="3"/>
      <c r="BC492" s="3"/>
    </row>
    <row r="493" spans="1:55" ht="13" customHeight="1">
      <c r="B493" s="45" t="s">
        <v>399</v>
      </c>
      <c r="C493" s="5"/>
      <c r="D493" s="5"/>
      <c r="E493" s="5"/>
      <c r="F493" s="5"/>
      <c r="G493" s="5"/>
      <c r="H493" s="5"/>
      <c r="I493" s="5"/>
      <c r="J493" s="5"/>
      <c r="K493" s="5"/>
      <c r="L493" s="5"/>
      <c r="M493" s="5"/>
      <c r="N493" s="5"/>
      <c r="O493" s="5"/>
      <c r="P493" s="5"/>
      <c r="Q493" s="1599" t="s">
        <v>2705</v>
      </c>
      <c r="R493" s="1400"/>
      <c r="S493" s="1400"/>
      <c r="T493" s="1400"/>
      <c r="U493" s="1400"/>
      <c r="V493" s="1400"/>
      <c r="W493" s="1400"/>
      <c r="X493" s="1400"/>
      <c r="Y493" s="1400"/>
      <c r="Z493" s="1400"/>
      <c r="AA493" s="1400"/>
      <c r="AB493" s="1400"/>
      <c r="AC493" s="1400"/>
      <c r="AD493" s="1400"/>
      <c r="AE493" s="1400"/>
      <c r="AF493" s="1400"/>
      <c r="AG493" s="1400"/>
      <c r="AH493" s="1400"/>
      <c r="AI493" s="1400"/>
      <c r="AJ493" s="1400"/>
      <c r="AK493" s="1401"/>
      <c r="AZ493" s="3"/>
      <c r="BA493" s="3"/>
      <c r="BB493" s="3"/>
      <c r="BC493" s="3"/>
    </row>
    <row r="494" spans="1:55" ht="13" customHeight="1">
      <c r="B494" s="121" t="s">
        <v>1668</v>
      </c>
      <c r="C494" s="5"/>
      <c r="D494" s="5"/>
      <c r="E494" s="5"/>
      <c r="F494" s="5"/>
      <c r="G494" s="5"/>
      <c r="H494" s="5"/>
      <c r="I494" s="5"/>
      <c r="J494" s="5"/>
      <c r="K494" s="5"/>
      <c r="L494" s="5"/>
      <c r="M494" s="5"/>
      <c r="N494" s="5"/>
      <c r="O494" s="5"/>
      <c r="P494" s="5"/>
      <c r="Q494" s="1399">
        <v>0</v>
      </c>
      <c r="R494" s="1400"/>
      <c r="S494" s="1400"/>
      <c r="T494" s="1400"/>
      <c r="U494" s="1400"/>
      <c r="V494" s="1400"/>
      <c r="W494" s="1400"/>
      <c r="X494" s="1400"/>
      <c r="Y494" s="1400"/>
      <c r="Z494" s="1400"/>
      <c r="AA494" s="1400"/>
      <c r="AB494" s="1400"/>
      <c r="AC494" s="1400"/>
      <c r="AD494" s="1400"/>
      <c r="AE494" s="1400"/>
      <c r="AF494" s="1400"/>
      <c r="AG494" s="1400"/>
      <c r="AH494" s="1400"/>
      <c r="AI494" s="1400"/>
      <c r="AJ494" s="1400"/>
      <c r="AK494" s="1401"/>
      <c r="AZ494" s="3"/>
      <c r="BA494" s="3"/>
      <c r="BB494" s="3"/>
      <c r="BC494" s="3"/>
    </row>
    <row r="495" spans="1:55" ht="13" customHeight="1">
      <c r="B495" s="121" t="s">
        <v>1669</v>
      </c>
      <c r="C495" s="5"/>
      <c r="D495" s="5"/>
      <c r="E495" s="5"/>
      <c r="F495" s="5"/>
      <c r="G495" s="5"/>
      <c r="H495" s="5"/>
      <c r="I495" s="5"/>
      <c r="J495" s="5"/>
      <c r="K495" s="5"/>
      <c r="L495" s="5"/>
      <c r="M495" s="1416"/>
      <c r="N495" s="1417"/>
      <c r="O495" s="1417"/>
      <c r="P495" s="1418"/>
      <c r="Q495" s="121" t="s">
        <v>1670</v>
      </c>
      <c r="R495" s="5"/>
      <c r="S495" s="5"/>
      <c r="T495" s="5"/>
      <c r="U495" s="5"/>
      <c r="V495" s="5"/>
      <c r="W495" s="5"/>
      <c r="X495" s="5"/>
      <c r="Y495" s="5"/>
      <c r="Z495" s="5"/>
      <c r="AA495" s="5"/>
      <c r="AB495" s="5"/>
      <c r="AC495" s="5"/>
      <c r="AD495" s="5"/>
      <c r="AE495" s="5"/>
      <c r="AF495" s="5"/>
      <c r="AG495" s="5"/>
      <c r="AH495" s="1416"/>
      <c r="AI495" s="1417"/>
      <c r="AJ495" s="1417"/>
      <c r="AK495" s="1418"/>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35" t="s">
        <v>401</v>
      </c>
      <c r="AD499" s="1436"/>
      <c r="AE499" s="1436"/>
      <c r="AF499" s="1436"/>
      <c r="AG499" s="1436"/>
      <c r="AH499" s="1436"/>
      <c r="AI499" s="1436"/>
      <c r="AJ499" s="1436"/>
      <c r="AK499" s="1437"/>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35" t="s">
        <v>402</v>
      </c>
      <c r="AD500" s="1436"/>
      <c r="AE500" s="1436"/>
      <c r="AF500" s="1436"/>
      <c r="AG500" s="50" t="s">
        <v>403</v>
      </c>
      <c r="AH500" s="1436" t="s">
        <v>404</v>
      </c>
      <c r="AI500" s="1436"/>
      <c r="AJ500" s="1436"/>
      <c r="AK500" s="1437"/>
      <c r="AZ500" s="3"/>
      <c r="BA500" s="3"/>
      <c r="BB500" s="3"/>
      <c r="BC500" s="3"/>
      <c r="BD500" s="3"/>
      <c r="BE500" s="3"/>
      <c r="BF500" s="3"/>
      <c r="BG500" s="3"/>
      <c r="BH500" s="3"/>
      <c r="BI500" s="3"/>
      <c r="BJ500" s="3"/>
      <c r="BK500" s="3"/>
      <c r="BL500" s="3"/>
      <c r="BM500" s="3"/>
      <c r="BN500" s="3"/>
    </row>
    <row r="501" spans="1:66" ht="13" customHeight="1">
      <c r="B501" s="1378" t="s">
        <v>405</v>
      </c>
      <c r="C501" s="1379"/>
      <c r="D501" s="1379"/>
      <c r="E501" s="1379"/>
      <c r="F501" s="1379"/>
      <c r="G501" s="1379"/>
      <c r="H501" s="1380"/>
      <c r="I501" s="42" t="s">
        <v>406</v>
      </c>
      <c r="J501" s="42"/>
      <c r="K501" s="42"/>
      <c r="L501" s="42"/>
      <c r="M501" s="42"/>
      <c r="N501" s="42"/>
      <c r="O501" s="42"/>
      <c r="P501" s="42"/>
      <c r="Q501" s="42"/>
      <c r="R501" s="42"/>
      <c r="S501" s="42"/>
      <c r="T501" s="42"/>
      <c r="U501" s="42"/>
      <c r="V501" s="42"/>
      <c r="W501" s="42"/>
      <c r="AC501" s="1370" t="s">
        <v>592</v>
      </c>
      <c r="AD501" s="1371"/>
      <c r="AE501" s="1371"/>
      <c r="AF501" s="1371"/>
      <c r="AG501" s="13" t="s">
        <v>403</v>
      </c>
      <c r="AH501" s="1389"/>
      <c r="AI501" s="1389"/>
      <c r="AJ501" s="1389"/>
      <c r="AK501" s="1390"/>
      <c r="AZ501" s="3"/>
      <c r="BA501" s="3"/>
      <c r="BB501" s="3"/>
      <c r="BC501" s="3"/>
      <c r="BD501" s="3"/>
      <c r="BE501" s="3"/>
      <c r="BF501" s="3"/>
      <c r="BG501" s="3"/>
      <c r="BH501" s="3"/>
      <c r="BI501" s="3"/>
      <c r="BJ501" s="3"/>
      <c r="BK501" s="3"/>
      <c r="BL501" s="3"/>
      <c r="BM501" s="3"/>
      <c r="BN501" s="3"/>
    </row>
    <row r="502" spans="1:66" ht="13" customHeight="1">
      <c r="B502" s="1381"/>
      <c r="C502" s="1382"/>
      <c r="D502" s="1382"/>
      <c r="E502" s="1382"/>
      <c r="F502" s="1382"/>
      <c r="G502" s="1382"/>
      <c r="H502" s="1383"/>
      <c r="I502" s="48" t="s">
        <v>407</v>
      </c>
      <c r="J502" s="48"/>
      <c r="K502" s="48"/>
      <c r="L502" s="48"/>
      <c r="M502" s="48"/>
      <c r="N502" s="48"/>
      <c r="O502" s="48"/>
      <c r="P502" s="48"/>
      <c r="Q502" s="48"/>
      <c r="R502" s="48"/>
      <c r="S502" s="48"/>
      <c r="T502" s="48"/>
      <c r="U502" s="48"/>
      <c r="V502" s="48"/>
      <c r="W502" s="48"/>
      <c r="X502" s="48"/>
      <c r="Y502" s="48"/>
      <c r="Z502" s="48"/>
      <c r="AA502" s="48"/>
      <c r="AB502" s="48"/>
      <c r="AC502" s="1370">
        <v>10</v>
      </c>
      <c r="AD502" s="1371"/>
      <c r="AE502" s="1371"/>
      <c r="AF502" s="1371"/>
      <c r="AG502" s="38" t="s">
        <v>403</v>
      </c>
      <c r="AH502" s="1389">
        <v>2025</v>
      </c>
      <c r="AI502" s="1389"/>
      <c r="AJ502" s="1389"/>
      <c r="AK502" s="1390"/>
      <c r="AZ502" s="3"/>
      <c r="BA502" s="3"/>
      <c r="BB502" s="3"/>
      <c r="BC502" s="3"/>
      <c r="BD502" s="3"/>
      <c r="BE502" s="3"/>
      <c r="BF502" s="3"/>
      <c r="BG502" s="3"/>
      <c r="BH502" s="3"/>
      <c r="BI502" s="3"/>
      <c r="BJ502" s="3"/>
      <c r="BK502" s="3"/>
      <c r="BL502" s="3"/>
      <c r="BM502" s="3"/>
      <c r="BN502" s="3"/>
    </row>
    <row r="503" spans="1:66" ht="13" customHeight="1">
      <c r="B503" s="1378" t="s">
        <v>408</v>
      </c>
      <c r="C503" s="1379"/>
      <c r="D503" s="1379"/>
      <c r="E503" s="1379"/>
      <c r="F503" s="1379"/>
      <c r="G503" s="1379"/>
      <c r="H503" s="1380"/>
      <c r="I503" s="42" t="s">
        <v>409</v>
      </c>
      <c r="J503" s="42"/>
      <c r="K503" s="42"/>
      <c r="L503" s="42"/>
      <c r="M503" s="42"/>
      <c r="N503" s="42"/>
      <c r="O503" s="42"/>
      <c r="P503" s="42"/>
      <c r="Q503" s="42"/>
      <c r="R503" s="42"/>
      <c r="S503" s="42"/>
      <c r="T503" s="42"/>
      <c r="U503" s="42"/>
      <c r="V503" s="42"/>
      <c r="W503" s="42"/>
      <c r="AC503" s="1370" t="s">
        <v>592</v>
      </c>
      <c r="AD503" s="1371"/>
      <c r="AE503" s="1371"/>
      <c r="AF503" s="1371"/>
      <c r="AG503" s="13" t="s">
        <v>403</v>
      </c>
      <c r="AH503" s="1389"/>
      <c r="AI503" s="1389"/>
      <c r="AJ503" s="1389"/>
      <c r="AK503" s="1390"/>
      <c r="AZ503" s="3"/>
      <c r="BA503" s="3"/>
      <c r="BB503" s="3"/>
      <c r="BC503" s="3"/>
      <c r="BD503" s="3"/>
      <c r="BE503" s="3"/>
      <c r="BF503" s="3"/>
      <c r="BG503" s="3"/>
      <c r="BH503" s="3"/>
      <c r="BI503" s="3"/>
      <c r="BJ503" s="3"/>
      <c r="BK503" s="3"/>
      <c r="BL503" s="3"/>
      <c r="BM503" s="3"/>
      <c r="BN503" s="3"/>
    </row>
    <row r="504" spans="1:66" ht="13" customHeight="1">
      <c r="B504" s="1381"/>
      <c r="C504" s="1382"/>
      <c r="D504" s="1382"/>
      <c r="E504" s="1382"/>
      <c r="F504" s="1382"/>
      <c r="G504" s="1382"/>
      <c r="H504" s="1383"/>
      <c r="I504" t="s">
        <v>410</v>
      </c>
      <c r="AC504" s="1370" t="s">
        <v>592</v>
      </c>
      <c r="AD504" s="1371"/>
      <c r="AE504" s="1371"/>
      <c r="AF504" s="1371"/>
      <c r="AG504" s="13" t="s">
        <v>403</v>
      </c>
      <c r="AH504" s="1389"/>
      <c r="AI504" s="1389"/>
      <c r="AJ504" s="1389"/>
      <c r="AK504" s="1390"/>
      <c r="AZ504" s="3"/>
      <c r="BA504" s="3"/>
      <c r="BB504" s="3"/>
      <c r="BC504" s="3"/>
      <c r="BD504" s="3"/>
      <c r="BE504" s="3"/>
      <c r="BF504" s="3"/>
      <c r="BG504" s="3"/>
      <c r="BH504" s="3"/>
      <c r="BI504" s="3"/>
      <c r="BJ504" s="3"/>
      <c r="BK504" s="3"/>
      <c r="BL504" s="3"/>
      <c r="BM504" s="3"/>
      <c r="BN504" s="3"/>
    </row>
    <row r="505" spans="1:66" ht="13" customHeight="1">
      <c r="B505" s="1381"/>
      <c r="C505" s="1382"/>
      <c r="D505" s="1382"/>
      <c r="E505" s="1382"/>
      <c r="F505" s="1382"/>
      <c r="G505" s="1382"/>
      <c r="H505" s="1383"/>
      <c r="I505" t="s">
        <v>411</v>
      </c>
      <c r="AC505" s="1370" t="s">
        <v>592</v>
      </c>
      <c r="AD505" s="1371"/>
      <c r="AE505" s="1371"/>
      <c r="AF505" s="1371"/>
      <c r="AG505" s="13" t="s">
        <v>403</v>
      </c>
      <c r="AH505" s="1389"/>
      <c r="AI505" s="1389"/>
      <c r="AJ505" s="1389"/>
      <c r="AK505" s="1390"/>
      <c r="AZ505" s="3"/>
      <c r="BA505" s="3"/>
      <c r="BB505" s="3"/>
      <c r="BC505" s="3"/>
      <c r="BD505" s="3"/>
      <c r="BE505" s="3"/>
      <c r="BF505" s="3"/>
      <c r="BG505" s="3"/>
      <c r="BH505" s="3"/>
      <c r="BI505" s="3"/>
      <c r="BJ505" s="3"/>
      <c r="BK505" s="3"/>
      <c r="BL505" s="3"/>
      <c r="BM505" s="3"/>
      <c r="BN505" s="3"/>
    </row>
    <row r="506" spans="1:66" ht="13" customHeight="1">
      <c r="B506" s="1381"/>
      <c r="C506" s="1382"/>
      <c r="D506" s="1382"/>
      <c r="E506" s="1382"/>
      <c r="F506" s="1382"/>
      <c r="G506" s="1382"/>
      <c r="H506" s="1383"/>
      <c r="I506" t="s">
        <v>412</v>
      </c>
      <c r="AC506" s="1370" t="s">
        <v>592</v>
      </c>
      <c r="AD506" s="1371"/>
      <c r="AE506" s="1371"/>
      <c r="AF506" s="1371"/>
      <c r="AG506" s="13" t="s">
        <v>403</v>
      </c>
      <c r="AH506" s="1389"/>
      <c r="AI506" s="1389"/>
      <c r="AJ506" s="1389"/>
      <c r="AK506" s="1390"/>
      <c r="AZ506" s="3"/>
      <c r="BA506" s="3"/>
      <c r="BB506" s="3"/>
      <c r="BC506" s="3"/>
      <c r="BD506" s="3"/>
      <c r="BE506" s="3"/>
      <c r="BF506" s="3"/>
      <c r="BG506" s="3"/>
      <c r="BH506" s="3"/>
      <c r="BI506" s="3"/>
      <c r="BJ506" s="3"/>
      <c r="BK506" s="3"/>
      <c r="BL506" s="3"/>
      <c r="BM506" s="3"/>
      <c r="BN506" s="3"/>
    </row>
    <row r="507" spans="1:66" ht="13" customHeight="1">
      <c r="B507" s="1381"/>
      <c r="C507" s="1382"/>
      <c r="D507" s="1382"/>
      <c r="E507" s="1382"/>
      <c r="F507" s="1382"/>
      <c r="G507" s="1382"/>
      <c r="H507" s="1383"/>
      <c r="I507" s="3" t="s">
        <v>413</v>
      </c>
      <c r="AC507" s="1352">
        <v>9</v>
      </c>
      <c r="AD507" s="1353"/>
      <c r="AE507" s="1353"/>
      <c r="AF507" s="1353"/>
      <c r="AG507" s="13" t="s">
        <v>403</v>
      </c>
      <c r="AH507" s="1389">
        <v>2023</v>
      </c>
      <c r="AI507" s="1389"/>
      <c r="AJ507" s="1389"/>
      <c r="AK507" s="1390"/>
      <c r="AZ507" s="3"/>
      <c r="BA507" s="3"/>
      <c r="BB507" s="3"/>
      <c r="BC507" s="3"/>
      <c r="BD507" s="3"/>
      <c r="BE507" s="3"/>
      <c r="BF507" s="3"/>
      <c r="BG507" s="3"/>
      <c r="BH507" s="3"/>
      <c r="BI507" s="3"/>
      <c r="BJ507" s="3"/>
      <c r="BK507" s="3"/>
      <c r="BL507" s="3"/>
      <c r="BM507" s="3"/>
      <c r="BN507" s="3"/>
    </row>
    <row r="508" spans="1:66" ht="13" customHeight="1">
      <c r="B508" s="1381"/>
      <c r="C508" s="1382"/>
      <c r="D508" s="1382"/>
      <c r="E508" s="1382"/>
      <c r="F508" s="1382"/>
      <c r="G508" s="1382"/>
      <c r="H508" s="1383"/>
      <c r="I508" s="897" t="s">
        <v>170</v>
      </c>
      <c r="J508" s="48"/>
      <c r="K508" s="48"/>
      <c r="L508" s="1490" t="s">
        <v>334</v>
      </c>
      <c r="M508" s="1491"/>
      <c r="N508" s="1491"/>
      <c r="O508" s="1491"/>
      <c r="P508" s="1491"/>
      <c r="Q508" s="1491"/>
      <c r="R508" s="1491"/>
      <c r="S508" s="1491"/>
      <c r="T508" s="1491"/>
      <c r="U508" s="1491"/>
      <c r="V508" s="1491"/>
      <c r="W508" s="1491"/>
      <c r="X508" s="1491"/>
      <c r="Y508" s="1491"/>
      <c r="Z508" s="1491"/>
      <c r="AA508" s="1491"/>
      <c r="AB508" s="1518"/>
      <c r="AC508" s="1370" t="s">
        <v>592</v>
      </c>
      <c r="AD508" s="1371"/>
      <c r="AE508" s="1371"/>
      <c r="AF508" s="1371"/>
      <c r="AG508" s="38" t="s">
        <v>403</v>
      </c>
      <c r="AH508" s="1389"/>
      <c r="AI508" s="1389"/>
      <c r="AJ508" s="1389"/>
      <c r="AK508" s="1390"/>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1675</v>
      </c>
      <c r="AC509" s="1434" t="s">
        <v>546</v>
      </c>
      <c r="AD509" s="1434"/>
      <c r="AE509" s="1434"/>
      <c r="AF509" s="1434"/>
      <c r="AG509" s="13"/>
      <c r="AH509" s="1391"/>
      <c r="AI509" s="1391"/>
      <c r="AJ509" s="1391"/>
      <c r="AK509" s="1392"/>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1672</v>
      </c>
      <c r="AC510" s="1352">
        <v>2</v>
      </c>
      <c r="AD510" s="1353"/>
      <c r="AE510" s="1353"/>
      <c r="AF510" s="1354"/>
      <c r="AG510" s="13"/>
      <c r="AH510" s="1391"/>
      <c r="AI510" s="1391"/>
      <c r="AJ510" s="1391"/>
      <c r="AK510" s="1392"/>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453">
        <v>1</v>
      </c>
      <c r="AD512" s="1454"/>
      <c r="AE512" s="1454"/>
      <c r="AF512" s="1455"/>
      <c r="AG512" s="38"/>
      <c r="AH512" s="1600"/>
      <c r="AI512" s="1600"/>
      <c r="AJ512" s="1600"/>
      <c r="AK512" s="1601"/>
      <c r="AZ512" s="3"/>
      <c r="BA512" s="3"/>
      <c r="BB512" s="3"/>
      <c r="BC512" s="3"/>
      <c r="BD512" s="3"/>
      <c r="BE512" s="3"/>
      <c r="BF512" s="3"/>
      <c r="BG512" s="3"/>
      <c r="BH512" s="3"/>
      <c r="BI512" s="3"/>
      <c r="BJ512" s="3"/>
      <c r="BK512" s="3"/>
      <c r="BL512" s="3"/>
      <c r="BM512" s="3"/>
      <c r="BN512" s="3" t="s">
        <v>1184</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520" t="s">
        <v>402</v>
      </c>
      <c r="AD513" s="1500"/>
      <c r="AE513" s="1500"/>
      <c r="AF513" s="1500"/>
      <c r="AG513" s="38" t="s">
        <v>403</v>
      </c>
      <c r="AH513" s="1500" t="s">
        <v>404</v>
      </c>
      <c r="AI513" s="1500"/>
      <c r="AJ513" s="1500"/>
      <c r="AK513" s="1501"/>
      <c r="AZ513" s="3"/>
      <c r="BA513" s="3"/>
      <c r="BB513" s="3"/>
      <c r="BC513" s="3"/>
      <c r="BD513" s="3"/>
      <c r="BE513" s="3"/>
      <c r="BF513" s="3"/>
      <c r="BG513" s="3"/>
      <c r="BH513" s="3"/>
      <c r="BI513" s="3"/>
      <c r="BJ513" s="3"/>
      <c r="BK513" s="3"/>
      <c r="BL513" s="3"/>
      <c r="BM513" s="3"/>
      <c r="BN513" s="3" t="s">
        <v>2106</v>
      </c>
    </row>
    <row r="514" spans="2:66" ht="13" customHeight="1">
      <c r="B514" s="1378" t="s">
        <v>414</v>
      </c>
      <c r="C514" s="1379"/>
      <c r="D514" s="1379"/>
      <c r="E514" s="1379"/>
      <c r="F514" s="1379"/>
      <c r="G514" s="1379"/>
      <c r="H514" s="1380"/>
      <c r="I514" s="42" t="s">
        <v>415</v>
      </c>
      <c r="J514" s="42"/>
      <c r="K514" s="42"/>
      <c r="L514" s="42"/>
      <c r="M514" s="42"/>
      <c r="N514" s="42"/>
      <c r="O514" s="42"/>
      <c r="P514" s="42"/>
      <c r="Q514" s="42"/>
      <c r="R514" s="42"/>
      <c r="S514" s="42"/>
      <c r="T514" s="42"/>
      <c r="U514" s="42"/>
      <c r="V514" s="42"/>
      <c r="W514" s="42"/>
      <c r="AC514" s="1370">
        <v>1</v>
      </c>
      <c r="AD514" s="1371"/>
      <c r="AE514" s="1371"/>
      <c r="AF514" s="1371"/>
      <c r="AG514" s="13" t="s">
        <v>403</v>
      </c>
      <c r="AH514" s="1389">
        <v>2025</v>
      </c>
      <c r="AI514" s="1389"/>
      <c r="AJ514" s="1389"/>
      <c r="AK514" s="1390"/>
      <c r="AZ514" s="3"/>
      <c r="BA514" s="3"/>
      <c r="BB514" s="3"/>
      <c r="BC514" s="3"/>
      <c r="BD514" s="3"/>
      <c r="BE514" s="3"/>
      <c r="BF514" s="3"/>
      <c r="BG514" s="3"/>
      <c r="BH514" s="3"/>
      <c r="BI514" s="3"/>
      <c r="BJ514" s="3"/>
      <c r="BK514" s="3"/>
      <c r="BL514" s="3"/>
      <c r="BM514" s="3"/>
      <c r="BN514" s="3" t="s">
        <v>2107</v>
      </c>
    </row>
    <row r="515" spans="2:66" ht="13" customHeight="1">
      <c r="B515" s="1381"/>
      <c r="C515" s="1382"/>
      <c r="D515" s="1382"/>
      <c r="E515" s="1382"/>
      <c r="F515" s="1382"/>
      <c r="G515" s="1382"/>
      <c r="H515" s="1383"/>
      <c r="I515" t="s">
        <v>416</v>
      </c>
      <c r="AC515" s="1370">
        <v>1</v>
      </c>
      <c r="AD515" s="1371"/>
      <c r="AE515" s="1371"/>
      <c r="AF515" s="1371"/>
      <c r="AG515" s="13" t="s">
        <v>403</v>
      </c>
      <c r="AH515" s="1389">
        <v>2025</v>
      </c>
      <c r="AI515" s="1389"/>
      <c r="AJ515" s="1389"/>
      <c r="AK515" s="1390"/>
      <c r="AZ515" s="3"/>
      <c r="BA515" s="3"/>
      <c r="BB515" s="3"/>
      <c r="BC515" s="3"/>
      <c r="BD515" s="3"/>
      <c r="BE515" s="3"/>
      <c r="BF515" s="3"/>
      <c r="BG515" s="3"/>
      <c r="BH515" s="3"/>
      <c r="BI515" s="3"/>
      <c r="BJ515" s="3"/>
      <c r="BK515" s="3"/>
      <c r="BL515" s="3"/>
      <c r="BM515" s="3"/>
      <c r="BN515" s="3" t="s">
        <v>2108</v>
      </c>
    </row>
    <row r="516" spans="2:66" ht="13" customHeight="1">
      <c r="B516" s="1381"/>
      <c r="C516" s="1382"/>
      <c r="D516" s="1382"/>
      <c r="E516" s="1382"/>
      <c r="F516" s="1382"/>
      <c r="G516" s="1382"/>
      <c r="H516" s="1383"/>
      <c r="I516" s="48" t="s">
        <v>417</v>
      </c>
      <c r="J516" s="48"/>
      <c r="K516" s="48"/>
      <c r="L516" s="48"/>
      <c r="M516" s="48"/>
      <c r="N516" s="48"/>
      <c r="O516" s="48"/>
      <c r="P516" s="48"/>
      <c r="Q516" s="48"/>
      <c r="R516" s="48"/>
      <c r="S516" s="48"/>
      <c r="T516" s="48"/>
      <c r="U516" s="48"/>
      <c r="V516" s="48"/>
      <c r="W516" s="48"/>
      <c r="X516" s="48"/>
      <c r="Y516" s="48"/>
      <c r="Z516" s="48"/>
      <c r="AA516" s="48"/>
      <c r="AB516" s="48"/>
      <c r="AC516" s="1370">
        <v>10</v>
      </c>
      <c r="AD516" s="1371"/>
      <c r="AE516" s="1371"/>
      <c r="AF516" s="1371"/>
      <c r="AG516" s="38" t="s">
        <v>403</v>
      </c>
      <c r="AH516" s="1389">
        <v>2025</v>
      </c>
      <c r="AI516" s="1389"/>
      <c r="AJ516" s="1389"/>
      <c r="AK516" s="1390"/>
      <c r="AZ516" s="3"/>
      <c r="BA516" s="3"/>
      <c r="BB516" s="3"/>
      <c r="BC516" s="3"/>
      <c r="BD516" s="3"/>
      <c r="BE516" s="3"/>
      <c r="BF516" s="3"/>
      <c r="BG516" s="3"/>
      <c r="BH516" s="3"/>
      <c r="BI516" s="3"/>
      <c r="BJ516" s="3"/>
      <c r="BK516" s="3"/>
      <c r="BL516" s="3"/>
      <c r="BM516" s="3"/>
      <c r="BN516" s="3" t="s">
        <v>2109</v>
      </c>
    </row>
    <row r="517" spans="2:66" ht="13" customHeight="1">
      <c r="B517" s="1378" t="s">
        <v>418</v>
      </c>
      <c r="C517" s="1379"/>
      <c r="D517" s="1379"/>
      <c r="E517" s="1379"/>
      <c r="F517" s="1379"/>
      <c r="G517" s="1379"/>
      <c r="H517" s="1380"/>
      <c r="I517" s="42" t="s">
        <v>415</v>
      </c>
      <c r="J517" s="42"/>
      <c r="K517" s="42"/>
      <c r="L517" s="42"/>
      <c r="M517" s="42"/>
      <c r="N517" s="42"/>
      <c r="O517" s="42"/>
      <c r="P517" s="42"/>
      <c r="Q517" s="42"/>
      <c r="R517" s="42"/>
      <c r="S517" s="42"/>
      <c r="T517" s="42"/>
      <c r="U517" s="42"/>
      <c r="V517" s="42"/>
      <c r="W517" s="42"/>
      <c r="X517" s="42"/>
      <c r="Y517" s="42"/>
      <c r="Z517" s="42"/>
      <c r="AA517" s="42"/>
      <c r="AB517" s="42"/>
      <c r="AC517" s="1352">
        <v>1</v>
      </c>
      <c r="AD517" s="1353"/>
      <c r="AE517" s="1353"/>
      <c r="AF517" s="1353"/>
      <c r="AG517" s="129" t="s">
        <v>403</v>
      </c>
      <c r="AH517" s="1389">
        <v>2025</v>
      </c>
      <c r="AI517" s="1389"/>
      <c r="AJ517" s="1389"/>
      <c r="AK517" s="1390"/>
      <c r="AZ517" s="3"/>
      <c r="BB517" s="3"/>
      <c r="BC517" s="3"/>
      <c r="BD517" s="3"/>
      <c r="BE517" s="3"/>
      <c r="BF517" s="3"/>
      <c r="BG517" s="3"/>
      <c r="BH517" s="3"/>
      <c r="BI517" s="3"/>
      <c r="BJ517" s="3"/>
      <c r="BK517" s="3"/>
      <c r="BL517" s="3"/>
      <c r="BM517" s="3"/>
      <c r="BN517" s="3" t="s">
        <v>2110</v>
      </c>
    </row>
    <row r="518" spans="2:66" ht="13" customHeight="1">
      <c r="B518" s="1381"/>
      <c r="C518" s="1382"/>
      <c r="D518" s="1382"/>
      <c r="E518" s="1382"/>
      <c r="F518" s="1382"/>
      <c r="G518" s="1382"/>
      <c r="H518" s="1383"/>
      <c r="I518" t="s">
        <v>416</v>
      </c>
      <c r="AC518" s="1370">
        <v>1</v>
      </c>
      <c r="AD518" s="1371"/>
      <c r="AE518" s="1371"/>
      <c r="AF518" s="1371"/>
      <c r="AG518" s="13" t="s">
        <v>403</v>
      </c>
      <c r="AH518" s="1389">
        <v>2025</v>
      </c>
      <c r="AI518" s="1389"/>
      <c r="AJ518" s="1389"/>
      <c r="AK518" s="1390"/>
      <c r="BB518" s="3"/>
      <c r="BC518" s="3"/>
      <c r="BD518" s="3"/>
      <c r="BE518" s="3"/>
      <c r="BF518" s="3"/>
      <c r="BG518" s="3"/>
      <c r="BH518" s="3"/>
      <c r="BI518" s="3"/>
      <c r="BJ518" s="3"/>
      <c r="BK518" s="3"/>
      <c r="BL518" s="3"/>
      <c r="BM518" s="3"/>
      <c r="BN518" s="3" t="s">
        <v>2111</v>
      </c>
    </row>
    <row r="519" spans="2:66" ht="13" customHeight="1">
      <c r="B519" s="1384"/>
      <c r="C519" s="1385"/>
      <c r="D519" s="1385"/>
      <c r="E519" s="1385"/>
      <c r="F519" s="1385"/>
      <c r="G519" s="1385"/>
      <c r="H519" s="1386"/>
      <c r="I519" s="48" t="s">
        <v>417</v>
      </c>
      <c r="J519" s="48"/>
      <c r="K519" s="48"/>
      <c r="L519" s="48"/>
      <c r="M519" s="48"/>
      <c r="N519" s="48"/>
      <c r="O519" s="48"/>
      <c r="P519" s="48"/>
      <c r="Q519" s="48"/>
      <c r="R519" s="48"/>
      <c r="S519" s="48"/>
      <c r="T519" s="48"/>
      <c r="U519" s="48"/>
      <c r="V519" s="48"/>
      <c r="W519" s="48"/>
      <c r="X519" s="48"/>
      <c r="Y519" s="48"/>
      <c r="Z519" s="48"/>
      <c r="AA519" s="48"/>
      <c r="AB519" s="48"/>
      <c r="AC519" s="1370">
        <v>2</v>
      </c>
      <c r="AD519" s="1371"/>
      <c r="AE519" s="1371"/>
      <c r="AF519" s="1371"/>
      <c r="AG519" s="38" t="s">
        <v>403</v>
      </c>
      <c r="AH519" s="1389">
        <v>2028</v>
      </c>
      <c r="AI519" s="1389"/>
      <c r="AJ519" s="1389"/>
      <c r="AK519" s="1390"/>
      <c r="BB519" s="3"/>
      <c r="BC519" s="3"/>
      <c r="BD519" s="3"/>
      <c r="BE519" s="3"/>
      <c r="BF519" s="3"/>
      <c r="BG519" s="3"/>
      <c r="BH519" s="3"/>
      <c r="BI519" s="3"/>
      <c r="BJ519" s="3"/>
      <c r="BK519" s="3"/>
      <c r="BL519" s="3"/>
      <c r="BM519" s="3"/>
      <c r="BN519" s="3" t="s">
        <v>2112</v>
      </c>
    </row>
    <row r="520" spans="2:66" ht="13" customHeight="1">
      <c r="B520" s="1378" t="s">
        <v>419</v>
      </c>
      <c r="C520" s="1379"/>
      <c r="D520" s="1379"/>
      <c r="E520" s="1379"/>
      <c r="F520" s="1379"/>
      <c r="G520" s="1379"/>
      <c r="H520" s="1380"/>
      <c r="I520" s="41" t="s">
        <v>420</v>
      </c>
      <c r="J520" s="42"/>
      <c r="K520" s="42"/>
      <c r="L520" s="42"/>
      <c r="M520" s="42"/>
      <c r="N520" s="42"/>
      <c r="O520" s="1490" t="s">
        <v>334</v>
      </c>
      <c r="P520" s="1491"/>
      <c r="Q520" s="1491"/>
      <c r="R520" s="1491"/>
      <c r="S520" s="1491"/>
      <c r="T520" s="1491"/>
      <c r="U520" s="1491"/>
      <c r="V520" s="1491"/>
      <c r="W520" s="1491"/>
      <c r="X520" s="1491"/>
      <c r="Y520" s="1491"/>
      <c r="Z520" s="1491"/>
      <c r="AA520" s="1491"/>
      <c r="AB520" s="58"/>
      <c r="AC520" s="1352" t="s">
        <v>592</v>
      </c>
      <c r="AD520" s="1353"/>
      <c r="AE520" s="1353"/>
      <c r="AF520" s="1353"/>
      <c r="AG520" s="129" t="s">
        <v>403</v>
      </c>
      <c r="AH520" s="1389"/>
      <c r="AI520" s="1389"/>
      <c r="AJ520" s="1389"/>
      <c r="AK520" s="1390"/>
      <c r="AZ520" s="3"/>
      <c r="BB520" s="3"/>
      <c r="BC520" s="3"/>
      <c r="BD520" s="3"/>
      <c r="BE520" s="3"/>
      <c r="BF520" s="3"/>
      <c r="BG520" s="3"/>
      <c r="BH520" s="3"/>
      <c r="BI520" s="3"/>
      <c r="BJ520" s="3"/>
      <c r="BK520" s="3"/>
      <c r="BL520" s="3"/>
      <c r="BM520" s="3"/>
      <c r="BN520" s="3" t="s">
        <v>2113</v>
      </c>
    </row>
    <row r="521" spans="2:66" ht="13" customHeight="1">
      <c r="B521" s="1381"/>
      <c r="C521" s="1382"/>
      <c r="D521" s="1382"/>
      <c r="E521" s="1382"/>
      <c r="F521" s="1382"/>
      <c r="G521" s="1382"/>
      <c r="H521" s="1383"/>
      <c r="I521" s="114" t="s">
        <v>421</v>
      </c>
      <c r="AB521" s="65"/>
      <c r="AC521" s="1370" t="s">
        <v>592</v>
      </c>
      <c r="AD521" s="1371"/>
      <c r="AE521" s="1371"/>
      <c r="AF521" s="1371"/>
      <c r="AG521" s="13" t="s">
        <v>403</v>
      </c>
      <c r="AH521" s="1389"/>
      <c r="AI521" s="1389"/>
      <c r="AJ521" s="1389"/>
      <c r="AK521" s="1390"/>
      <c r="AZ521" s="3"/>
      <c r="BB521" s="3"/>
      <c r="BC521" s="3"/>
      <c r="BD521" s="3"/>
      <c r="BE521" s="3"/>
      <c r="BF521" s="3"/>
      <c r="BG521" s="3"/>
      <c r="BH521" s="3"/>
      <c r="BI521" s="3"/>
      <c r="BJ521" s="3"/>
      <c r="BK521" s="3"/>
      <c r="BL521" s="3"/>
      <c r="BM521" s="3"/>
      <c r="BN521" s="3" t="s">
        <v>2114</v>
      </c>
    </row>
    <row r="522" spans="2:66" ht="13" customHeight="1">
      <c r="B522" s="1381"/>
      <c r="C522" s="1382"/>
      <c r="D522" s="1382"/>
      <c r="E522" s="1382"/>
      <c r="F522" s="1382"/>
      <c r="G522" s="1382"/>
      <c r="H522" s="1383"/>
      <c r="I522" s="47" t="s">
        <v>422</v>
      </c>
      <c r="J522" s="48"/>
      <c r="K522" s="48"/>
      <c r="L522" s="48"/>
      <c r="M522" s="48"/>
      <c r="N522" s="48"/>
      <c r="O522" s="48"/>
      <c r="P522" s="48"/>
      <c r="Q522" s="48"/>
      <c r="R522" s="48"/>
      <c r="S522" s="48"/>
      <c r="T522" s="48"/>
      <c r="U522" s="48"/>
      <c r="V522" s="48"/>
      <c r="W522" s="48"/>
      <c r="X522" s="48"/>
      <c r="Y522" s="48"/>
      <c r="Z522" s="48"/>
      <c r="AA522" s="48"/>
      <c r="AB522" s="49"/>
      <c r="AC522" s="1370" t="s">
        <v>592</v>
      </c>
      <c r="AD522" s="1371"/>
      <c r="AE522" s="1371"/>
      <c r="AF522" s="1371"/>
      <c r="AG522" s="38" t="s">
        <v>403</v>
      </c>
      <c r="AH522" s="1389"/>
      <c r="AI522" s="1389"/>
      <c r="AJ522" s="1389"/>
      <c r="AK522" s="1390"/>
      <c r="AZ522" s="3"/>
      <c r="BA522" s="3"/>
      <c r="BB522" s="3"/>
      <c r="BC522" s="3"/>
      <c r="BD522" s="3"/>
      <c r="BE522" s="3"/>
      <c r="BF522" s="3"/>
      <c r="BG522" s="3"/>
      <c r="BH522" s="3"/>
      <c r="BI522" s="3"/>
      <c r="BJ522" s="3"/>
      <c r="BK522" s="3"/>
      <c r="BL522" s="3"/>
      <c r="BM522" s="3"/>
      <c r="BN522" s="3" t="s">
        <v>2115</v>
      </c>
    </row>
    <row r="523" spans="2:66" ht="13" customHeight="1">
      <c r="B523" s="1381"/>
      <c r="C523" s="1382"/>
      <c r="D523" s="1382"/>
      <c r="E523" s="1382"/>
      <c r="F523" s="1382"/>
      <c r="G523" s="1382"/>
      <c r="H523" s="1383"/>
      <c r="I523" s="42" t="s">
        <v>423</v>
      </c>
      <c r="J523" s="42"/>
      <c r="K523" s="42"/>
      <c r="L523" s="42"/>
      <c r="M523" s="42"/>
      <c r="N523" s="42"/>
      <c r="O523" s="1490" t="s">
        <v>334</v>
      </c>
      <c r="P523" s="1491"/>
      <c r="Q523" s="1491"/>
      <c r="R523" s="1491"/>
      <c r="S523" s="1491"/>
      <c r="T523" s="1491"/>
      <c r="U523" s="1491"/>
      <c r="V523" s="1491"/>
      <c r="W523" s="1491"/>
      <c r="X523" s="1491"/>
      <c r="Y523" s="1491"/>
      <c r="Z523" s="1491"/>
      <c r="AA523" s="1491"/>
      <c r="AC523" s="1370" t="s">
        <v>592</v>
      </c>
      <c r="AD523" s="1371"/>
      <c r="AE523" s="1371"/>
      <c r="AF523" s="1371"/>
      <c r="AG523" s="13" t="s">
        <v>403</v>
      </c>
      <c r="AH523" s="1389"/>
      <c r="AI523" s="1389"/>
      <c r="AJ523" s="1389"/>
      <c r="AK523" s="1390"/>
      <c r="AZ523" s="3"/>
      <c r="BA523" s="3"/>
      <c r="BB523" s="3"/>
      <c r="BC523" s="3"/>
      <c r="BD523" s="3"/>
      <c r="BE523" s="3"/>
      <c r="BF523" s="3"/>
      <c r="BG523" s="3"/>
      <c r="BH523" s="3"/>
      <c r="BI523" s="3"/>
      <c r="BJ523" s="3"/>
      <c r="BK523" s="3"/>
      <c r="BL523" s="3"/>
      <c r="BM523" s="3"/>
      <c r="BN523" s="3" t="s">
        <v>2116</v>
      </c>
    </row>
    <row r="524" spans="2:66" ht="13" customHeight="1">
      <c r="B524" s="1381"/>
      <c r="C524" s="1382"/>
      <c r="D524" s="1382"/>
      <c r="E524" s="1382"/>
      <c r="F524" s="1382"/>
      <c r="G524" s="1382"/>
      <c r="H524" s="1383"/>
      <c r="I524" t="s">
        <v>421</v>
      </c>
      <c r="AC524" s="1370" t="s">
        <v>592</v>
      </c>
      <c r="AD524" s="1371"/>
      <c r="AE524" s="1371"/>
      <c r="AF524" s="1371"/>
      <c r="AG524" s="13" t="s">
        <v>403</v>
      </c>
      <c r="AH524" s="1389"/>
      <c r="AI524" s="1389"/>
      <c r="AJ524" s="1389"/>
      <c r="AK524" s="1390"/>
      <c r="AZ524" s="3"/>
      <c r="BA524" s="3"/>
      <c r="BB524" s="3"/>
      <c r="BC524" s="3"/>
      <c r="BD524" s="3"/>
      <c r="BE524" s="3"/>
      <c r="BF524" s="3"/>
      <c r="BG524" s="3"/>
      <c r="BH524" s="3"/>
      <c r="BI524" s="3"/>
      <c r="BJ524" s="3"/>
      <c r="BK524" s="3"/>
      <c r="BL524" s="3"/>
      <c r="BM524" s="3"/>
      <c r="BN524" s="3" t="s">
        <v>2117</v>
      </c>
    </row>
    <row r="525" spans="2:66" ht="13" customHeight="1">
      <c r="B525" s="1381"/>
      <c r="C525" s="1382"/>
      <c r="D525" s="1382"/>
      <c r="E525" s="1382"/>
      <c r="F525" s="1382"/>
      <c r="G525" s="1382"/>
      <c r="H525" s="1383"/>
      <c r="I525" s="48" t="s">
        <v>422</v>
      </c>
      <c r="J525" s="48"/>
      <c r="K525" s="48"/>
      <c r="L525" s="48"/>
      <c r="M525" s="48"/>
      <c r="N525" s="48"/>
      <c r="O525" s="48"/>
      <c r="P525" s="48"/>
      <c r="Q525" s="48"/>
      <c r="R525" s="48"/>
      <c r="S525" s="48"/>
      <c r="T525" s="48"/>
      <c r="U525" s="48"/>
      <c r="V525" s="48"/>
      <c r="W525" s="48"/>
      <c r="X525" s="48"/>
      <c r="Y525" s="48"/>
      <c r="Z525" s="48"/>
      <c r="AA525" s="48"/>
      <c r="AB525" s="48"/>
      <c r="AC525" s="1370" t="s">
        <v>592</v>
      </c>
      <c r="AD525" s="1371"/>
      <c r="AE525" s="1371"/>
      <c r="AF525" s="1371"/>
      <c r="AG525" s="38" t="s">
        <v>403</v>
      </c>
      <c r="AH525" s="1389"/>
      <c r="AI525" s="1389"/>
      <c r="AJ525" s="1389"/>
      <c r="AK525" s="1390"/>
      <c r="AZ525" s="3"/>
      <c r="BA525" s="3"/>
      <c r="BB525" s="3"/>
      <c r="BC525" s="3"/>
      <c r="BD525" s="3"/>
      <c r="BE525" s="3"/>
      <c r="BF525" s="3"/>
      <c r="BG525" s="3"/>
      <c r="BH525" s="3"/>
      <c r="BI525" s="3"/>
      <c r="BJ525" s="3"/>
      <c r="BK525" s="3"/>
      <c r="BL525" s="3"/>
      <c r="BM525" s="3"/>
      <c r="BN525" s="3" t="s">
        <v>2118</v>
      </c>
    </row>
    <row r="526" spans="2:66" ht="13" customHeight="1">
      <c r="B526" s="1381"/>
      <c r="C526" s="1382"/>
      <c r="D526" s="1382"/>
      <c r="E526" s="1382"/>
      <c r="F526" s="1382"/>
      <c r="G526" s="1382"/>
      <c r="H526" s="1383"/>
      <c r="I526" s="42" t="s">
        <v>423</v>
      </c>
      <c r="J526" s="42"/>
      <c r="K526" s="42"/>
      <c r="L526" s="42"/>
      <c r="M526" s="42"/>
      <c r="N526" s="42"/>
      <c r="O526" s="1490" t="s">
        <v>334</v>
      </c>
      <c r="P526" s="1491"/>
      <c r="Q526" s="1491"/>
      <c r="R526" s="1491"/>
      <c r="S526" s="1491"/>
      <c r="T526" s="1491"/>
      <c r="U526" s="1491"/>
      <c r="V526" s="1491"/>
      <c r="W526" s="1491"/>
      <c r="X526" s="1491"/>
      <c r="Y526" s="1491"/>
      <c r="Z526" s="1491"/>
      <c r="AA526" s="1491"/>
      <c r="AC526" s="1370" t="s">
        <v>592</v>
      </c>
      <c r="AD526" s="1371"/>
      <c r="AE526" s="1371"/>
      <c r="AF526" s="1371"/>
      <c r="AG526" s="13" t="s">
        <v>403</v>
      </c>
      <c r="AH526" s="1389"/>
      <c r="AI526" s="1389"/>
      <c r="AJ526" s="1389"/>
      <c r="AK526" s="1390"/>
      <c r="AZ526" s="3"/>
      <c r="BA526" s="3"/>
      <c r="BB526" s="3"/>
      <c r="BC526" s="3"/>
      <c r="BD526" s="3"/>
      <c r="BE526" s="3"/>
      <c r="BF526" s="3"/>
      <c r="BG526" s="3"/>
      <c r="BH526" s="3"/>
      <c r="BI526" s="3"/>
      <c r="BJ526" s="3"/>
      <c r="BK526" s="3"/>
      <c r="BL526" s="3"/>
      <c r="BM526" s="3"/>
      <c r="BN526" s="3" t="s">
        <v>2119</v>
      </c>
    </row>
    <row r="527" spans="2:66" ht="13" customHeight="1">
      <c r="B527" s="1381"/>
      <c r="C527" s="1382"/>
      <c r="D527" s="1382"/>
      <c r="E527" s="1382"/>
      <c r="F527" s="1382"/>
      <c r="G527" s="1382"/>
      <c r="H527" s="1383"/>
      <c r="I527" t="s">
        <v>421</v>
      </c>
      <c r="AC527" s="1370" t="s">
        <v>592</v>
      </c>
      <c r="AD527" s="1371"/>
      <c r="AE527" s="1371"/>
      <c r="AF527" s="1371"/>
      <c r="AG527" s="13" t="s">
        <v>403</v>
      </c>
      <c r="AH527" s="1389"/>
      <c r="AI527" s="1389"/>
      <c r="AJ527" s="1389"/>
      <c r="AK527" s="1390"/>
      <c r="AZ527" s="3"/>
      <c r="BA527" s="3"/>
      <c r="BB527" s="3"/>
      <c r="BC527" s="3"/>
      <c r="BD527" s="3"/>
      <c r="BE527" s="3"/>
      <c r="BF527" s="3"/>
      <c r="BG527" s="3"/>
      <c r="BH527" s="3"/>
      <c r="BI527" s="3"/>
      <c r="BJ527" s="3"/>
      <c r="BK527" s="3"/>
      <c r="BL527" s="3"/>
      <c r="BM527" s="3"/>
      <c r="BN527" s="3" t="s">
        <v>2120</v>
      </c>
    </row>
    <row r="528" spans="2:66" ht="13" customHeight="1">
      <c r="B528" s="1381"/>
      <c r="C528" s="1382"/>
      <c r="D528" s="1382"/>
      <c r="E528" s="1382"/>
      <c r="F528" s="1382"/>
      <c r="G528" s="1382"/>
      <c r="H528" s="1383"/>
      <c r="I528" s="48" t="s">
        <v>422</v>
      </c>
      <c r="J528" s="48"/>
      <c r="K528" s="48"/>
      <c r="L528" s="48"/>
      <c r="M528" s="48"/>
      <c r="N528" s="48"/>
      <c r="O528" s="48"/>
      <c r="P528" s="48"/>
      <c r="Q528" s="48"/>
      <c r="R528" s="48"/>
      <c r="S528" s="48"/>
      <c r="T528" s="48"/>
      <c r="U528" s="48"/>
      <c r="V528" s="48"/>
      <c r="W528" s="48"/>
      <c r="X528" s="48"/>
      <c r="Y528" s="48"/>
      <c r="Z528" s="48"/>
      <c r="AA528" s="48"/>
      <c r="AB528" s="48"/>
      <c r="AC528" s="1370" t="s">
        <v>592</v>
      </c>
      <c r="AD528" s="1371"/>
      <c r="AE528" s="1371"/>
      <c r="AF528" s="1371"/>
      <c r="AG528" s="38" t="s">
        <v>403</v>
      </c>
      <c r="AH528" s="1389"/>
      <c r="AI528" s="1389"/>
      <c r="AJ528" s="1389"/>
      <c r="AK528" s="1390"/>
      <c r="AZ528" s="3"/>
      <c r="BA528" s="3"/>
      <c r="BB528" s="3"/>
      <c r="BC528" s="3"/>
      <c r="BD528" s="3"/>
      <c r="BE528" s="3"/>
      <c r="BF528" s="3"/>
      <c r="BG528" s="3"/>
      <c r="BH528" s="3"/>
      <c r="BI528" s="3"/>
      <c r="BJ528" s="3"/>
      <c r="BK528" s="3"/>
      <c r="BL528" s="3"/>
      <c r="BM528" s="3"/>
      <c r="BN528" s="3" t="s">
        <v>2121</v>
      </c>
    </row>
    <row r="529" spans="1:66" ht="13" customHeight="1">
      <c r="B529" s="1381"/>
      <c r="C529" s="1382"/>
      <c r="D529" s="1382"/>
      <c r="E529" s="1382"/>
      <c r="F529" s="1382"/>
      <c r="G529" s="1382"/>
      <c r="H529" s="1383"/>
      <c r="I529" s="42" t="s">
        <v>423</v>
      </c>
      <c r="J529" s="42"/>
      <c r="K529" s="42"/>
      <c r="L529" s="42"/>
      <c r="M529" s="42"/>
      <c r="N529" s="42"/>
      <c r="O529" s="1490" t="s">
        <v>334</v>
      </c>
      <c r="P529" s="1491"/>
      <c r="Q529" s="1491"/>
      <c r="R529" s="1491"/>
      <c r="S529" s="1491"/>
      <c r="T529" s="1491"/>
      <c r="U529" s="1491"/>
      <c r="V529" s="1491"/>
      <c r="W529" s="1491"/>
      <c r="X529" s="1491"/>
      <c r="Y529" s="1491"/>
      <c r="Z529" s="1491"/>
      <c r="AA529" s="1491"/>
      <c r="AC529" s="1370" t="s">
        <v>592</v>
      </c>
      <c r="AD529" s="1371"/>
      <c r="AE529" s="1371"/>
      <c r="AF529" s="1371"/>
      <c r="AG529" s="13" t="s">
        <v>403</v>
      </c>
      <c r="AH529" s="1389"/>
      <c r="AI529" s="1389"/>
      <c r="AJ529" s="1389"/>
      <c r="AK529" s="1390"/>
      <c r="AZ529" s="3"/>
      <c r="BA529" s="3"/>
      <c r="BB529" s="3"/>
      <c r="BC529" s="3"/>
      <c r="BD529" s="3"/>
      <c r="BE529" s="3"/>
      <c r="BF529" s="3"/>
      <c r="BG529" s="3"/>
      <c r="BH529" s="3"/>
      <c r="BI529" s="3"/>
      <c r="BJ529" s="3"/>
      <c r="BK529" s="3"/>
      <c r="BL529" s="3"/>
      <c r="BM529" s="3"/>
      <c r="BN529" s="3" t="s">
        <v>2122</v>
      </c>
    </row>
    <row r="530" spans="1:66" ht="13" customHeight="1">
      <c r="B530" s="1381"/>
      <c r="C530" s="1382"/>
      <c r="D530" s="1382"/>
      <c r="E530" s="1382"/>
      <c r="F530" s="1382"/>
      <c r="G530" s="1382"/>
      <c r="H530" s="1383"/>
      <c r="I530" t="s">
        <v>421</v>
      </c>
      <c r="AC530" s="1370" t="s">
        <v>592</v>
      </c>
      <c r="AD530" s="1371"/>
      <c r="AE530" s="1371"/>
      <c r="AF530" s="1371"/>
      <c r="AG530" s="13" t="s">
        <v>403</v>
      </c>
      <c r="AH530" s="1389"/>
      <c r="AI530" s="1389"/>
      <c r="AJ530" s="1389"/>
      <c r="AK530" s="1390"/>
      <c r="AZ530" s="3"/>
      <c r="BA530" s="3"/>
      <c r="BB530" s="3"/>
      <c r="BC530" s="3"/>
      <c r="BD530" s="3"/>
      <c r="BE530" s="3"/>
      <c r="BF530" s="3"/>
      <c r="BG530" s="3"/>
      <c r="BH530" s="3"/>
      <c r="BI530" s="3"/>
      <c r="BJ530" s="3"/>
      <c r="BK530" s="3"/>
      <c r="BL530" s="3"/>
      <c r="BM530" s="3"/>
      <c r="BN530" s="3" t="s">
        <v>2123</v>
      </c>
    </row>
    <row r="531" spans="1:66" ht="13" customHeight="1">
      <c r="B531" s="1381"/>
      <c r="C531" s="1382"/>
      <c r="D531" s="1382"/>
      <c r="E531" s="1382"/>
      <c r="F531" s="1382"/>
      <c r="G531" s="1382"/>
      <c r="H531" s="1383"/>
      <c r="I531" s="48" t="s">
        <v>422</v>
      </c>
      <c r="J531" s="48"/>
      <c r="K531" s="48"/>
      <c r="L531" s="48"/>
      <c r="M531" s="48"/>
      <c r="N531" s="48"/>
      <c r="O531" s="48"/>
      <c r="P531" s="48"/>
      <c r="Q531" s="48"/>
      <c r="R531" s="48"/>
      <c r="S531" s="48"/>
      <c r="T531" s="48"/>
      <c r="U531" s="48"/>
      <c r="V531" s="48"/>
      <c r="W531" s="48"/>
      <c r="X531" s="48"/>
      <c r="Y531" s="48"/>
      <c r="Z531" s="48"/>
      <c r="AA531" s="48"/>
      <c r="AB531" s="48"/>
      <c r="AC531" s="1370" t="s">
        <v>592</v>
      </c>
      <c r="AD531" s="1371"/>
      <c r="AE531" s="1371"/>
      <c r="AF531" s="1371"/>
      <c r="AG531" s="38" t="s">
        <v>403</v>
      </c>
      <c r="AH531" s="1389"/>
      <c r="AI531" s="1389"/>
      <c r="AJ531" s="1389"/>
      <c r="AK531" s="1390"/>
      <c r="AZ531" s="3"/>
      <c r="BA531" s="3"/>
      <c r="BB531" s="3"/>
      <c r="BC531" s="3"/>
      <c r="BD531" s="3"/>
      <c r="BE531" s="3"/>
      <c r="BF531" s="3"/>
      <c r="BG531" s="3"/>
      <c r="BH531" s="3"/>
      <c r="BI531" s="3"/>
      <c r="BJ531" s="3"/>
      <c r="BK531" s="3"/>
      <c r="BL531" s="3"/>
      <c r="BM531" s="3"/>
      <c r="BN531" s="3" t="s">
        <v>2124</v>
      </c>
    </row>
    <row r="532" spans="1:66" ht="13" customHeight="1">
      <c r="B532" s="1381"/>
      <c r="C532" s="1382"/>
      <c r="D532" s="1382"/>
      <c r="E532" s="1382"/>
      <c r="F532" s="1382"/>
      <c r="G532" s="1382"/>
      <c r="H532" s="1383"/>
      <c r="I532" s="42" t="s">
        <v>423</v>
      </c>
      <c r="J532" s="42"/>
      <c r="K532" s="42"/>
      <c r="L532" s="42"/>
      <c r="M532" s="42"/>
      <c r="N532" s="42"/>
      <c r="O532" s="1490" t="s">
        <v>334</v>
      </c>
      <c r="P532" s="1491"/>
      <c r="Q532" s="1491"/>
      <c r="R532" s="1491"/>
      <c r="S532" s="1491"/>
      <c r="T532" s="1491"/>
      <c r="U532" s="1491"/>
      <c r="V532" s="1491"/>
      <c r="W532" s="1491"/>
      <c r="X532" s="1491"/>
      <c r="Y532" s="1491"/>
      <c r="Z532" s="1491"/>
      <c r="AA532" s="1491"/>
      <c r="AC532" s="1370" t="s">
        <v>592</v>
      </c>
      <c r="AD532" s="1371"/>
      <c r="AE532" s="1371"/>
      <c r="AF532" s="1371"/>
      <c r="AG532" s="13" t="s">
        <v>403</v>
      </c>
      <c r="AH532" s="1389"/>
      <c r="AI532" s="1389"/>
      <c r="AJ532" s="1389"/>
      <c r="AK532" s="1390"/>
      <c r="AZ532" s="3"/>
      <c r="BA532" s="3"/>
      <c r="BB532" s="3"/>
      <c r="BC532" s="3"/>
      <c r="BD532" s="3"/>
      <c r="BE532" s="3"/>
      <c r="BF532" s="3"/>
      <c r="BG532" s="3"/>
      <c r="BH532" s="3"/>
      <c r="BI532" s="3"/>
      <c r="BJ532" s="3"/>
      <c r="BK532" s="3"/>
      <c r="BL532" s="3"/>
      <c r="BM532" s="3"/>
      <c r="BN532" s="3" t="s">
        <v>2125</v>
      </c>
    </row>
    <row r="533" spans="1:66" ht="13" customHeight="1">
      <c r="B533" s="1381"/>
      <c r="C533" s="1382"/>
      <c r="D533" s="1382"/>
      <c r="E533" s="1382"/>
      <c r="F533" s="1382"/>
      <c r="G533" s="1382"/>
      <c r="H533" s="1383"/>
      <c r="I533" t="s">
        <v>421</v>
      </c>
      <c r="AC533" s="1370" t="s">
        <v>592</v>
      </c>
      <c r="AD533" s="1371"/>
      <c r="AE533" s="1371"/>
      <c r="AF533" s="1371"/>
      <c r="AG533" s="38" t="s">
        <v>403</v>
      </c>
      <c r="AH533" s="1389"/>
      <c r="AI533" s="1389"/>
      <c r="AJ533" s="1389"/>
      <c r="AK533" s="1390"/>
      <c r="AZ533" s="3"/>
      <c r="BA533" s="3"/>
      <c r="BB533" s="3"/>
      <c r="BC533" s="3"/>
      <c r="BD533" s="3"/>
      <c r="BE533" s="3"/>
      <c r="BF533" s="3"/>
      <c r="BG533" s="3"/>
      <c r="BH533" s="3"/>
      <c r="BI533" s="3"/>
      <c r="BJ533" s="3"/>
      <c r="BK533" s="3"/>
      <c r="BL533" s="3"/>
      <c r="BM533" s="3"/>
      <c r="BN533" s="3" t="s">
        <v>2126</v>
      </c>
    </row>
    <row r="534" spans="1:66" ht="13" customHeight="1">
      <c r="B534" s="1381"/>
      <c r="C534" s="1382"/>
      <c r="D534" s="1382"/>
      <c r="E534" s="1382"/>
      <c r="F534" s="1382"/>
      <c r="G534" s="1382"/>
      <c r="H534" s="1383"/>
      <c r="I534" s="48" t="s">
        <v>422</v>
      </c>
      <c r="J534" s="48"/>
      <c r="K534" s="48"/>
      <c r="L534" s="48"/>
      <c r="M534" s="48"/>
      <c r="N534" s="48"/>
      <c r="O534" s="48"/>
      <c r="P534" s="48"/>
      <c r="Q534" s="48"/>
      <c r="R534" s="48"/>
      <c r="S534" s="48"/>
      <c r="T534" s="48"/>
      <c r="U534" s="48"/>
      <c r="V534" s="48"/>
      <c r="W534" s="48"/>
      <c r="X534" s="48"/>
      <c r="Y534" s="48"/>
      <c r="Z534" s="48"/>
      <c r="AA534" s="48"/>
      <c r="AB534" s="48"/>
      <c r="AC534" s="1370" t="s">
        <v>592</v>
      </c>
      <c r="AD534" s="1371"/>
      <c r="AE534" s="1371"/>
      <c r="AF534" s="1371"/>
      <c r="AG534" s="13" t="s">
        <v>403</v>
      </c>
      <c r="AH534" s="1389"/>
      <c r="AI534" s="1389"/>
      <c r="AJ534" s="1389"/>
      <c r="AK534" s="1390"/>
      <c r="AZ534" s="3"/>
      <c r="BA534" s="3"/>
      <c r="BB534" s="3"/>
      <c r="BC534" s="3"/>
      <c r="BD534" s="3"/>
      <c r="BE534" s="3"/>
      <c r="BF534" s="3"/>
      <c r="BG534" s="3"/>
      <c r="BH534" s="3"/>
      <c r="BI534" s="3"/>
      <c r="BJ534" s="3"/>
      <c r="BK534" s="3"/>
      <c r="BL534" s="3"/>
      <c r="BM534" s="3"/>
      <c r="BN534" s="3" t="s">
        <v>2127</v>
      </c>
    </row>
    <row r="535" spans="1:66" ht="13" customHeight="1">
      <c r="B535" s="1381"/>
      <c r="C535" s="1382"/>
      <c r="D535" s="1382"/>
      <c r="E535" s="1382"/>
      <c r="F535" s="1382"/>
      <c r="G535" s="1382"/>
      <c r="H535" s="1383"/>
      <c r="I535" s="42" t="s">
        <v>423</v>
      </c>
      <c r="J535" s="42"/>
      <c r="K535" s="42"/>
      <c r="L535" s="42"/>
      <c r="M535" s="42"/>
      <c r="N535" s="42"/>
      <c r="O535" s="1490" t="s">
        <v>334</v>
      </c>
      <c r="P535" s="1491"/>
      <c r="Q535" s="1491"/>
      <c r="R535" s="1491"/>
      <c r="S535" s="1491"/>
      <c r="T535" s="1491"/>
      <c r="U535" s="1491"/>
      <c r="V535" s="1491"/>
      <c r="W535" s="1491"/>
      <c r="X535" s="1491"/>
      <c r="Y535" s="1491"/>
      <c r="Z535" s="1491"/>
      <c r="AA535" s="1491"/>
      <c r="AC535" s="1370" t="s">
        <v>592</v>
      </c>
      <c r="AD535" s="1371"/>
      <c r="AE535" s="1371"/>
      <c r="AF535" s="1371"/>
      <c r="AG535" s="38" t="s">
        <v>403</v>
      </c>
      <c r="AH535" s="1389"/>
      <c r="AI535" s="1389"/>
      <c r="AJ535" s="1389"/>
      <c r="AK535" s="1390"/>
      <c r="AZ535" s="3"/>
      <c r="BA535" s="3"/>
      <c r="BB535" s="3"/>
      <c r="BC535" s="3"/>
      <c r="BD535" s="3"/>
      <c r="BE535" s="3"/>
      <c r="BF535" s="3"/>
      <c r="BG535" s="3"/>
      <c r="BH535" s="3"/>
      <c r="BI535" s="3"/>
      <c r="BJ535" s="3"/>
      <c r="BK535" s="3"/>
      <c r="BL535" s="3"/>
      <c r="BM535" s="3"/>
      <c r="BN535" s="3" t="s">
        <v>2128</v>
      </c>
    </row>
    <row r="536" spans="1:66" ht="13" customHeight="1">
      <c r="B536" s="1381"/>
      <c r="C536" s="1382"/>
      <c r="D536" s="1382"/>
      <c r="E536" s="1382"/>
      <c r="F536" s="1382"/>
      <c r="G536" s="1382"/>
      <c r="H536" s="1383"/>
      <c r="I536" t="s">
        <v>421</v>
      </c>
      <c r="AC536" s="1370" t="s">
        <v>592</v>
      </c>
      <c r="AD536" s="1371"/>
      <c r="AE536" s="1371"/>
      <c r="AF536" s="1371"/>
      <c r="AG536" s="13" t="s">
        <v>403</v>
      </c>
      <c r="AH536" s="1389"/>
      <c r="AI536" s="1389"/>
      <c r="AJ536" s="1389"/>
      <c r="AK536" s="1390"/>
      <c r="AZ536" s="3"/>
      <c r="BA536" s="3"/>
      <c r="BB536" s="3"/>
      <c r="BC536" s="3"/>
      <c r="BD536" s="3"/>
      <c r="BE536" s="3"/>
      <c r="BF536" s="3"/>
      <c r="BG536" s="3"/>
      <c r="BH536" s="3"/>
      <c r="BI536" s="3"/>
      <c r="BJ536" s="3"/>
      <c r="BK536" s="3"/>
      <c r="BL536" s="3"/>
      <c r="BM536" s="3"/>
      <c r="BN536" s="3" t="s">
        <v>2129</v>
      </c>
    </row>
    <row r="537" spans="1:66" ht="13" customHeight="1">
      <c r="B537" s="1381"/>
      <c r="C537" s="1382"/>
      <c r="D537" s="1382"/>
      <c r="E537" s="1382"/>
      <c r="F537" s="1382"/>
      <c r="G537" s="1382"/>
      <c r="H537" s="1383"/>
      <c r="I537" s="48" t="s">
        <v>422</v>
      </c>
      <c r="J537" s="48"/>
      <c r="K537" s="48"/>
      <c r="L537" s="48"/>
      <c r="M537" s="48"/>
      <c r="N537" s="48"/>
      <c r="O537" s="48"/>
      <c r="P537" s="48"/>
      <c r="Q537" s="48"/>
      <c r="R537" s="48"/>
      <c r="S537" s="48"/>
      <c r="T537" s="48"/>
      <c r="U537" s="48"/>
      <c r="V537" s="48"/>
      <c r="W537" s="48"/>
      <c r="X537" s="48"/>
      <c r="Y537" s="48"/>
      <c r="Z537" s="48"/>
      <c r="AA537" s="48"/>
      <c r="AB537" s="48"/>
      <c r="AC537" s="1370" t="s">
        <v>592</v>
      </c>
      <c r="AD537" s="1371"/>
      <c r="AE537" s="1371"/>
      <c r="AF537" s="1371"/>
      <c r="AG537" s="38" t="s">
        <v>403</v>
      </c>
      <c r="AH537" s="1389"/>
      <c r="AI537" s="1389"/>
      <c r="AJ537" s="1389"/>
      <c r="AK537" s="1390"/>
      <c r="AZ537" s="3"/>
      <c r="BA537" s="3"/>
      <c r="BB537" s="3"/>
      <c r="BC537" s="3"/>
      <c r="BD537" s="3"/>
      <c r="BE537" s="3"/>
      <c r="BF537" s="3"/>
      <c r="BG537" s="3"/>
      <c r="BH537" s="3"/>
      <c r="BI537" s="3"/>
      <c r="BJ537" s="3"/>
      <c r="BK537" s="3"/>
      <c r="BL537" s="3"/>
      <c r="BM537" s="3"/>
      <c r="BN537" s="3" t="s">
        <v>2130</v>
      </c>
    </row>
    <row r="538" spans="1:66" ht="13" customHeight="1">
      <c r="B538" s="1381"/>
      <c r="C538" s="1382"/>
      <c r="D538" s="1382"/>
      <c r="E538" s="1382"/>
      <c r="F538" s="1382"/>
      <c r="G538" s="1382"/>
      <c r="H538" s="1383"/>
      <c r="I538" s="42" t="s">
        <v>563</v>
      </c>
      <c r="J538" s="42"/>
      <c r="K538" s="42"/>
      <c r="L538" s="42"/>
      <c r="M538" s="42"/>
      <c r="N538" s="42"/>
      <c r="O538" s="42"/>
      <c r="P538" s="42"/>
      <c r="Q538" s="42"/>
      <c r="R538" s="42"/>
      <c r="S538" s="42"/>
      <c r="T538" s="42"/>
      <c r="U538" s="42"/>
      <c r="V538" s="42"/>
      <c r="W538" s="42"/>
      <c r="AC538" s="1370">
        <v>10</v>
      </c>
      <c r="AD538" s="1371"/>
      <c r="AE538" s="1371"/>
      <c r="AF538" s="1371"/>
      <c r="AG538" s="38" t="s">
        <v>403</v>
      </c>
      <c r="AH538" s="1389">
        <v>2025</v>
      </c>
      <c r="AI538" s="1389"/>
      <c r="AJ538" s="1389"/>
      <c r="AK538" s="1390"/>
      <c r="AZ538" s="3"/>
      <c r="BA538" s="3"/>
      <c r="BB538" s="3"/>
      <c r="BC538" s="3"/>
      <c r="BD538" s="3"/>
      <c r="BE538" s="3"/>
      <c r="BF538" s="3"/>
      <c r="BG538" s="3"/>
      <c r="BH538" s="3"/>
      <c r="BI538" s="3"/>
      <c r="BJ538" s="3"/>
      <c r="BK538" s="3"/>
      <c r="BL538" s="3"/>
      <c r="BM538" s="3"/>
      <c r="BN538" s="3"/>
    </row>
    <row r="539" spans="1:66" ht="13" customHeight="1">
      <c r="B539" s="1381"/>
      <c r="C539" s="1382"/>
      <c r="D539" s="1382"/>
      <c r="E539" s="1382"/>
      <c r="F539" s="1382"/>
      <c r="G539" s="1382"/>
      <c r="H539" s="1383"/>
      <c r="I539" t="s">
        <v>564</v>
      </c>
      <c r="AC539" s="1370">
        <v>10</v>
      </c>
      <c r="AD539" s="1371"/>
      <c r="AE539" s="1371"/>
      <c r="AF539" s="1371"/>
      <c r="AG539" s="13" t="s">
        <v>403</v>
      </c>
      <c r="AH539" s="1389">
        <v>2025</v>
      </c>
      <c r="AI539" s="1389"/>
      <c r="AJ539" s="1389"/>
      <c r="AK539" s="1390"/>
      <c r="AZ539" s="3"/>
      <c r="BA539" s="3"/>
      <c r="BB539" s="3"/>
      <c r="BC539" s="3"/>
      <c r="BD539" s="3"/>
      <c r="BE539" s="3"/>
      <c r="BF539" s="3"/>
      <c r="BG539" s="3"/>
      <c r="BH539" s="3"/>
      <c r="BI539" s="3"/>
      <c r="BJ539" s="3"/>
      <c r="BK539" s="3"/>
      <c r="BL539" s="3"/>
      <c r="BM539" s="3"/>
      <c r="BN539" s="3"/>
    </row>
    <row r="540" spans="1:66" ht="13" customHeight="1">
      <c r="B540" s="1381"/>
      <c r="C540" s="1382"/>
      <c r="D540" s="1382"/>
      <c r="E540" s="1382"/>
      <c r="F540" s="1382"/>
      <c r="G540" s="1382"/>
      <c r="H540" s="1383"/>
      <c r="I540" t="s">
        <v>565</v>
      </c>
      <c r="AC540" s="1370">
        <v>2</v>
      </c>
      <c r="AD540" s="1371"/>
      <c r="AE540" s="1371"/>
      <c r="AF540" s="1371"/>
      <c r="AG540" s="38" t="s">
        <v>403</v>
      </c>
      <c r="AH540" s="1389">
        <v>2027</v>
      </c>
      <c r="AI540" s="1389"/>
      <c r="AJ540" s="1389"/>
      <c r="AK540" s="1390"/>
      <c r="AZ540" s="3"/>
      <c r="BA540" s="3"/>
      <c r="BB540" s="3"/>
      <c r="BC540" s="3"/>
      <c r="BD540" s="3"/>
      <c r="BE540" s="3"/>
      <c r="BF540" s="3"/>
      <c r="BG540" s="3"/>
      <c r="BH540" s="3"/>
      <c r="BI540" s="3"/>
      <c r="BJ540" s="3"/>
      <c r="BK540" s="3"/>
      <c r="BL540" s="3"/>
      <c r="BM540" s="3"/>
      <c r="BN540" s="3"/>
    </row>
    <row r="541" spans="1:66" ht="13" customHeight="1">
      <c r="B541" s="1381"/>
      <c r="C541" s="1382"/>
      <c r="D541" s="1382"/>
      <c r="E541" s="1382"/>
      <c r="F541" s="1382"/>
      <c r="G541" s="1382"/>
      <c r="H541" s="1383"/>
      <c r="I541" t="s">
        <v>566</v>
      </c>
      <c r="AC541" s="1370">
        <v>2</v>
      </c>
      <c r="AD541" s="1371"/>
      <c r="AE541" s="1371"/>
      <c r="AF541" s="1371"/>
      <c r="AG541" s="38" t="s">
        <v>403</v>
      </c>
      <c r="AH541" s="1389">
        <v>2027</v>
      </c>
      <c r="AI541" s="1389"/>
      <c r="AJ541" s="1389"/>
      <c r="AK541" s="1390"/>
      <c r="AZ541" s="3"/>
      <c r="BA541" s="3"/>
      <c r="BB541" s="3"/>
      <c r="BC541" s="3"/>
      <c r="BD541" s="3"/>
      <c r="BE541" s="3"/>
      <c r="BF541" s="3"/>
      <c r="BG541" s="3"/>
      <c r="BH541" s="3"/>
      <c r="BI541" s="3"/>
      <c r="BJ541" s="3"/>
      <c r="BK541" s="3"/>
      <c r="BL541" s="3"/>
      <c r="BM541" s="3"/>
      <c r="BN541" s="3"/>
    </row>
    <row r="542" spans="1:66" ht="13" customHeight="1">
      <c r="B542" s="1384"/>
      <c r="C542" s="1385"/>
      <c r="D542" s="1385"/>
      <c r="E542" s="1385"/>
      <c r="F542" s="1385"/>
      <c r="G542" s="1385"/>
      <c r="H542" s="1386"/>
      <c r="I542" s="48" t="s">
        <v>452</v>
      </c>
      <c r="J542" s="48"/>
      <c r="K542" s="48"/>
      <c r="L542" s="48"/>
      <c r="M542" s="48"/>
      <c r="N542" s="48"/>
      <c r="O542" s="48"/>
      <c r="P542" s="48"/>
      <c r="Q542" s="48"/>
      <c r="R542" s="48"/>
      <c r="S542" s="48"/>
      <c r="T542" s="48"/>
      <c r="U542" s="48"/>
      <c r="V542" s="48"/>
      <c r="W542" s="48"/>
      <c r="X542" s="48"/>
      <c r="Y542" s="48"/>
      <c r="Z542" s="48"/>
      <c r="AA542" s="48"/>
      <c r="AB542" s="48"/>
      <c r="AC542" s="1370">
        <v>12</v>
      </c>
      <c r="AD542" s="1371"/>
      <c r="AE542" s="1371"/>
      <c r="AF542" s="1371"/>
      <c r="AG542" s="38" t="s">
        <v>403</v>
      </c>
      <c r="AH542" s="1389">
        <v>2027</v>
      </c>
      <c r="AI542" s="1389"/>
      <c r="AJ542" s="1389"/>
      <c r="AK542" s="1390"/>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69" t="s">
        <v>544</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900"/>
      <c r="AV544" s="900"/>
      <c r="AW544" s="900"/>
      <c r="AX544" s="900"/>
      <c r="AY544" s="900"/>
      <c r="BB544" s="3"/>
      <c r="BC544" s="3"/>
      <c r="BD544" s="3"/>
      <c r="BE544" s="3"/>
      <c r="BF544" s="3"/>
      <c r="BG544" s="3"/>
      <c r="BH544" s="3"/>
      <c r="BI544" s="3"/>
      <c r="BJ544" s="3"/>
      <c r="BK544" s="3"/>
      <c r="BL544" s="3"/>
      <c r="BM544" s="3"/>
      <c r="BN544" s="3"/>
    </row>
    <row r="545" spans="1:61" ht="13"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2102</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378" t="s">
        <v>2104</v>
      </c>
      <c r="C551" s="1379"/>
      <c r="D551" s="1379"/>
      <c r="E551" s="1379"/>
      <c r="F551" s="1379"/>
      <c r="G551" s="1379"/>
      <c r="H551" s="1379"/>
      <c r="I551" s="1379"/>
      <c r="J551" s="1379"/>
      <c r="K551" s="1379"/>
      <c r="L551" s="1380"/>
      <c r="M551" s="1378" t="s">
        <v>2105</v>
      </c>
      <c r="N551" s="1379"/>
      <c r="O551" s="1379"/>
      <c r="P551" s="1380"/>
      <c r="Q551" s="1378" t="s">
        <v>2131</v>
      </c>
      <c r="R551" s="1379"/>
      <c r="S551" s="1380"/>
      <c r="T551" s="1378" t="s">
        <v>2132</v>
      </c>
      <c r="U551" s="1379"/>
      <c r="V551" s="1380"/>
      <c r="W551" s="1378" t="s">
        <v>454</v>
      </c>
      <c r="X551" s="1379"/>
      <c r="Y551" s="1380"/>
      <c r="Z551" s="1378" t="s">
        <v>1852</v>
      </c>
      <c r="AA551" s="1379"/>
      <c r="AB551" s="1379"/>
      <c r="AC551" s="1379"/>
      <c r="AD551" s="1380"/>
      <c r="AE551" s="1378" t="s">
        <v>1676</v>
      </c>
      <c r="AF551" s="1379"/>
      <c r="AG551" s="1379"/>
      <c r="AH551" s="1380"/>
      <c r="AI551" s="1378" t="s">
        <v>1677</v>
      </c>
      <c r="AJ551" s="1379"/>
      <c r="AK551" s="1379"/>
      <c r="AL551" s="1380"/>
      <c r="AM551" s="1378" t="s">
        <v>455</v>
      </c>
      <c r="AN551" s="1379"/>
      <c r="AO551" s="1379"/>
      <c r="AP551" s="1379"/>
      <c r="AQ551" s="1379"/>
      <c r="AR551" s="1379"/>
      <c r="AS551" s="1380"/>
      <c r="BB551" s="3"/>
      <c r="BC551" s="3"/>
      <c r="BD551" s="3"/>
      <c r="BE551" s="3"/>
      <c r="BF551" s="3"/>
      <c r="BG551" s="3"/>
      <c r="BH551" s="3" t="s">
        <v>582</v>
      </c>
      <c r="BI551" s="3" t="str">
        <f>AG657</f>
        <v>Yes</v>
      </c>
    </row>
    <row r="552" spans="1:61" ht="13" customHeight="1">
      <c r="B552" s="1381"/>
      <c r="C552" s="1382"/>
      <c r="D552" s="1382"/>
      <c r="E552" s="1382"/>
      <c r="F552" s="1382"/>
      <c r="G552" s="1382"/>
      <c r="H552" s="1382"/>
      <c r="I552" s="1382"/>
      <c r="J552" s="1382"/>
      <c r="K552" s="1382"/>
      <c r="L552" s="1383"/>
      <c r="M552" s="1381"/>
      <c r="N552" s="1382"/>
      <c r="O552" s="1382"/>
      <c r="P552" s="1383"/>
      <c r="Q552" s="1381"/>
      <c r="R552" s="1382"/>
      <c r="S552" s="1383"/>
      <c r="T552" s="1381"/>
      <c r="U552" s="1382"/>
      <c r="V552" s="1383"/>
      <c r="W552" s="1381"/>
      <c r="X552" s="1382"/>
      <c r="Y552" s="1383"/>
      <c r="Z552" s="1381"/>
      <c r="AA552" s="1382"/>
      <c r="AB552" s="1382"/>
      <c r="AC552" s="1382"/>
      <c r="AD552" s="1383"/>
      <c r="AE552" s="1381"/>
      <c r="AF552" s="1382"/>
      <c r="AG552" s="1382"/>
      <c r="AH552" s="1383"/>
      <c r="AI552" s="1381"/>
      <c r="AJ552" s="1382"/>
      <c r="AK552" s="1382"/>
      <c r="AL552" s="1383"/>
      <c r="AM552" s="1381"/>
      <c r="AN552" s="1382"/>
      <c r="AO552" s="1382"/>
      <c r="AP552" s="1382"/>
      <c r="AQ552" s="1382"/>
      <c r="AR552" s="1382"/>
      <c r="AS552" s="1383"/>
      <c r="AU552" s="1149"/>
      <c r="BB552" s="3"/>
      <c r="BC552" s="3"/>
      <c r="BD552" s="3"/>
      <c r="BE552" s="3"/>
      <c r="BF552" s="3"/>
      <c r="BG552" s="3"/>
      <c r="BH552" s="3"/>
      <c r="BI552" s="3"/>
    </row>
    <row r="553" spans="1:61" ht="13" customHeight="1">
      <c r="B553" s="1384"/>
      <c r="C553" s="1385"/>
      <c r="D553" s="1385"/>
      <c r="E553" s="1385"/>
      <c r="F553" s="1385"/>
      <c r="G553" s="1385"/>
      <c r="H553" s="1385"/>
      <c r="I553" s="1385"/>
      <c r="J553" s="1385"/>
      <c r="K553" s="1385"/>
      <c r="L553" s="1386"/>
      <c r="M553" s="1384"/>
      <c r="N553" s="1385"/>
      <c r="O553" s="1385"/>
      <c r="P553" s="1386"/>
      <c r="Q553" s="1384"/>
      <c r="R553" s="1385"/>
      <c r="S553" s="1386"/>
      <c r="T553" s="1384"/>
      <c r="U553" s="1385"/>
      <c r="V553" s="1386"/>
      <c r="W553" s="1384"/>
      <c r="X553" s="1385"/>
      <c r="Y553" s="1386"/>
      <c r="Z553" s="1384"/>
      <c r="AA553" s="1385"/>
      <c r="AB553" s="1385"/>
      <c r="AC553" s="1385"/>
      <c r="AD553" s="1386"/>
      <c r="AE553" s="1384"/>
      <c r="AF553" s="1385"/>
      <c r="AG553" s="1385"/>
      <c r="AH553" s="1386"/>
      <c r="AI553" s="1384"/>
      <c r="AJ553" s="1385"/>
      <c r="AK553" s="1385"/>
      <c r="AL553" s="1386"/>
      <c r="AM553" s="1384"/>
      <c r="AN553" s="1385"/>
      <c r="AO553" s="1385"/>
      <c r="AP553" s="1385"/>
      <c r="AQ553" s="1385"/>
      <c r="AR553" s="1385"/>
      <c r="AS553" s="1386"/>
      <c r="AU553" s="1149"/>
      <c r="BB553" s="3"/>
      <c r="BC553" s="3"/>
      <c r="BD553" s="3"/>
      <c r="BE553" s="3"/>
      <c r="BF553" s="3"/>
      <c r="BG553" s="3"/>
      <c r="BH553" s="3"/>
      <c r="BI553" s="3"/>
    </row>
    <row r="554" spans="1:61" ht="13" customHeight="1">
      <c r="B554" s="51" t="s">
        <v>112</v>
      </c>
      <c r="C554" s="1446" t="s">
        <v>2684</v>
      </c>
      <c r="D554" s="1446"/>
      <c r="E554" s="1446"/>
      <c r="F554" s="1446"/>
      <c r="G554" s="1446"/>
      <c r="H554" s="1446"/>
      <c r="I554" s="1446"/>
      <c r="J554" s="1446"/>
      <c r="K554" s="1446"/>
      <c r="L554" s="1446"/>
      <c r="M554" s="1446" t="s">
        <v>2121</v>
      </c>
      <c r="N554" s="1446"/>
      <c r="O554" s="1446"/>
      <c r="P554" s="1446"/>
      <c r="Q554" s="1387">
        <v>30</v>
      </c>
      <c r="R554" s="1387"/>
      <c r="S554" s="1388"/>
      <c r="T554" s="1398"/>
      <c r="U554" s="1387"/>
      <c r="V554" s="1388"/>
      <c r="W554" s="1429">
        <v>6.8000000000000005E-2</v>
      </c>
      <c r="X554" s="1430"/>
      <c r="Y554" s="1431"/>
      <c r="Z554" s="1412" t="s">
        <v>2716</v>
      </c>
      <c r="AA554" s="1412"/>
      <c r="AB554" s="1412"/>
      <c r="AC554" s="1412"/>
      <c r="AD554" s="1412"/>
      <c r="AE554" s="1394">
        <v>1</v>
      </c>
      <c r="AF554" s="1395"/>
      <c r="AG554" s="1395"/>
      <c r="AH554" s="1396"/>
      <c r="AI554" s="1419"/>
      <c r="AJ554" s="1420"/>
      <c r="AK554" s="1420"/>
      <c r="AL554" s="1421"/>
      <c r="AM554" s="1402">
        <v>54869173</v>
      </c>
      <c r="AN554" s="1403"/>
      <c r="AO554" s="1403"/>
      <c r="AP554" s="1403"/>
      <c r="AQ554" s="1403"/>
      <c r="AR554" s="1403"/>
      <c r="AS554" s="1404"/>
      <c r="AT554" s="1150"/>
      <c r="AU554" s="1149"/>
      <c r="BB554" s="3"/>
      <c r="BC554" s="3"/>
      <c r="BD554" s="3"/>
      <c r="BE554" s="3"/>
      <c r="BF554" s="3"/>
      <c r="BG554" s="3"/>
      <c r="BH554" s="3"/>
      <c r="BI554" s="3"/>
    </row>
    <row r="555" spans="1:61" ht="13" customHeight="1">
      <c r="B555" s="52" t="s">
        <v>113</v>
      </c>
      <c r="C555" s="1411" t="s">
        <v>2685</v>
      </c>
      <c r="D555" s="1411"/>
      <c r="E555" s="1411"/>
      <c r="F555" s="1411"/>
      <c r="G555" s="1411"/>
      <c r="H555" s="1411"/>
      <c r="I555" s="1411"/>
      <c r="J555" s="1411"/>
      <c r="K555" s="1411"/>
      <c r="L555" s="1411"/>
      <c r="M555" s="1446" t="s">
        <v>2122</v>
      </c>
      <c r="N555" s="1446"/>
      <c r="O555" s="1446"/>
      <c r="P555" s="1446"/>
      <c r="Q555" s="1398">
        <v>30</v>
      </c>
      <c r="R555" s="1387"/>
      <c r="S555" s="1388"/>
      <c r="T555" s="1398"/>
      <c r="U555" s="1387"/>
      <c r="V555" s="1388"/>
      <c r="W555" s="1429">
        <v>6.8000000000000005E-2</v>
      </c>
      <c r="X555" s="1430"/>
      <c r="Y555" s="1431"/>
      <c r="Z555" s="1412" t="s">
        <v>2716</v>
      </c>
      <c r="AA555" s="1412"/>
      <c r="AB555" s="1412"/>
      <c r="AC555" s="1412"/>
      <c r="AD555" s="1412"/>
      <c r="AE555" s="1394">
        <v>2</v>
      </c>
      <c r="AF555" s="1395"/>
      <c r="AG555" s="1395"/>
      <c r="AH555" s="1396"/>
      <c r="AI555" s="1419"/>
      <c r="AJ555" s="1420"/>
      <c r="AK555" s="1420"/>
      <c r="AL555" s="1421"/>
      <c r="AM555" s="1402">
        <v>8898623</v>
      </c>
      <c r="AN555" s="1403"/>
      <c r="AO555" s="1403"/>
      <c r="AP555" s="1403"/>
      <c r="AQ555" s="1403"/>
      <c r="AR555" s="1403"/>
      <c r="AS555" s="1404"/>
      <c r="AT555" s="1150" t="str">
        <f>IF(AND(NOT(C554=""),C555="",NOT(C556="")),"!","")</f>
        <v/>
      </c>
      <c r="AU555" s="1149"/>
      <c r="BB555" s="3"/>
      <c r="BC555" s="3"/>
      <c r="BD555" s="3"/>
      <c r="BE555" s="3"/>
      <c r="BF555" s="3"/>
      <c r="BG555" s="3"/>
      <c r="BH555" s="3"/>
      <c r="BI555" s="3"/>
    </row>
    <row r="556" spans="1:61" ht="13" customHeight="1">
      <c r="B556" s="52" t="s">
        <v>119</v>
      </c>
      <c r="C556" s="1411" t="s">
        <v>2650</v>
      </c>
      <c r="D556" s="1411"/>
      <c r="E556" s="1411"/>
      <c r="F556" s="1411"/>
      <c r="G556" s="1411"/>
      <c r="H556" s="1411"/>
      <c r="I556" s="1411"/>
      <c r="J556" s="1411"/>
      <c r="K556" s="1411"/>
      <c r="L556" s="1411"/>
      <c r="M556" s="1446" t="s">
        <v>1184</v>
      </c>
      <c r="N556" s="1446"/>
      <c r="O556" s="1446"/>
      <c r="P556" s="1446"/>
      <c r="Q556" s="1398"/>
      <c r="R556" s="1387"/>
      <c r="S556" s="1388"/>
      <c r="T556" s="1398"/>
      <c r="U556" s="1387"/>
      <c r="V556" s="1388"/>
      <c r="W556" s="1429"/>
      <c r="X556" s="1430"/>
      <c r="Y556" s="1431"/>
      <c r="Z556" s="1412" t="s">
        <v>1184</v>
      </c>
      <c r="AA556" s="1412"/>
      <c r="AB556" s="1412"/>
      <c r="AC556" s="1412"/>
      <c r="AD556" s="1412"/>
      <c r="AE556" s="1394"/>
      <c r="AF556" s="1395"/>
      <c r="AG556" s="1395"/>
      <c r="AH556" s="1396"/>
      <c r="AI556" s="1419"/>
      <c r="AJ556" s="1420"/>
      <c r="AK556" s="1420"/>
      <c r="AL556" s="1421"/>
      <c r="AM556" s="1402">
        <v>14825916</v>
      </c>
      <c r="AN556" s="1403"/>
      <c r="AO556" s="1403"/>
      <c r="AP556" s="1403"/>
      <c r="AQ556" s="1403"/>
      <c r="AR556" s="1403"/>
      <c r="AS556" s="1404"/>
      <c r="AT556" s="1150" t="str">
        <f>IF(AND(NOT(C555=""),C556="",NOT(C557="")),"!","")</f>
        <v/>
      </c>
      <c r="AU556" s="1149"/>
      <c r="BB556" s="3"/>
      <c r="BC556" s="3"/>
      <c r="BD556" s="3"/>
      <c r="BE556" s="3"/>
      <c r="BF556" s="3"/>
      <c r="BG556" s="3"/>
      <c r="BH556" s="3"/>
      <c r="BI556" s="3"/>
    </row>
    <row r="557" spans="1:61" ht="13" customHeight="1">
      <c r="B557" s="52" t="s">
        <v>582</v>
      </c>
      <c r="C557" s="1411" t="s">
        <v>2686</v>
      </c>
      <c r="D557" s="1411"/>
      <c r="E557" s="1411"/>
      <c r="F557" s="1411"/>
      <c r="G557" s="1411"/>
      <c r="H557" s="1411"/>
      <c r="I557" s="1411"/>
      <c r="J557" s="1411"/>
      <c r="K557" s="1411"/>
      <c r="L557" s="1411"/>
      <c r="M557" s="1446" t="s">
        <v>2112</v>
      </c>
      <c r="N557" s="1446"/>
      <c r="O557" s="1446"/>
      <c r="P557" s="1446"/>
      <c r="Q557" s="1398"/>
      <c r="R557" s="1387"/>
      <c r="S557" s="1388"/>
      <c r="T557" s="1398"/>
      <c r="U557" s="1387"/>
      <c r="V557" s="1388"/>
      <c r="W557" s="1429"/>
      <c r="X557" s="1430"/>
      <c r="Y557" s="1431"/>
      <c r="Z557" s="1412" t="s">
        <v>1184</v>
      </c>
      <c r="AA557" s="1412"/>
      <c r="AB557" s="1412"/>
      <c r="AC557" s="1412"/>
      <c r="AD557" s="1412"/>
      <c r="AE557" s="1394"/>
      <c r="AF557" s="1395"/>
      <c r="AG557" s="1395"/>
      <c r="AH557" s="1396"/>
      <c r="AI557" s="1419"/>
      <c r="AJ557" s="1420"/>
      <c r="AK557" s="1420"/>
      <c r="AL557" s="1421"/>
      <c r="AM557" s="1402">
        <v>7395314</v>
      </c>
      <c r="AN557" s="1403"/>
      <c r="AO557" s="1403"/>
      <c r="AP557" s="1403"/>
      <c r="AQ557" s="1403"/>
      <c r="AR557" s="1403"/>
      <c r="AS557" s="1404"/>
      <c r="AT557" s="1150" t="str">
        <f>IF(AND(NOT(C556=""),C557="",NOT(C558="")),"!","")</f>
        <v/>
      </c>
      <c r="AU557" s="1149"/>
      <c r="BB557" s="3"/>
      <c r="BC557" s="3"/>
      <c r="BD557" s="3"/>
      <c r="BE557" s="3"/>
      <c r="BF557" s="3"/>
      <c r="BG557" s="3"/>
      <c r="BH557" s="3"/>
      <c r="BI557" s="3"/>
    </row>
    <row r="558" spans="1:61" ht="13" customHeight="1">
      <c r="B558" s="52" t="s">
        <v>764</v>
      </c>
      <c r="C558" s="1411" t="s">
        <v>2706</v>
      </c>
      <c r="D558" s="1411"/>
      <c r="E558" s="1411"/>
      <c r="F558" s="1411"/>
      <c r="G558" s="1411"/>
      <c r="H558" s="1411"/>
      <c r="I558" s="1411"/>
      <c r="J558" s="1411"/>
      <c r="K558" s="1411"/>
      <c r="L558" s="1411"/>
      <c r="M558" s="1446" t="s">
        <v>2118</v>
      </c>
      <c r="N558" s="1446"/>
      <c r="O558" s="1446"/>
      <c r="P558" s="1446"/>
      <c r="Q558" s="1398">
        <v>660</v>
      </c>
      <c r="R558" s="1387"/>
      <c r="S558" s="1388"/>
      <c r="T558" s="1398"/>
      <c r="U558" s="1387"/>
      <c r="V558" s="1388"/>
      <c r="W558" s="1429">
        <v>0.05</v>
      </c>
      <c r="X558" s="1430"/>
      <c r="Y558" s="1431"/>
      <c r="Z558" s="1412" t="s">
        <v>2711</v>
      </c>
      <c r="AA558" s="1412"/>
      <c r="AB558" s="1412"/>
      <c r="AC558" s="1412"/>
      <c r="AD558" s="1412"/>
      <c r="AE558" s="1394">
        <v>4</v>
      </c>
      <c r="AF558" s="1395"/>
      <c r="AG558" s="1395"/>
      <c r="AH558" s="1396"/>
      <c r="AI558" s="1419"/>
      <c r="AJ558" s="1420"/>
      <c r="AK558" s="1420"/>
      <c r="AL558" s="1421"/>
      <c r="AM558" s="1402">
        <v>4990000</v>
      </c>
      <c r="AN558" s="1403"/>
      <c r="AO558" s="1403"/>
      <c r="AP558" s="1403"/>
      <c r="AQ558" s="1403"/>
      <c r="AR558" s="1403"/>
      <c r="AS558" s="1404"/>
      <c r="AT558" s="1150" t="str">
        <f t="shared" ref="AT558:AT565" si="0">IF(AND(NOT(C557=""),C558="",NOT(C559="")),"!","")</f>
        <v/>
      </c>
      <c r="AU558" s="1149"/>
      <c r="BB558" s="3"/>
      <c r="BC558" s="3"/>
      <c r="BD558" s="3"/>
      <c r="BE558" s="3"/>
      <c r="BF558" s="3"/>
      <c r="BG558" s="3"/>
      <c r="BH558" s="3" t="s">
        <v>764</v>
      </c>
      <c r="BI558" s="3" t="str">
        <f>N665</f>
        <v>No</v>
      </c>
    </row>
    <row r="559" spans="1:61" ht="13" customHeight="1">
      <c r="B559" s="52" t="s">
        <v>585</v>
      </c>
      <c r="C559" s="1411" t="s">
        <v>2687</v>
      </c>
      <c r="D559" s="1411"/>
      <c r="E559" s="1411"/>
      <c r="F559" s="1411"/>
      <c r="G559" s="1411"/>
      <c r="H559" s="1411"/>
      <c r="I559" s="1411"/>
      <c r="J559" s="1411"/>
      <c r="K559" s="1411"/>
      <c r="L559" s="1411"/>
      <c r="M559" s="1446" t="s">
        <v>2116</v>
      </c>
      <c r="N559" s="1446"/>
      <c r="O559" s="1446"/>
      <c r="P559" s="1446"/>
      <c r="Q559" s="1398">
        <v>30</v>
      </c>
      <c r="R559" s="1387"/>
      <c r="S559" s="1388"/>
      <c r="T559" s="1398"/>
      <c r="U559" s="1387"/>
      <c r="V559" s="1388"/>
      <c r="W559" s="1429">
        <v>6.8000000000000005E-2</v>
      </c>
      <c r="X559" s="1430"/>
      <c r="Y559" s="1431"/>
      <c r="Z559" s="1412" t="s">
        <v>2716</v>
      </c>
      <c r="AA559" s="1412"/>
      <c r="AB559" s="1412"/>
      <c r="AC559" s="1412"/>
      <c r="AD559" s="1412"/>
      <c r="AE559" s="1394">
        <v>3</v>
      </c>
      <c r="AF559" s="1395"/>
      <c r="AG559" s="1395"/>
      <c r="AH559" s="1396"/>
      <c r="AI559" s="1419"/>
      <c r="AJ559" s="1420"/>
      <c r="AK559" s="1420"/>
      <c r="AL559" s="1421"/>
      <c r="AM559" s="1402">
        <v>18880513</v>
      </c>
      <c r="AN559" s="1403"/>
      <c r="AO559" s="1403"/>
      <c r="AP559" s="1403"/>
      <c r="AQ559" s="1403"/>
      <c r="AR559" s="1403"/>
      <c r="AS559" s="1404"/>
      <c r="AT559" s="1150" t="str">
        <f t="shared" si="0"/>
        <v/>
      </c>
      <c r="AU559" s="1149"/>
      <c r="BB559" s="3"/>
      <c r="BC559" s="3"/>
      <c r="BD559" s="3"/>
      <c r="BE559" s="3"/>
      <c r="BF559" s="3"/>
      <c r="BG559" s="3"/>
      <c r="BH559" s="3" t="s">
        <v>585</v>
      </c>
      <c r="BI559" s="3" t="str">
        <f>AG665</f>
        <v>No</v>
      </c>
    </row>
    <row r="560" spans="1:61" ht="13" customHeight="1">
      <c r="B560" s="52" t="s">
        <v>456</v>
      </c>
      <c r="C560" s="1411"/>
      <c r="D560" s="1411"/>
      <c r="E560" s="1411"/>
      <c r="F560" s="1411"/>
      <c r="G560" s="1411"/>
      <c r="H560" s="1411"/>
      <c r="I560" s="1411"/>
      <c r="J560" s="1411"/>
      <c r="K560" s="1411"/>
      <c r="L560" s="1411"/>
      <c r="M560" s="1446" t="s">
        <v>1184</v>
      </c>
      <c r="N560" s="1446"/>
      <c r="O560" s="1446"/>
      <c r="P560" s="1446"/>
      <c r="Q560" s="1398"/>
      <c r="R560" s="1387"/>
      <c r="S560" s="1388"/>
      <c r="T560" s="1398"/>
      <c r="U560" s="1387"/>
      <c r="V560" s="1388"/>
      <c r="W560" s="1429"/>
      <c r="X560" s="1430"/>
      <c r="Y560" s="1431"/>
      <c r="Z560" s="1412" t="s">
        <v>1184</v>
      </c>
      <c r="AA560" s="1412"/>
      <c r="AB560" s="1412"/>
      <c r="AC560" s="1412"/>
      <c r="AD560" s="1412"/>
      <c r="AE560" s="1394"/>
      <c r="AF560" s="1395"/>
      <c r="AG560" s="1395"/>
      <c r="AH560" s="1396"/>
      <c r="AI560" s="1419"/>
      <c r="AJ560" s="1420"/>
      <c r="AK560" s="1420"/>
      <c r="AL560" s="1421"/>
      <c r="AM560" s="1402"/>
      <c r="AN560" s="1403"/>
      <c r="AO560" s="1403"/>
      <c r="AP560" s="1403"/>
      <c r="AQ560" s="1403"/>
      <c r="AR560" s="1403"/>
      <c r="AS560" s="1404"/>
      <c r="AT560" s="1150" t="str">
        <f t="shared" si="0"/>
        <v/>
      </c>
      <c r="AU560" s="1149"/>
      <c r="BB560" s="3"/>
      <c r="BC560" s="3"/>
      <c r="BD560" s="3"/>
      <c r="BE560" s="3"/>
      <c r="BF560" s="3"/>
      <c r="BG560" s="3"/>
      <c r="BH560" s="3"/>
      <c r="BI560" s="3"/>
    </row>
    <row r="561" spans="1:61" ht="13" customHeight="1">
      <c r="B561" s="52" t="s">
        <v>457</v>
      </c>
      <c r="C561" s="1411"/>
      <c r="D561" s="1411"/>
      <c r="E561" s="1411"/>
      <c r="F561" s="1411"/>
      <c r="G561" s="1411"/>
      <c r="H561" s="1411"/>
      <c r="I561" s="1411"/>
      <c r="J561" s="1411"/>
      <c r="K561" s="1411"/>
      <c r="L561" s="1411"/>
      <c r="M561" s="1446" t="s">
        <v>1184</v>
      </c>
      <c r="N561" s="1446"/>
      <c r="O561" s="1446"/>
      <c r="P561" s="1446"/>
      <c r="Q561" s="1398"/>
      <c r="R561" s="1387"/>
      <c r="S561" s="1388"/>
      <c r="T561" s="1398"/>
      <c r="U561" s="1387"/>
      <c r="V561" s="1388"/>
      <c r="W561" s="1429"/>
      <c r="X561" s="1430"/>
      <c r="Y561" s="1431"/>
      <c r="Z561" s="1412" t="s">
        <v>1184</v>
      </c>
      <c r="AA561" s="1412"/>
      <c r="AB561" s="1412"/>
      <c r="AC561" s="1412"/>
      <c r="AD561" s="1412"/>
      <c r="AE561" s="1394"/>
      <c r="AF561" s="1395"/>
      <c r="AG561" s="1395"/>
      <c r="AH561" s="1396"/>
      <c r="AI561" s="1419"/>
      <c r="AJ561" s="1420"/>
      <c r="AK561" s="1420"/>
      <c r="AL561" s="1421"/>
      <c r="AM561" s="1402"/>
      <c r="AN561" s="1403"/>
      <c r="AO561" s="1403"/>
      <c r="AP561" s="1403"/>
      <c r="AQ561" s="1403"/>
      <c r="AR561" s="1403"/>
      <c r="AS561" s="1404"/>
      <c r="AT561" s="1150" t="str">
        <f t="shared" si="0"/>
        <v/>
      </c>
      <c r="AU561" s="1149"/>
      <c r="BB561" s="3"/>
      <c r="BC561" s="3"/>
      <c r="BD561" s="3"/>
      <c r="BE561" s="3"/>
      <c r="BF561" s="3"/>
      <c r="BG561" s="3"/>
      <c r="BH561" s="3"/>
      <c r="BI561" s="3"/>
    </row>
    <row r="562" spans="1:61" ht="13" customHeight="1">
      <c r="B562" s="52" t="s">
        <v>462</v>
      </c>
      <c r="C562" s="1411"/>
      <c r="D562" s="1411"/>
      <c r="E562" s="1411"/>
      <c r="F562" s="1411"/>
      <c r="G562" s="1411"/>
      <c r="H562" s="1411"/>
      <c r="I562" s="1411"/>
      <c r="J562" s="1411"/>
      <c r="K562" s="1411"/>
      <c r="L562" s="1411"/>
      <c r="M562" s="1446" t="s">
        <v>1184</v>
      </c>
      <c r="N562" s="1446"/>
      <c r="O562" s="1446"/>
      <c r="P562" s="1446"/>
      <c r="Q562" s="1398"/>
      <c r="R562" s="1387"/>
      <c r="S562" s="1388"/>
      <c r="T562" s="1398"/>
      <c r="U562" s="1387"/>
      <c r="V562" s="1388"/>
      <c r="W562" s="1429"/>
      <c r="X562" s="1430"/>
      <c r="Y562" s="1431"/>
      <c r="Z562" s="1412" t="s">
        <v>1184</v>
      </c>
      <c r="AA562" s="1412"/>
      <c r="AB562" s="1412"/>
      <c r="AC562" s="1412"/>
      <c r="AD562" s="1412"/>
      <c r="AE562" s="1394"/>
      <c r="AF562" s="1395"/>
      <c r="AG562" s="1395"/>
      <c r="AH562" s="1396"/>
      <c r="AI562" s="1419"/>
      <c r="AJ562" s="1420"/>
      <c r="AK562" s="1420"/>
      <c r="AL562" s="1421"/>
      <c r="AM562" s="1402"/>
      <c r="AN562" s="1403"/>
      <c r="AO562" s="1403"/>
      <c r="AP562" s="1403"/>
      <c r="AQ562" s="1403"/>
      <c r="AR562" s="1403"/>
      <c r="AS562" s="1404"/>
      <c r="AT562" s="1150" t="str">
        <f t="shared" si="0"/>
        <v/>
      </c>
      <c r="AU562" s="1149"/>
      <c r="BB562" s="3"/>
      <c r="BC562" s="3"/>
      <c r="BD562" s="3"/>
      <c r="BE562" s="3"/>
      <c r="BF562" s="3"/>
      <c r="BG562" s="3"/>
      <c r="BH562" s="3"/>
      <c r="BI562" s="3"/>
    </row>
    <row r="563" spans="1:61" ht="13" customHeight="1">
      <c r="B563" s="52" t="s">
        <v>647</v>
      </c>
      <c r="C563" s="1411"/>
      <c r="D563" s="1411"/>
      <c r="E563" s="1411"/>
      <c r="F563" s="1411"/>
      <c r="G563" s="1411"/>
      <c r="H563" s="1411"/>
      <c r="I563" s="1411"/>
      <c r="J563" s="1411"/>
      <c r="K563" s="1411"/>
      <c r="L563" s="1411"/>
      <c r="M563" s="1446" t="s">
        <v>1184</v>
      </c>
      <c r="N563" s="1446"/>
      <c r="O563" s="1446"/>
      <c r="P563" s="1446"/>
      <c r="Q563" s="1398"/>
      <c r="R563" s="1387"/>
      <c r="S563" s="1388"/>
      <c r="T563" s="1398"/>
      <c r="U563" s="1387"/>
      <c r="V563" s="1388"/>
      <c r="W563" s="1429"/>
      <c r="X563" s="1430"/>
      <c r="Y563" s="1431"/>
      <c r="Z563" s="1412" t="s">
        <v>1184</v>
      </c>
      <c r="AA563" s="1412"/>
      <c r="AB563" s="1412"/>
      <c r="AC563" s="1412"/>
      <c r="AD563" s="1412"/>
      <c r="AE563" s="1394"/>
      <c r="AF563" s="1395"/>
      <c r="AG563" s="1395"/>
      <c r="AH563" s="1396"/>
      <c r="AI563" s="1419"/>
      <c r="AJ563" s="1420"/>
      <c r="AK563" s="1420"/>
      <c r="AL563" s="1421"/>
      <c r="AM563" s="1402"/>
      <c r="AN563" s="1403"/>
      <c r="AO563" s="1403"/>
      <c r="AP563" s="1403"/>
      <c r="AQ563" s="1403"/>
      <c r="AR563" s="1403"/>
      <c r="AS563" s="1404"/>
      <c r="AT563" s="1150" t="str">
        <f t="shared" si="0"/>
        <v/>
      </c>
      <c r="BB563" s="3"/>
      <c r="BC563" s="3"/>
      <c r="BD563" s="3"/>
      <c r="BE563" s="3"/>
      <c r="BF563" s="3"/>
      <c r="BG563" s="3"/>
      <c r="BH563" s="3"/>
      <c r="BI563" s="3"/>
    </row>
    <row r="564" spans="1:61" ht="13" customHeight="1">
      <c r="B564" s="52" t="s">
        <v>362</v>
      </c>
      <c r="C564" s="1411"/>
      <c r="D564" s="1411"/>
      <c r="E564" s="1411"/>
      <c r="F564" s="1411"/>
      <c r="G564" s="1411"/>
      <c r="H564" s="1411"/>
      <c r="I564" s="1411"/>
      <c r="J564" s="1411"/>
      <c r="K564" s="1411"/>
      <c r="L564" s="1411"/>
      <c r="M564" s="1446" t="s">
        <v>1184</v>
      </c>
      <c r="N564" s="1446"/>
      <c r="O564" s="1446"/>
      <c r="P564" s="1446"/>
      <c r="Q564" s="1398"/>
      <c r="R564" s="1387"/>
      <c r="S564" s="1388"/>
      <c r="T564" s="1398"/>
      <c r="U564" s="1387"/>
      <c r="V564" s="1388"/>
      <c r="W564" s="1429"/>
      <c r="X564" s="1430"/>
      <c r="Y564" s="1431"/>
      <c r="Z564" s="1412" t="s">
        <v>1184</v>
      </c>
      <c r="AA564" s="1412"/>
      <c r="AB564" s="1412"/>
      <c r="AC564" s="1412"/>
      <c r="AD564" s="1412"/>
      <c r="AE564" s="1394"/>
      <c r="AF564" s="1395"/>
      <c r="AG564" s="1395"/>
      <c r="AH564" s="1396"/>
      <c r="AI564" s="1419"/>
      <c r="AJ564" s="1420"/>
      <c r="AK564" s="1420"/>
      <c r="AL564" s="1421"/>
      <c r="AM564" s="1402"/>
      <c r="AN564" s="1403"/>
      <c r="AO564" s="1403"/>
      <c r="AP564" s="1403"/>
      <c r="AQ564" s="1403"/>
      <c r="AR564" s="1403"/>
      <c r="AS564" s="1404"/>
      <c r="AT564" s="1150" t="str">
        <f t="shared" si="0"/>
        <v/>
      </c>
      <c r="BB564" s="3"/>
      <c r="BC564" s="3"/>
      <c r="BD564" s="3"/>
      <c r="BE564" s="3"/>
      <c r="BF564" s="3"/>
      <c r="BG564" s="3"/>
      <c r="BH564" s="3"/>
      <c r="BI564" s="3"/>
    </row>
    <row r="565" spans="1:61" ht="13" customHeight="1">
      <c r="B565" s="52" t="s">
        <v>363</v>
      </c>
      <c r="C565" s="1411"/>
      <c r="D565" s="1411"/>
      <c r="E565" s="1411"/>
      <c r="F565" s="1411"/>
      <c r="G565" s="1411"/>
      <c r="H565" s="1411"/>
      <c r="I565" s="1411"/>
      <c r="J565" s="1411"/>
      <c r="K565" s="1411"/>
      <c r="L565" s="1411"/>
      <c r="M565" s="1446" t="s">
        <v>1184</v>
      </c>
      <c r="N565" s="1446"/>
      <c r="O565" s="1446"/>
      <c r="P565" s="1446"/>
      <c r="Q565" s="1398"/>
      <c r="R565" s="1387"/>
      <c r="S565" s="1388"/>
      <c r="T565" s="1398"/>
      <c r="U565" s="1387"/>
      <c r="V565" s="1388"/>
      <c r="W565" s="1429"/>
      <c r="X565" s="1430"/>
      <c r="Y565" s="1431"/>
      <c r="Z565" s="1412" t="s">
        <v>1184</v>
      </c>
      <c r="AA565" s="1412"/>
      <c r="AB565" s="1412"/>
      <c r="AC565" s="1412"/>
      <c r="AD565" s="1412"/>
      <c r="AE565" s="1394"/>
      <c r="AF565" s="1395"/>
      <c r="AG565" s="1395"/>
      <c r="AH565" s="1396"/>
      <c r="AI565" s="1419"/>
      <c r="AJ565" s="1420"/>
      <c r="AK565" s="1420"/>
      <c r="AL565" s="1421"/>
      <c r="AM565" s="1402"/>
      <c r="AN565" s="1403"/>
      <c r="AO565" s="1403"/>
      <c r="AP565" s="1403"/>
      <c r="AQ565" s="1403"/>
      <c r="AR565" s="1403"/>
      <c r="AS565" s="1404"/>
      <c r="AT565" s="1150" t="str">
        <f t="shared" si="0"/>
        <v/>
      </c>
      <c r="BB565" s="3"/>
      <c r="BC565" s="3"/>
      <c r="BD565" s="3"/>
      <c r="BE565" s="3"/>
      <c r="BF565" s="3"/>
      <c r="BG565" s="3"/>
      <c r="BH565" s="3"/>
      <c r="BI565" s="3"/>
    </row>
    <row r="566" spans="1:61" ht="13" customHeight="1">
      <c r="B566" s="1425" t="s">
        <v>127</v>
      </c>
      <c r="C566" s="1426"/>
      <c r="D566" s="1426"/>
      <c r="E566" s="1426"/>
      <c r="F566" s="1426"/>
      <c r="G566" s="1426"/>
      <c r="H566" s="1426"/>
      <c r="I566" s="1426"/>
      <c r="J566" s="1426"/>
      <c r="K566" s="1426"/>
      <c r="L566" s="1426"/>
      <c r="M566" s="1426"/>
      <c r="N566" s="1426"/>
      <c r="O566" s="1426"/>
      <c r="P566" s="1426"/>
      <c r="Q566" s="1426"/>
      <c r="R566" s="1426"/>
      <c r="S566" s="1426"/>
      <c r="T566" s="1426"/>
      <c r="U566" s="1427"/>
      <c r="V566" s="1426"/>
      <c r="W566" s="1426"/>
      <c r="X566" s="1426"/>
      <c r="Y566" s="1426"/>
      <c r="Z566" s="1426"/>
      <c r="AA566" s="1426"/>
      <c r="AB566" s="1426"/>
      <c r="AC566" s="1426"/>
      <c r="AD566" s="1426"/>
      <c r="AE566" s="1426"/>
      <c r="AF566" s="1426"/>
      <c r="AG566" s="1426"/>
      <c r="AH566" s="1426"/>
      <c r="AI566" s="1426"/>
      <c r="AJ566" s="1426"/>
      <c r="AK566" s="1426"/>
      <c r="AL566" s="1428"/>
      <c r="AM566" s="1408">
        <f>SUM(AM554:AS565)</f>
        <v>109859539</v>
      </c>
      <c r="AN566" s="1409"/>
      <c r="AO566" s="1409"/>
      <c r="AP566" s="1409"/>
      <c r="AQ566" s="1409"/>
      <c r="AR566" s="1409"/>
      <c r="AS566" s="1410"/>
      <c r="BB566" s="3"/>
      <c r="BC566" s="3"/>
      <c r="BD566" s="3"/>
      <c r="BE566" s="3"/>
      <c r="BF566" s="3"/>
      <c r="BG566" s="3"/>
      <c r="BH566" s="3" t="s">
        <v>456</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463" t="str">
        <f>C554</f>
        <v>Citibank - TEB</v>
      </c>
      <c r="H568" s="1463"/>
      <c r="I568" s="1463"/>
      <c r="J568" s="1463"/>
      <c r="K568" s="1463"/>
      <c r="L568" s="1463"/>
      <c r="M568" s="1463"/>
      <c r="N568" s="1463"/>
      <c r="O568" s="1463"/>
      <c r="P568" s="1463"/>
      <c r="Q568" s="1463"/>
      <c r="R568" s="1463"/>
      <c r="S568" s="8"/>
      <c r="T568" s="55" t="s">
        <v>113</v>
      </c>
      <c r="U568" t="s">
        <v>464</v>
      </c>
      <c r="Z568" s="1463" t="str">
        <f>C555</f>
        <v>Citibank - Recycled Bonds</v>
      </c>
      <c r="AA568" s="1463"/>
      <c r="AB568" s="1463"/>
      <c r="AC568" s="1463"/>
      <c r="AD568" s="1463"/>
      <c r="AE568" s="1463"/>
      <c r="AF568" s="1463"/>
      <c r="AG568" s="1463"/>
      <c r="AH568" s="1463"/>
      <c r="AI568" s="1463"/>
      <c r="AJ568" s="1463"/>
      <c r="AK568" s="1463"/>
      <c r="BB568" s="3"/>
      <c r="BC568" s="3"/>
      <c r="BD568" s="3"/>
      <c r="BE568" s="3"/>
      <c r="BF568" s="3"/>
      <c r="BG568" s="3"/>
      <c r="BH568" s="3"/>
      <c r="BI568" s="3"/>
    </row>
    <row r="569" spans="1:61" ht="13" customHeight="1">
      <c r="A569" s="22"/>
      <c r="B569" t="s">
        <v>85</v>
      </c>
      <c r="G569" s="1536" t="s">
        <v>2708</v>
      </c>
      <c r="H569" s="1393"/>
      <c r="I569" s="1393"/>
      <c r="J569" s="1393"/>
      <c r="K569" s="1393"/>
      <c r="L569" s="1393"/>
      <c r="M569" s="1393"/>
      <c r="N569" s="1393"/>
      <c r="O569" s="1393"/>
      <c r="P569" s="1393"/>
      <c r="Q569" s="1393"/>
      <c r="R569" s="1393"/>
      <c r="S569" s="8"/>
      <c r="T569" s="22"/>
      <c r="U569" t="s">
        <v>85</v>
      </c>
      <c r="Z569" s="1393" t="s">
        <v>2708</v>
      </c>
      <c r="AA569" s="1393"/>
      <c r="AB569" s="1393"/>
      <c r="AC569" s="1393"/>
      <c r="AD569" s="1393"/>
      <c r="AE569" s="1393"/>
      <c r="AF569" s="1393"/>
      <c r="AG569" s="1393"/>
      <c r="AH569" s="1393"/>
      <c r="AI569" s="1393"/>
      <c r="AJ569" s="1393"/>
      <c r="AK569" s="1393"/>
      <c r="BB569" s="3"/>
      <c r="BC569" s="3"/>
      <c r="BD569" s="3"/>
      <c r="BE569" s="3"/>
      <c r="BF569" s="3"/>
      <c r="BG569" s="3"/>
      <c r="BH569" s="3"/>
      <c r="BI569" s="3"/>
    </row>
    <row r="570" spans="1:61" ht="13" customHeight="1">
      <c r="A570" s="22"/>
      <c r="B570" t="s">
        <v>581</v>
      </c>
      <c r="G570" s="1536" t="s">
        <v>2623</v>
      </c>
      <c r="H570" s="1393"/>
      <c r="I570" s="1393"/>
      <c r="J570" s="1393"/>
      <c r="K570" s="1393"/>
      <c r="L570" s="1393"/>
      <c r="M570" s="1393"/>
      <c r="N570" s="1393"/>
      <c r="O570" s="1393"/>
      <c r="P570" s="1393"/>
      <c r="Q570" s="1393"/>
      <c r="R570" s="1393"/>
      <c r="T570" s="22"/>
      <c r="U570" t="s">
        <v>581</v>
      </c>
      <c r="Z570" s="1400" t="s">
        <v>2623</v>
      </c>
      <c r="AA570" s="1400"/>
      <c r="AB570" s="1400"/>
      <c r="AC570" s="1400"/>
      <c r="AD570" s="1400"/>
      <c r="AE570" s="1400"/>
      <c r="AF570" s="1400"/>
      <c r="AG570" s="1400"/>
      <c r="AH570" s="1400"/>
      <c r="AI570" s="1400"/>
      <c r="AJ570" s="1400"/>
      <c r="AK570" s="1400"/>
      <c r="BB570" s="3"/>
      <c r="BC570" s="3"/>
      <c r="BD570" s="3"/>
      <c r="BE570" s="3"/>
      <c r="BF570" s="3"/>
      <c r="BG570" s="3"/>
      <c r="BH570" s="3"/>
      <c r="BI570" s="3"/>
    </row>
    <row r="571" spans="1:61" ht="13" customHeight="1">
      <c r="A571" s="22"/>
      <c r="B571" t="s">
        <v>17</v>
      </c>
      <c r="G571" s="1536" t="s">
        <v>2709</v>
      </c>
      <c r="H571" s="1393"/>
      <c r="I571" s="1393"/>
      <c r="J571" s="1393"/>
      <c r="K571" s="1393"/>
      <c r="L571" s="1393"/>
      <c r="M571" s="1393"/>
      <c r="N571" s="1393"/>
      <c r="O571" s="1393"/>
      <c r="P571" s="1393"/>
      <c r="Q571" s="1393"/>
      <c r="R571" s="1393"/>
      <c r="S571" s="8"/>
      <c r="T571" s="22"/>
      <c r="U571" t="s">
        <v>17</v>
      </c>
      <c r="Z571" s="1400" t="s">
        <v>2709</v>
      </c>
      <c r="AA571" s="1400"/>
      <c r="AB571" s="1400"/>
      <c r="AC571" s="1400"/>
      <c r="AD571" s="1400"/>
      <c r="AE571" s="1400"/>
      <c r="AF571" s="1400"/>
      <c r="AG571" s="1400"/>
      <c r="AH571" s="1400"/>
      <c r="AI571" s="1400"/>
      <c r="AJ571" s="1400"/>
      <c r="AK571" s="1400"/>
      <c r="BB571" s="3"/>
      <c r="BC571" s="3"/>
      <c r="BD571" s="3"/>
      <c r="BE571" s="3"/>
      <c r="BF571" s="3"/>
      <c r="BG571" s="3"/>
      <c r="BH571" s="3"/>
      <c r="BI571" s="3"/>
    </row>
    <row r="572" spans="1:61" ht="13" customHeight="1">
      <c r="A572" s="22"/>
      <c r="B572" t="s">
        <v>316</v>
      </c>
      <c r="G572" s="1547" t="s">
        <v>2710</v>
      </c>
      <c r="H572" s="1547"/>
      <c r="I572" s="1547"/>
      <c r="J572" s="1547"/>
      <c r="K572" s="1547"/>
      <c r="L572" s="1547"/>
      <c r="O572" s="33" t="s">
        <v>206</v>
      </c>
      <c r="P572" s="1445"/>
      <c r="Q572" s="1445"/>
      <c r="R572" s="1445"/>
      <c r="S572" s="10"/>
      <c r="T572" s="22"/>
      <c r="U572" t="s">
        <v>316</v>
      </c>
      <c r="Z572" s="1462" t="s">
        <v>2710</v>
      </c>
      <c r="AA572" s="1462"/>
      <c r="AB572" s="1462"/>
      <c r="AC572" s="1462"/>
      <c r="AD572" s="1462"/>
      <c r="AE572" s="1462"/>
      <c r="AH572" s="33" t="s">
        <v>206</v>
      </c>
      <c r="AI572" s="1445"/>
      <c r="AJ572" s="1445"/>
      <c r="AK572" s="1445"/>
      <c r="BB572" s="3"/>
      <c r="BC572" s="3"/>
      <c r="BD572" s="3"/>
      <c r="BE572" s="3"/>
      <c r="BF572" s="3"/>
      <c r="BG572" s="3"/>
      <c r="BH572" s="3"/>
      <c r="BI572" s="3"/>
    </row>
    <row r="573" spans="1:61" ht="13" customHeight="1">
      <c r="A573" s="22"/>
      <c r="B573" t="s">
        <v>18</v>
      </c>
      <c r="H573" s="1393" t="s">
        <v>2651</v>
      </c>
      <c r="I573" s="1393"/>
      <c r="J573" s="1393"/>
      <c r="K573" s="1393"/>
      <c r="L573" s="1393"/>
      <c r="M573" s="1393"/>
      <c r="N573" s="1393"/>
      <c r="O573" s="1393"/>
      <c r="P573" s="1393"/>
      <c r="Q573" s="1393"/>
      <c r="R573" s="1393"/>
      <c r="S573" s="8"/>
      <c r="T573" s="22"/>
      <c r="U573" t="s">
        <v>18</v>
      </c>
      <c r="AA573" s="1393" t="s">
        <v>2652</v>
      </c>
      <c r="AB573" s="1393"/>
      <c r="AC573" s="1393"/>
      <c r="AD573" s="1393"/>
      <c r="AE573" s="1393"/>
      <c r="AF573" s="1393"/>
      <c r="AG573" s="1393"/>
      <c r="AH573" s="1393"/>
      <c r="AI573" s="1393"/>
      <c r="AJ573" s="1393"/>
      <c r="AK573" s="1393"/>
      <c r="BB573" s="3"/>
      <c r="BC573" s="3"/>
      <c r="BD573" s="3"/>
      <c r="BE573" s="3"/>
      <c r="BF573" s="3"/>
      <c r="BG573" s="3"/>
      <c r="BH573" s="3"/>
      <c r="BI573" s="3"/>
    </row>
    <row r="574" spans="1:61" ht="13" customHeight="1">
      <c r="A574" s="22"/>
      <c r="B574" s="321" t="s">
        <v>1185</v>
      </c>
      <c r="H574" s="8"/>
      <c r="I574" s="8"/>
      <c r="J574" s="8"/>
      <c r="K574" s="8"/>
      <c r="L574" s="8"/>
      <c r="M574" s="1602" t="s">
        <v>2717</v>
      </c>
      <c r="N574" s="1602"/>
      <c r="O574" s="1602"/>
      <c r="P574" s="1602"/>
      <c r="Q574" s="1602"/>
      <c r="R574" s="1602"/>
      <c r="S574" s="8"/>
      <c r="T574" s="22"/>
      <c r="U574" s="321" t="s">
        <v>1185</v>
      </c>
      <c r="AA574" s="8"/>
      <c r="AB574" s="8"/>
      <c r="AC574" s="8"/>
      <c r="AD574" s="8"/>
      <c r="AE574" s="8"/>
      <c r="AF574" s="1602"/>
      <c r="AG574" s="1602"/>
      <c r="AH574" s="1602"/>
      <c r="AI574" s="1602"/>
      <c r="AJ574" s="1602"/>
      <c r="AK574" s="1602"/>
      <c r="BB574" s="3"/>
      <c r="BC574" s="3"/>
      <c r="BD574" s="3"/>
      <c r="BE574" s="3"/>
      <c r="BF574" s="3"/>
      <c r="BG574" s="3"/>
      <c r="BH574" s="3"/>
      <c r="BI574" s="3"/>
    </row>
    <row r="575" spans="1:61" ht="13" customHeight="1">
      <c r="A575" s="22"/>
      <c r="B575" t="s">
        <v>20</v>
      </c>
      <c r="N575" s="1397" t="s">
        <v>546</v>
      </c>
      <c r="O575" s="1397"/>
      <c r="T575" s="22"/>
      <c r="U575" t="s">
        <v>20</v>
      </c>
      <c r="AG575" s="1397" t="s">
        <v>546</v>
      </c>
      <c r="AH575" s="1397"/>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463" t="str">
        <f>C556</f>
        <v>Deferred Costs</v>
      </c>
      <c r="H577" s="1463"/>
      <c r="I577" s="1463"/>
      <c r="J577" s="1463"/>
      <c r="K577" s="1463"/>
      <c r="L577" s="1463"/>
      <c r="M577" s="1463"/>
      <c r="N577" s="1463"/>
      <c r="O577" s="1463"/>
      <c r="P577" s="1463"/>
      <c r="Q577" s="1463"/>
      <c r="R577" s="1463"/>
      <c r="T577" s="55" t="s">
        <v>582</v>
      </c>
      <c r="U577" t="s">
        <v>464</v>
      </c>
      <c r="Z577" s="1463" t="str">
        <f>C557</f>
        <v>RBC - Tax Credit Equity</v>
      </c>
      <c r="AA577" s="1463"/>
      <c r="AB577" s="1463"/>
      <c r="AC577" s="1463"/>
      <c r="AD577" s="1463"/>
      <c r="AE577" s="1463"/>
      <c r="AF577" s="1463"/>
      <c r="AG577" s="1463"/>
      <c r="AH577" s="1463"/>
      <c r="AI577" s="1463"/>
      <c r="AJ577" s="1463"/>
      <c r="AK577" s="1463"/>
      <c r="BB577" s="3"/>
      <c r="BC577" s="3"/>
    </row>
    <row r="578" spans="1:55" ht="13" customHeight="1">
      <c r="A578" s="22"/>
      <c r="B578" t="s">
        <v>85</v>
      </c>
      <c r="G578" s="1393" t="s">
        <v>2703</v>
      </c>
      <c r="H578" s="1393"/>
      <c r="I578" s="1393"/>
      <c r="J578" s="1393"/>
      <c r="K578" s="1393"/>
      <c r="L578" s="1393"/>
      <c r="M578" s="1393"/>
      <c r="N578" s="1393"/>
      <c r="O578" s="1393"/>
      <c r="P578" s="1393"/>
      <c r="Q578" s="1393"/>
      <c r="R578" s="1393"/>
      <c r="T578" s="22"/>
      <c r="U578" t="s">
        <v>85</v>
      </c>
      <c r="Z578" s="1393" t="s">
        <v>2688</v>
      </c>
      <c r="AA578" s="1393"/>
      <c r="AB578" s="1393"/>
      <c r="AC578" s="1393"/>
      <c r="AD578" s="1393"/>
      <c r="AE578" s="1393"/>
      <c r="AF578" s="1393"/>
      <c r="AG578" s="1393"/>
      <c r="AH578" s="1393"/>
      <c r="AI578" s="1393"/>
      <c r="AJ578" s="1393"/>
      <c r="AK578" s="1393"/>
      <c r="BB578" s="3"/>
      <c r="BC578" s="3"/>
    </row>
    <row r="579" spans="1:55" ht="13" customHeight="1">
      <c r="A579" s="22"/>
      <c r="B579" t="s">
        <v>581</v>
      </c>
      <c r="G579" s="1400" t="s">
        <v>2621</v>
      </c>
      <c r="H579" s="1400"/>
      <c r="I579" s="1400"/>
      <c r="J579" s="1400"/>
      <c r="K579" s="1400"/>
      <c r="L579" s="1400"/>
      <c r="M579" s="1400"/>
      <c r="N579" s="1400"/>
      <c r="O579" s="1400"/>
      <c r="P579" s="1400"/>
      <c r="Q579" s="1400"/>
      <c r="R579" s="1400"/>
      <c r="T579" s="22"/>
      <c r="U579" t="s">
        <v>581</v>
      </c>
      <c r="Z579" s="1400" t="s">
        <v>2689</v>
      </c>
      <c r="AA579" s="1400"/>
      <c r="AB579" s="1400"/>
      <c r="AC579" s="1400"/>
      <c r="AD579" s="1400"/>
      <c r="AE579" s="1400"/>
      <c r="AF579" s="1400"/>
      <c r="AG579" s="1400"/>
      <c r="AH579" s="1400"/>
      <c r="AI579" s="1400"/>
      <c r="AJ579" s="1400"/>
      <c r="AK579" s="1400"/>
      <c r="BB579" s="3"/>
      <c r="BC579" s="3"/>
    </row>
    <row r="580" spans="1:55" ht="13" customHeight="1">
      <c r="A580" s="22"/>
      <c r="B580" t="s">
        <v>17</v>
      </c>
      <c r="G580" s="1400" t="s">
        <v>2665</v>
      </c>
      <c r="H580" s="1400"/>
      <c r="I580" s="1400"/>
      <c r="J580" s="1400"/>
      <c r="K580" s="1400"/>
      <c r="L580" s="1400"/>
      <c r="M580" s="1400"/>
      <c r="N580" s="1400"/>
      <c r="O580" s="1400"/>
      <c r="P580" s="1400"/>
      <c r="Q580" s="1400"/>
      <c r="R580" s="1400"/>
      <c r="T580" s="22"/>
      <c r="U580" t="s">
        <v>17</v>
      </c>
      <c r="Z580" s="1400" t="s">
        <v>2690</v>
      </c>
      <c r="AA580" s="1400"/>
      <c r="AB580" s="1400"/>
      <c r="AC580" s="1400"/>
      <c r="AD580" s="1400"/>
      <c r="AE580" s="1400"/>
      <c r="AF580" s="1400"/>
      <c r="AG580" s="1400"/>
      <c r="AH580" s="1400"/>
      <c r="AI580" s="1400"/>
      <c r="AJ580" s="1400"/>
      <c r="AK580" s="1400"/>
      <c r="BB580" s="3"/>
      <c r="BC580" s="3"/>
    </row>
    <row r="581" spans="1:55" ht="13" customHeight="1">
      <c r="A581" s="22"/>
      <c r="B581" t="s">
        <v>316</v>
      </c>
      <c r="G581" s="1462" t="s">
        <v>2666</v>
      </c>
      <c r="H581" s="1462"/>
      <c r="I581" s="1462"/>
      <c r="J581" s="1462"/>
      <c r="K581" s="1462"/>
      <c r="L581" s="1462"/>
      <c r="O581" s="33" t="s">
        <v>206</v>
      </c>
      <c r="P581" s="1445"/>
      <c r="Q581" s="1445"/>
      <c r="R581" s="1445"/>
      <c r="T581" s="22"/>
      <c r="U581" t="s">
        <v>316</v>
      </c>
      <c r="Z581" s="1547" t="s">
        <v>2691</v>
      </c>
      <c r="AA581" s="1462"/>
      <c r="AB581" s="1462"/>
      <c r="AC581" s="1462"/>
      <c r="AD581" s="1462"/>
      <c r="AE581" s="1462"/>
      <c r="AH581" s="33" t="s">
        <v>206</v>
      </c>
      <c r="AI581" s="1445"/>
      <c r="AJ581" s="1445"/>
      <c r="AK581" s="1445"/>
      <c r="BB581" s="3"/>
      <c r="BC581" s="3"/>
    </row>
    <row r="582" spans="1:55" ht="13" customHeight="1">
      <c r="A582" s="22"/>
      <c r="B582" t="s">
        <v>18</v>
      </c>
      <c r="H582" s="1393" t="s">
        <v>2650</v>
      </c>
      <c r="I582" s="1393"/>
      <c r="J582" s="1393"/>
      <c r="K582" s="1393"/>
      <c r="L582" s="1393"/>
      <c r="M582" s="1393"/>
      <c r="N582" s="1393"/>
      <c r="O582" s="1393"/>
      <c r="P582" s="1393"/>
      <c r="Q582" s="1393"/>
      <c r="R582" s="1393"/>
      <c r="T582" s="22"/>
      <c r="U582" t="s">
        <v>18</v>
      </c>
      <c r="AA582" s="1393" t="s">
        <v>2653</v>
      </c>
      <c r="AB582" s="1393"/>
      <c r="AC582" s="1393"/>
      <c r="AD582" s="1393"/>
      <c r="AE582" s="1393"/>
      <c r="AF582" s="1393"/>
      <c r="AG582" s="1393"/>
      <c r="AH582" s="1393"/>
      <c r="AI582" s="1393"/>
      <c r="AJ582" s="1393"/>
      <c r="AK582" s="1393"/>
      <c r="BB582" s="3"/>
      <c r="BC582" s="3"/>
    </row>
    <row r="583" spans="1:55" ht="13" customHeight="1">
      <c r="A583" s="22"/>
      <c r="B583" t="s">
        <v>20</v>
      </c>
      <c r="N583" s="1397" t="s">
        <v>546</v>
      </c>
      <c r="O583" s="1397"/>
      <c r="T583" s="22"/>
      <c r="U583" t="s">
        <v>20</v>
      </c>
      <c r="AG583" s="1397" t="s">
        <v>546</v>
      </c>
      <c r="AH583" s="1397"/>
      <c r="BB583" s="3"/>
      <c r="BC583" s="3"/>
    </row>
    <row r="584" spans="1:55" ht="13" customHeight="1">
      <c r="A584" s="22"/>
      <c r="T584" s="22"/>
      <c r="BB584" s="3"/>
      <c r="BC584" s="3"/>
    </row>
    <row r="585" spans="1:55" ht="13" customHeight="1">
      <c r="A585" s="55" t="s">
        <v>764</v>
      </c>
      <c r="B585" t="s">
        <v>464</v>
      </c>
      <c r="G585" s="1463" t="str">
        <f>C558</f>
        <v>1055 Seventh, LLC - Seller Carryback</v>
      </c>
      <c r="H585" s="1463"/>
      <c r="I585" s="1463"/>
      <c r="J585" s="1463"/>
      <c r="K585" s="1463"/>
      <c r="L585" s="1463"/>
      <c r="M585" s="1463"/>
      <c r="N585" s="1463"/>
      <c r="O585" s="1463"/>
      <c r="P585" s="1463"/>
      <c r="Q585" s="1463"/>
      <c r="R585" s="1463"/>
      <c r="T585" s="55" t="s">
        <v>585</v>
      </c>
      <c r="U585" t="s">
        <v>464</v>
      </c>
      <c r="Z585" s="1463" t="str">
        <f>C559</f>
        <v>Citibank - Taxable Bonds</v>
      </c>
      <c r="AA585" s="1463"/>
      <c r="AB585" s="1463"/>
      <c r="AC585" s="1463"/>
      <c r="AD585" s="1463"/>
      <c r="AE585" s="1463"/>
      <c r="AF585" s="1463"/>
      <c r="AG585" s="1463"/>
      <c r="AH585" s="1463"/>
      <c r="AI585" s="1463"/>
      <c r="AJ585" s="1463"/>
      <c r="AK585" s="1463"/>
      <c r="BB585" s="3"/>
      <c r="BC585" s="3"/>
    </row>
    <row r="586" spans="1:55" ht="13" customHeight="1">
      <c r="A586" s="22"/>
      <c r="B586" t="s">
        <v>85</v>
      </c>
      <c r="G586" s="1393" t="s">
        <v>2703</v>
      </c>
      <c r="H586" s="1393"/>
      <c r="I586" s="1393"/>
      <c r="J586" s="1393"/>
      <c r="K586" s="1393"/>
      <c r="L586" s="1393"/>
      <c r="M586" s="1393"/>
      <c r="N586" s="1393"/>
      <c r="O586" s="1393"/>
      <c r="P586" s="1393"/>
      <c r="Q586" s="1393"/>
      <c r="R586" s="1393"/>
      <c r="T586" s="22"/>
      <c r="U586" t="s">
        <v>85</v>
      </c>
      <c r="Z586" s="1393" t="s">
        <v>2708</v>
      </c>
      <c r="AA586" s="1393"/>
      <c r="AB586" s="1393"/>
      <c r="AC586" s="1393"/>
      <c r="AD586" s="1393"/>
      <c r="AE586" s="1393"/>
      <c r="AF586" s="1393"/>
      <c r="AG586" s="1393"/>
      <c r="AH586" s="1393"/>
      <c r="AI586" s="1393"/>
      <c r="AJ586" s="1393"/>
      <c r="AK586" s="1393"/>
      <c r="BB586" s="3"/>
      <c r="BC586" s="3"/>
    </row>
    <row r="587" spans="1:55" ht="13" customHeight="1">
      <c r="A587" s="22"/>
      <c r="B587" t="s">
        <v>581</v>
      </c>
      <c r="G587" s="1393" t="s">
        <v>2621</v>
      </c>
      <c r="H587" s="1393"/>
      <c r="I587" s="1393"/>
      <c r="J587" s="1393"/>
      <c r="K587" s="1393"/>
      <c r="L587" s="1393"/>
      <c r="M587" s="1393"/>
      <c r="N587" s="1393"/>
      <c r="O587" s="1393"/>
      <c r="P587" s="1393"/>
      <c r="Q587" s="1393"/>
      <c r="R587" s="1393"/>
      <c r="T587" s="22"/>
      <c r="U587" t="s">
        <v>581</v>
      </c>
      <c r="Z587" s="1400" t="s">
        <v>2623</v>
      </c>
      <c r="AA587" s="1400"/>
      <c r="AB587" s="1400"/>
      <c r="AC587" s="1400"/>
      <c r="AD587" s="1400"/>
      <c r="AE587" s="1400"/>
      <c r="AF587" s="1400"/>
      <c r="AG587" s="1400"/>
      <c r="AH587" s="1400"/>
      <c r="AI587" s="1400"/>
      <c r="AJ587" s="1400"/>
      <c r="AK587" s="1400"/>
      <c r="BB587" s="3"/>
      <c r="BC587" s="3"/>
    </row>
    <row r="588" spans="1:55" ht="13" customHeight="1">
      <c r="A588" s="22"/>
      <c r="B588" t="s">
        <v>17</v>
      </c>
      <c r="G588" s="1393" t="s">
        <v>2665</v>
      </c>
      <c r="H588" s="1393"/>
      <c r="I588" s="1393"/>
      <c r="J588" s="1393"/>
      <c r="K588" s="1393"/>
      <c r="L588" s="1393"/>
      <c r="M588" s="1393"/>
      <c r="N588" s="1393"/>
      <c r="O588" s="1393"/>
      <c r="P588" s="1393"/>
      <c r="Q588" s="1393"/>
      <c r="R588" s="1393"/>
      <c r="T588" s="22"/>
      <c r="U588" t="s">
        <v>17</v>
      </c>
      <c r="Z588" s="1400" t="s">
        <v>2709</v>
      </c>
      <c r="AA588" s="1400"/>
      <c r="AB588" s="1400"/>
      <c r="AC588" s="1400"/>
      <c r="AD588" s="1400"/>
      <c r="AE588" s="1400"/>
      <c r="AF588" s="1400"/>
      <c r="AG588" s="1400"/>
      <c r="AH588" s="1400"/>
      <c r="AI588" s="1400"/>
      <c r="AJ588" s="1400"/>
      <c r="AK588" s="1400"/>
    </row>
    <row r="589" spans="1:55" ht="13" customHeight="1">
      <c r="A589" s="22"/>
      <c r="B589" t="s">
        <v>316</v>
      </c>
      <c r="G589" s="1462" t="s">
        <v>2666</v>
      </c>
      <c r="H589" s="1462"/>
      <c r="I589" s="1462"/>
      <c r="J589" s="1462"/>
      <c r="K589" s="1462"/>
      <c r="L589" s="1462"/>
      <c r="O589" s="33" t="s">
        <v>206</v>
      </c>
      <c r="P589" s="1445"/>
      <c r="Q589" s="1445"/>
      <c r="R589" s="1445"/>
      <c r="T589" s="22"/>
      <c r="U589" t="s">
        <v>316</v>
      </c>
      <c r="Z589" s="1462" t="s">
        <v>2710</v>
      </c>
      <c r="AA589" s="1462"/>
      <c r="AB589" s="1462"/>
      <c r="AC589" s="1462"/>
      <c r="AD589" s="1462"/>
      <c r="AE589" s="1462"/>
      <c r="AH589" s="33" t="s">
        <v>206</v>
      </c>
      <c r="AI589" s="1445"/>
      <c r="AJ589" s="1445"/>
      <c r="AK589" s="1445"/>
      <c r="AZ589" s="3"/>
      <c r="BA589" s="3"/>
      <c r="BB589" s="3"/>
      <c r="BC589" s="3"/>
    </row>
    <row r="590" spans="1:55" ht="13" customHeight="1">
      <c r="A590" s="22"/>
      <c r="B590" t="s">
        <v>18</v>
      </c>
      <c r="H590" s="1393" t="s">
        <v>2654</v>
      </c>
      <c r="I590" s="1393"/>
      <c r="J590" s="1393"/>
      <c r="K590" s="1393"/>
      <c r="L590" s="1393"/>
      <c r="M590" s="1393"/>
      <c r="N590" s="1393"/>
      <c r="O590" s="1393"/>
      <c r="P590" s="1393"/>
      <c r="Q590" s="1393"/>
      <c r="R590" s="1393"/>
      <c r="T590" s="22"/>
      <c r="U590" t="s">
        <v>18</v>
      </c>
      <c r="AA590" s="1393" t="s">
        <v>2655</v>
      </c>
      <c r="AB590" s="1393"/>
      <c r="AC590" s="1393"/>
      <c r="AD590" s="1393"/>
      <c r="AE590" s="1393"/>
      <c r="AF590" s="1393"/>
      <c r="AG590" s="1393"/>
      <c r="AH590" s="1393"/>
      <c r="AI590" s="1393"/>
      <c r="AJ590" s="1393"/>
      <c r="AK590" s="1393"/>
      <c r="AZ590" s="3"/>
      <c r="BA590" s="3"/>
      <c r="BB590" s="3"/>
      <c r="BC590" s="3"/>
    </row>
    <row r="591" spans="1:55" ht="13" customHeight="1">
      <c r="A591" s="22"/>
      <c r="B591" t="s">
        <v>20</v>
      </c>
      <c r="N591" s="1397" t="s">
        <v>546</v>
      </c>
      <c r="O591" s="1397"/>
      <c r="T591" s="22"/>
      <c r="U591" t="s">
        <v>20</v>
      </c>
      <c r="AG591" s="1397" t="s">
        <v>546</v>
      </c>
      <c r="AH591" s="1397"/>
      <c r="AZ591" s="3"/>
      <c r="BA591" s="3"/>
      <c r="BB591" s="3"/>
      <c r="BC591" s="3"/>
    </row>
    <row r="592" spans="1:55" ht="13" customHeight="1">
      <c r="A592" s="22"/>
      <c r="T592" s="22"/>
      <c r="AZ592" s="3"/>
      <c r="BA592" s="3"/>
      <c r="BB592" s="3"/>
      <c r="BC592" s="3"/>
    </row>
    <row r="593" spans="1:55" ht="13" customHeight="1">
      <c r="A593" s="55" t="s">
        <v>456</v>
      </c>
      <c r="B593" t="s">
        <v>464</v>
      </c>
      <c r="G593" s="1463">
        <f>C560</f>
        <v>0</v>
      </c>
      <c r="H593" s="1463"/>
      <c r="I593" s="1463"/>
      <c r="J593" s="1463"/>
      <c r="K593" s="1463"/>
      <c r="L593" s="1463"/>
      <c r="M593" s="1463"/>
      <c r="N593" s="1463"/>
      <c r="O593" s="1463"/>
      <c r="P593" s="1463"/>
      <c r="Q593" s="1463"/>
      <c r="R593" s="1463"/>
      <c r="T593" s="55" t="s">
        <v>457</v>
      </c>
      <c r="U593" t="s">
        <v>464</v>
      </c>
      <c r="Z593" s="1463">
        <f>C561</f>
        <v>0</v>
      </c>
      <c r="AA593" s="1463"/>
      <c r="AB593" s="1463"/>
      <c r="AC593" s="1463"/>
      <c r="AD593" s="1463"/>
      <c r="AE593" s="1463"/>
      <c r="AF593" s="1463"/>
      <c r="AG593" s="1463"/>
      <c r="AH593" s="1463"/>
      <c r="AI593" s="1463"/>
      <c r="AJ593" s="1463"/>
      <c r="AK593" s="1463"/>
      <c r="AZ593" s="3"/>
      <c r="BA593" s="3"/>
      <c r="BB593" s="3"/>
      <c r="BC593" s="3"/>
    </row>
    <row r="594" spans="1:55" s="4" customFormat="1" ht="13" customHeight="1">
      <c r="A594" s="22"/>
      <c r="B594" t="s">
        <v>85</v>
      </c>
      <c r="C594"/>
      <c r="D594"/>
      <c r="E594"/>
      <c r="F594"/>
      <c r="G594" s="1393"/>
      <c r="H594" s="1393"/>
      <c r="I594" s="1393"/>
      <c r="J594" s="1393"/>
      <c r="K594" s="1393"/>
      <c r="L594" s="1393"/>
      <c r="M594" s="1393"/>
      <c r="N594" s="1393"/>
      <c r="O594" s="1393"/>
      <c r="P594" s="1393"/>
      <c r="Q594" s="1393"/>
      <c r="R594" s="1393"/>
      <c r="S594"/>
      <c r="T594" s="22"/>
      <c r="U594" t="s">
        <v>85</v>
      </c>
      <c r="V594"/>
      <c r="W594"/>
      <c r="X594"/>
      <c r="Y594"/>
      <c r="Z594" s="1393"/>
      <c r="AA594" s="1393"/>
      <c r="AB594" s="1393"/>
      <c r="AC594" s="1393"/>
      <c r="AD594" s="1393"/>
      <c r="AE594" s="1393"/>
      <c r="AF594" s="1393"/>
      <c r="AG594" s="1393"/>
      <c r="AH594" s="1393"/>
      <c r="AI594" s="1393"/>
      <c r="AJ594" s="1393"/>
      <c r="AK594" s="1393"/>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393"/>
      <c r="H595" s="1393"/>
      <c r="I595" s="1393"/>
      <c r="J595" s="1393"/>
      <c r="K595" s="1393"/>
      <c r="L595" s="1393"/>
      <c r="M595" s="1393"/>
      <c r="N595" s="1393"/>
      <c r="O595" s="1393"/>
      <c r="P595" s="1393"/>
      <c r="Q595" s="1393"/>
      <c r="R595" s="1393"/>
      <c r="S595"/>
      <c r="T595" s="22"/>
      <c r="U595" t="s">
        <v>581</v>
      </c>
      <c r="V595"/>
      <c r="W595"/>
      <c r="X595"/>
      <c r="Y595"/>
      <c r="Z595" s="1400"/>
      <c r="AA595" s="1400"/>
      <c r="AB595" s="1400"/>
      <c r="AC595" s="1400"/>
      <c r="AD595" s="1400"/>
      <c r="AE595" s="1400"/>
      <c r="AF595" s="1400"/>
      <c r="AG595" s="1400"/>
      <c r="AH595" s="1400"/>
      <c r="AI595" s="1400"/>
      <c r="AJ595" s="1400"/>
      <c r="AK595" s="1400"/>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93"/>
      <c r="H596" s="1393"/>
      <c r="I596" s="1393"/>
      <c r="J596" s="1393"/>
      <c r="K596" s="1393"/>
      <c r="L596" s="1393"/>
      <c r="M596" s="1393"/>
      <c r="N596" s="1393"/>
      <c r="O596" s="1393"/>
      <c r="P596" s="1393"/>
      <c r="Q596" s="1393"/>
      <c r="R596" s="1393"/>
      <c r="S596"/>
      <c r="T596" s="22"/>
      <c r="U596" t="s">
        <v>17</v>
      </c>
      <c r="V596"/>
      <c r="W596"/>
      <c r="X596"/>
      <c r="Y596"/>
      <c r="Z596" s="1400"/>
      <c r="AA596" s="1400"/>
      <c r="AB596" s="1400"/>
      <c r="AC596" s="1400"/>
      <c r="AD596" s="1400"/>
      <c r="AE596" s="1400"/>
      <c r="AF596" s="1400"/>
      <c r="AG596" s="1400"/>
      <c r="AH596" s="1400"/>
      <c r="AI596" s="1400"/>
      <c r="AJ596" s="1400"/>
      <c r="AK596" s="1400"/>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462"/>
      <c r="H597" s="1462"/>
      <c r="I597" s="1462"/>
      <c r="J597" s="1462"/>
      <c r="K597" s="1462"/>
      <c r="L597" s="1462"/>
      <c r="M597"/>
      <c r="N597"/>
      <c r="O597" s="33" t="s">
        <v>206</v>
      </c>
      <c r="P597" s="1445"/>
      <c r="Q597" s="1445"/>
      <c r="R597" s="1445"/>
      <c r="S597"/>
      <c r="T597" s="22"/>
      <c r="U597" t="s">
        <v>316</v>
      </c>
      <c r="V597"/>
      <c r="W597"/>
      <c r="X597"/>
      <c r="Y597"/>
      <c r="Z597" s="1462"/>
      <c r="AA597" s="1462"/>
      <c r="AB597" s="1462"/>
      <c r="AC597" s="1462"/>
      <c r="AD597" s="1462"/>
      <c r="AE597" s="1462"/>
      <c r="AF597"/>
      <c r="AG597"/>
      <c r="AH597" s="33" t="s">
        <v>206</v>
      </c>
      <c r="AI597" s="1445"/>
      <c r="AJ597" s="1445"/>
      <c r="AK597" s="1445"/>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93"/>
      <c r="I598" s="1393"/>
      <c r="J598" s="1393"/>
      <c r="K598" s="1393"/>
      <c r="L598" s="1393"/>
      <c r="M598" s="1393"/>
      <c r="N598" s="1393"/>
      <c r="O598" s="1393"/>
      <c r="P598" s="1393"/>
      <c r="Q598" s="1393"/>
      <c r="R598" s="1393"/>
      <c r="S598"/>
      <c r="T598" s="22"/>
      <c r="U598" t="s">
        <v>18</v>
      </c>
      <c r="V598"/>
      <c r="W598"/>
      <c r="X598"/>
      <c r="Y598"/>
      <c r="Z598"/>
      <c r="AA598" s="1393"/>
      <c r="AB598" s="1393"/>
      <c r="AC598" s="1393"/>
      <c r="AD598" s="1393"/>
      <c r="AE598" s="1393"/>
      <c r="AF598" s="1393"/>
      <c r="AG598" s="1393"/>
      <c r="AH598" s="1393"/>
      <c r="AI598" s="1393"/>
      <c r="AJ598" s="1393"/>
      <c r="AK598" s="1393"/>
      <c r="AL598"/>
      <c r="AM598"/>
      <c r="AN598"/>
      <c r="AO598"/>
      <c r="AP598"/>
      <c r="AQ598"/>
      <c r="AR598"/>
      <c r="AS598"/>
      <c r="AT598"/>
      <c r="AU598"/>
      <c r="AV598"/>
      <c r="AW598"/>
      <c r="AX598"/>
      <c r="AY598"/>
      <c r="BB598" s="3"/>
      <c r="BC598" s="3"/>
    </row>
    <row r="599" spans="1:55" ht="13" customHeight="1">
      <c r="A599" s="22"/>
      <c r="B599" t="s">
        <v>20</v>
      </c>
      <c r="N599" s="1397" t="s">
        <v>670</v>
      </c>
      <c r="O599" s="1397"/>
      <c r="T599" s="22"/>
      <c r="U599" t="s">
        <v>20</v>
      </c>
      <c r="AG599" s="1397" t="s">
        <v>670</v>
      </c>
      <c r="AH599" s="1397"/>
      <c r="BB599" s="3"/>
      <c r="BC599" s="3"/>
    </row>
    <row r="600" spans="1:55" ht="13" customHeight="1">
      <c r="A600" s="22"/>
      <c r="T600" s="22"/>
      <c r="BB600" s="3"/>
      <c r="BC600" s="3"/>
    </row>
    <row r="601" spans="1:55" ht="13" customHeight="1">
      <c r="A601" s="55" t="s">
        <v>462</v>
      </c>
      <c r="B601" t="s">
        <v>464</v>
      </c>
      <c r="G601" s="1463">
        <f>C562</f>
        <v>0</v>
      </c>
      <c r="H601" s="1463"/>
      <c r="I601" s="1463"/>
      <c r="J601" s="1463"/>
      <c r="K601" s="1463"/>
      <c r="L601" s="1463"/>
      <c r="M601" s="1463"/>
      <c r="N601" s="1463"/>
      <c r="O601" s="1463"/>
      <c r="P601" s="1463"/>
      <c r="Q601" s="1463"/>
      <c r="R601" s="1463"/>
      <c r="T601" s="55" t="s">
        <v>647</v>
      </c>
      <c r="U601" t="s">
        <v>464</v>
      </c>
      <c r="Z601" s="1463">
        <f>C563</f>
        <v>0</v>
      </c>
      <c r="AA601" s="1463"/>
      <c r="AB601" s="1463"/>
      <c r="AC601" s="1463"/>
      <c r="AD601" s="1463"/>
      <c r="AE601" s="1463"/>
      <c r="AF601" s="1463"/>
      <c r="AG601" s="1463"/>
      <c r="AH601" s="1463"/>
      <c r="AI601" s="1463"/>
      <c r="AJ601" s="1463"/>
      <c r="AK601" s="1463"/>
      <c r="BB601" s="3"/>
      <c r="BC601" s="3"/>
    </row>
    <row r="602" spans="1:55" ht="13" customHeight="1">
      <c r="A602" s="22"/>
      <c r="B602" t="s">
        <v>85</v>
      </c>
      <c r="G602" s="1393"/>
      <c r="H602" s="1393"/>
      <c r="I602" s="1393"/>
      <c r="J602" s="1393"/>
      <c r="K602" s="1393"/>
      <c r="L602" s="1393"/>
      <c r="M602" s="1393"/>
      <c r="N602" s="1393"/>
      <c r="O602" s="1393"/>
      <c r="P602" s="1393"/>
      <c r="Q602" s="1393"/>
      <c r="R602" s="1393"/>
      <c r="T602" s="22"/>
      <c r="U602" t="s">
        <v>85</v>
      </c>
      <c r="Z602" s="1393"/>
      <c r="AA602" s="1393"/>
      <c r="AB602" s="1393"/>
      <c r="AC602" s="1393"/>
      <c r="AD602" s="1393"/>
      <c r="AE602" s="1393"/>
      <c r="AF602" s="1393"/>
      <c r="AG602" s="1393"/>
      <c r="AH602" s="1393"/>
      <c r="AI602" s="1393"/>
      <c r="AJ602" s="1393"/>
      <c r="AK602" s="1393"/>
      <c r="AZ602" s="3"/>
      <c r="BA602" s="3"/>
      <c r="BB602" s="3"/>
      <c r="BC602" s="3"/>
    </row>
    <row r="603" spans="1:55" ht="13" customHeight="1">
      <c r="A603" s="22"/>
      <c r="B603" t="s">
        <v>581</v>
      </c>
      <c r="G603" s="1393"/>
      <c r="H603" s="1393"/>
      <c r="I603" s="1393"/>
      <c r="J603" s="1393"/>
      <c r="K603" s="1393"/>
      <c r="L603" s="1393"/>
      <c r="M603" s="1393"/>
      <c r="N603" s="1393"/>
      <c r="O603" s="1393"/>
      <c r="P603" s="1393"/>
      <c r="Q603" s="1393"/>
      <c r="R603" s="1393"/>
      <c r="T603" s="22"/>
      <c r="U603" t="s">
        <v>581</v>
      </c>
      <c r="Z603" s="1400"/>
      <c r="AA603" s="1400"/>
      <c r="AB603" s="1400"/>
      <c r="AC603" s="1400"/>
      <c r="AD603" s="1400"/>
      <c r="AE603" s="1400"/>
      <c r="AF603" s="1400"/>
      <c r="AG603" s="1400"/>
      <c r="AH603" s="1400"/>
      <c r="AI603" s="1400"/>
      <c r="AJ603" s="1400"/>
      <c r="AK603" s="1400"/>
      <c r="AZ603" s="3"/>
      <c r="BA603" s="3"/>
      <c r="BB603" s="3"/>
      <c r="BC603" s="3"/>
    </row>
    <row r="604" spans="1:55" ht="13" customHeight="1">
      <c r="A604" s="22"/>
      <c r="B604" t="s">
        <v>17</v>
      </c>
      <c r="G604" s="1393"/>
      <c r="H604" s="1393"/>
      <c r="I604" s="1393"/>
      <c r="J604" s="1393"/>
      <c r="K604" s="1393"/>
      <c r="L604" s="1393"/>
      <c r="M604" s="1393"/>
      <c r="N604" s="1393"/>
      <c r="O604" s="1393"/>
      <c r="P604" s="1393"/>
      <c r="Q604" s="1393"/>
      <c r="R604" s="1393"/>
      <c r="T604" s="22"/>
      <c r="U604" t="s">
        <v>17</v>
      </c>
      <c r="Z604" s="1400"/>
      <c r="AA604" s="1400"/>
      <c r="AB604" s="1400"/>
      <c r="AC604" s="1400"/>
      <c r="AD604" s="1400"/>
      <c r="AE604" s="1400"/>
      <c r="AF604" s="1400"/>
      <c r="AG604" s="1400"/>
      <c r="AH604" s="1400"/>
      <c r="AI604" s="1400"/>
      <c r="AJ604" s="1400"/>
      <c r="AK604" s="1400"/>
      <c r="AZ604" s="3"/>
      <c r="BA604" s="3"/>
      <c r="BB604" s="3"/>
      <c r="BC604" s="3"/>
    </row>
    <row r="605" spans="1:55" s="4" customFormat="1" ht="13" customHeight="1">
      <c r="A605" s="22"/>
      <c r="B605" t="s">
        <v>316</v>
      </c>
      <c r="C605"/>
      <c r="D605"/>
      <c r="E605"/>
      <c r="F605"/>
      <c r="G605" s="1462"/>
      <c r="H605" s="1462"/>
      <c r="I605" s="1462"/>
      <c r="J605" s="1462"/>
      <c r="K605" s="1462"/>
      <c r="L605" s="1462"/>
      <c r="M605"/>
      <c r="N605"/>
      <c r="O605" s="33" t="s">
        <v>206</v>
      </c>
      <c r="P605" s="1445"/>
      <c r="Q605" s="1445"/>
      <c r="R605" s="1445"/>
      <c r="S605"/>
      <c r="T605" s="22"/>
      <c r="U605" t="s">
        <v>316</v>
      </c>
      <c r="V605"/>
      <c r="W605"/>
      <c r="X605"/>
      <c r="Y605"/>
      <c r="Z605" s="1462"/>
      <c r="AA605" s="1462"/>
      <c r="AB605" s="1462"/>
      <c r="AC605" s="1462"/>
      <c r="AD605" s="1462"/>
      <c r="AE605" s="1462"/>
      <c r="AF605"/>
      <c r="AG605"/>
      <c r="AH605" s="33" t="s">
        <v>206</v>
      </c>
      <c r="AI605" s="1445"/>
      <c r="AJ605" s="1445"/>
      <c r="AK605" s="1445"/>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93"/>
      <c r="I606" s="1393"/>
      <c r="J606" s="1393"/>
      <c r="K606" s="1393"/>
      <c r="L606" s="1393"/>
      <c r="M606" s="1393"/>
      <c r="N606" s="1393"/>
      <c r="O606" s="1393"/>
      <c r="P606" s="1393"/>
      <c r="Q606" s="1393"/>
      <c r="R606" s="1393"/>
      <c r="S606"/>
      <c r="T606" s="22"/>
      <c r="U606" t="s">
        <v>18</v>
      </c>
      <c r="V606"/>
      <c r="W606"/>
      <c r="X606"/>
      <c r="Y606"/>
      <c r="Z606"/>
      <c r="AA606" s="1393"/>
      <c r="AB606" s="1393"/>
      <c r="AC606" s="1393"/>
      <c r="AD606" s="1393"/>
      <c r="AE606" s="1393"/>
      <c r="AF606" s="1393"/>
      <c r="AG606" s="1393"/>
      <c r="AH606" s="1393"/>
      <c r="AI606" s="1393"/>
      <c r="AJ606" s="1393"/>
      <c r="AK606" s="1393"/>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97" t="s">
        <v>670</v>
      </c>
      <c r="O607" s="1397"/>
      <c r="P607"/>
      <c r="Q607"/>
      <c r="R607"/>
      <c r="S607"/>
      <c r="T607" s="22"/>
      <c r="U607" t="s">
        <v>20</v>
      </c>
      <c r="V607"/>
      <c r="W607"/>
      <c r="X607"/>
      <c r="Y607"/>
      <c r="Z607"/>
      <c r="AA607"/>
      <c r="AB607"/>
      <c r="AC607"/>
      <c r="AD607"/>
      <c r="AE607"/>
      <c r="AF607"/>
      <c r="AG607" s="1397" t="s">
        <v>670</v>
      </c>
      <c r="AH607" s="1397"/>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463">
        <f>C564</f>
        <v>0</v>
      </c>
      <c r="H609" s="1463"/>
      <c r="I609" s="1463"/>
      <c r="J609" s="1463"/>
      <c r="K609" s="1463"/>
      <c r="L609" s="1463"/>
      <c r="M609" s="1463"/>
      <c r="N609" s="1463"/>
      <c r="O609" s="1463"/>
      <c r="P609" s="1463"/>
      <c r="Q609" s="1463"/>
      <c r="R609" s="1463"/>
      <c r="T609" s="55" t="s">
        <v>363</v>
      </c>
      <c r="U609" t="s">
        <v>464</v>
      </c>
      <c r="Z609" s="1463">
        <f>C565</f>
        <v>0</v>
      </c>
      <c r="AA609" s="1463"/>
      <c r="AB609" s="1463"/>
      <c r="AC609" s="1463"/>
      <c r="AD609" s="1463"/>
      <c r="AE609" s="1463"/>
      <c r="AF609" s="1463"/>
      <c r="AG609" s="1463"/>
      <c r="AH609" s="1463"/>
      <c r="AI609" s="1463"/>
      <c r="AJ609" s="1463"/>
      <c r="AK609" s="1463"/>
      <c r="AZ609" s="3"/>
      <c r="BA609" s="3"/>
      <c r="BB609" s="3"/>
      <c r="BC609" s="3"/>
    </row>
    <row r="610" spans="1:55" ht="13" customHeight="1">
      <c r="B610" t="s">
        <v>85</v>
      </c>
      <c r="G610" s="1393"/>
      <c r="H610" s="1393"/>
      <c r="I610" s="1393"/>
      <c r="J610" s="1393"/>
      <c r="K610" s="1393"/>
      <c r="L610" s="1393"/>
      <c r="M610" s="1393"/>
      <c r="N610" s="1393"/>
      <c r="O610" s="1393"/>
      <c r="P610" s="1393"/>
      <c r="Q610" s="1393"/>
      <c r="R610" s="1393"/>
      <c r="U610" t="s">
        <v>85</v>
      </c>
      <c r="Z610" s="1393"/>
      <c r="AA610" s="1393"/>
      <c r="AB610" s="1393"/>
      <c r="AC610" s="1393"/>
      <c r="AD610" s="1393"/>
      <c r="AE610" s="1393"/>
      <c r="AF610" s="1393"/>
      <c r="AG610" s="1393"/>
      <c r="AH610" s="1393"/>
      <c r="AI610" s="1393"/>
      <c r="AJ610" s="1393"/>
      <c r="AK610" s="1393"/>
      <c r="AZ610" s="3"/>
      <c r="BA610" s="3"/>
      <c r="BB610" s="3"/>
      <c r="BC610" s="3"/>
    </row>
    <row r="611" spans="1:55" ht="13" customHeight="1">
      <c r="B611" t="s">
        <v>581</v>
      </c>
      <c r="G611" s="1393"/>
      <c r="H611" s="1393"/>
      <c r="I611" s="1393"/>
      <c r="J611" s="1393"/>
      <c r="K611" s="1393"/>
      <c r="L611" s="1393"/>
      <c r="M611" s="1393"/>
      <c r="N611" s="1393"/>
      <c r="O611" s="1393"/>
      <c r="P611" s="1393"/>
      <c r="Q611" s="1393"/>
      <c r="R611" s="1393"/>
      <c r="U611" t="s">
        <v>581</v>
      </c>
      <c r="Z611" s="1400"/>
      <c r="AA611" s="1400"/>
      <c r="AB611" s="1400"/>
      <c r="AC611" s="1400"/>
      <c r="AD611" s="1400"/>
      <c r="AE611" s="1400"/>
      <c r="AF611" s="1400"/>
      <c r="AG611" s="1400"/>
      <c r="AH611" s="1400"/>
      <c r="AI611" s="1400"/>
      <c r="AJ611" s="1400"/>
      <c r="AK611" s="1400"/>
      <c r="AZ611" s="3"/>
      <c r="BA611" s="3"/>
      <c r="BB611" s="3"/>
      <c r="BC611" s="3"/>
    </row>
    <row r="612" spans="1:55" ht="13" customHeight="1">
      <c r="B612" t="s">
        <v>17</v>
      </c>
      <c r="G612" s="1393"/>
      <c r="H612" s="1393"/>
      <c r="I612" s="1393"/>
      <c r="J612" s="1393"/>
      <c r="K612" s="1393"/>
      <c r="L612" s="1393"/>
      <c r="M612" s="1393"/>
      <c r="N612" s="1393"/>
      <c r="O612" s="1393"/>
      <c r="P612" s="1393"/>
      <c r="Q612" s="1393"/>
      <c r="R612" s="1393"/>
      <c r="U612" t="s">
        <v>17</v>
      </c>
      <c r="Z612" s="1400"/>
      <c r="AA612" s="1400"/>
      <c r="AB612" s="1400"/>
      <c r="AC612" s="1400"/>
      <c r="AD612" s="1400"/>
      <c r="AE612" s="1400"/>
      <c r="AF612" s="1400"/>
      <c r="AG612" s="1400"/>
      <c r="AH612" s="1400"/>
      <c r="AI612" s="1400"/>
      <c r="AJ612" s="1400"/>
      <c r="AK612" s="1400"/>
      <c r="AZ612" s="3"/>
      <c r="BA612" s="3"/>
      <c r="BB612" s="3"/>
      <c r="BC612" s="3"/>
    </row>
    <row r="613" spans="1:55" ht="13" customHeight="1">
      <c r="B613" t="s">
        <v>316</v>
      </c>
      <c r="G613" s="1462"/>
      <c r="H613" s="1462"/>
      <c r="I613" s="1462"/>
      <c r="J613" s="1462"/>
      <c r="K613" s="1462"/>
      <c r="L613" s="1462"/>
      <c r="O613" s="33" t="s">
        <v>206</v>
      </c>
      <c r="P613" s="1445"/>
      <c r="Q613" s="1445"/>
      <c r="R613" s="1445"/>
      <c r="U613" t="s">
        <v>316</v>
      </c>
      <c r="Z613" s="1462"/>
      <c r="AA613" s="1462"/>
      <c r="AB613" s="1462"/>
      <c r="AC613" s="1462"/>
      <c r="AD613" s="1462"/>
      <c r="AE613" s="1462"/>
      <c r="AH613" s="33" t="s">
        <v>206</v>
      </c>
      <c r="AI613" s="1445"/>
      <c r="AJ613" s="1445"/>
      <c r="AK613" s="1445"/>
      <c r="AZ613" s="3"/>
      <c r="BA613" s="3"/>
      <c r="BB613" s="3"/>
      <c r="BC613" s="3"/>
    </row>
    <row r="614" spans="1:55" ht="13" customHeight="1">
      <c r="B614" t="s">
        <v>18</v>
      </c>
      <c r="H614" s="1393"/>
      <c r="I614" s="1393"/>
      <c r="J614" s="1393"/>
      <c r="K614" s="1393"/>
      <c r="L614" s="1393"/>
      <c r="M614" s="1393"/>
      <c r="N614" s="1393"/>
      <c r="O614" s="1393"/>
      <c r="P614" s="1393"/>
      <c r="Q614" s="1393"/>
      <c r="R614" s="1393"/>
      <c r="U614" t="s">
        <v>18</v>
      </c>
      <c r="AA614" s="1393"/>
      <c r="AB614" s="1393"/>
      <c r="AC614" s="1393"/>
      <c r="AD614" s="1393"/>
      <c r="AE614" s="1393"/>
      <c r="AF614" s="1393"/>
      <c r="AG614" s="1393"/>
      <c r="AH614" s="1393"/>
      <c r="AI614" s="1393"/>
      <c r="AJ614" s="1393"/>
      <c r="AK614" s="1393"/>
      <c r="AU614" s="900"/>
      <c r="AV614" s="900"/>
      <c r="AW614" s="900"/>
      <c r="AX614" s="900"/>
      <c r="AY614" s="900"/>
      <c r="AZ614" s="3"/>
      <c r="BA614" s="3"/>
      <c r="BB614" s="3"/>
      <c r="BC614" s="3"/>
    </row>
    <row r="615" spans="1:55" ht="13" customHeight="1">
      <c r="B615" t="s">
        <v>20</v>
      </c>
      <c r="N615" s="1397" t="s">
        <v>670</v>
      </c>
      <c r="O615" s="1397"/>
      <c r="U615" t="s">
        <v>20</v>
      </c>
      <c r="AG615" s="1397" t="s">
        <v>670</v>
      </c>
      <c r="AH615" s="1397"/>
      <c r="AU615" s="900"/>
      <c r="AV615" s="900"/>
      <c r="AW615" s="900"/>
      <c r="AX615" s="900"/>
      <c r="AY615" s="900"/>
      <c r="AZ615" s="3"/>
      <c r="BA615" s="3"/>
      <c r="BB615" s="3"/>
      <c r="BC615" s="3"/>
    </row>
    <row r="616" spans="1:55" ht="13" customHeight="1">
      <c r="AZ616" s="3"/>
      <c r="BA616" s="3"/>
      <c r="BB616" s="3"/>
      <c r="BC616" s="3"/>
    </row>
    <row r="617" spans="1:55" ht="13" customHeight="1">
      <c r="A617" s="1269" t="s">
        <v>545</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row>
    <row r="618" spans="1:55" ht="13"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2102</v>
      </c>
      <c r="AZ622" s="3"/>
      <c r="BA622" s="3"/>
      <c r="BB622" s="3"/>
      <c r="BC622" s="3"/>
    </row>
    <row r="623" spans="1:55" ht="13" customHeight="1">
      <c r="B623" s="513"/>
      <c r="C623" s="2"/>
      <c r="AU623" s="3"/>
      <c r="AZ623" s="3"/>
      <c r="BA623" s="3"/>
      <c r="BB623" s="3"/>
      <c r="BC623" s="3"/>
    </row>
    <row r="624" spans="1:55" ht="13" customHeight="1">
      <c r="B624" s="1472" t="s">
        <v>2104</v>
      </c>
      <c r="C624" s="1472"/>
      <c r="D624" s="1472"/>
      <c r="E624" s="1472"/>
      <c r="F624" s="1472"/>
      <c r="G624" s="1472"/>
      <c r="H624" s="1472"/>
      <c r="I624" s="1472"/>
      <c r="J624" s="1472"/>
      <c r="K624" s="1472"/>
      <c r="L624" s="1472"/>
      <c r="M624" s="1603" t="s">
        <v>2105</v>
      </c>
      <c r="N624" s="1603"/>
      <c r="O624" s="1603"/>
      <c r="P624" s="1603"/>
      <c r="Q624" s="1603" t="s">
        <v>1853</v>
      </c>
      <c r="R624" s="1603"/>
      <c r="S624" s="1603"/>
      <c r="T624" s="1603" t="s">
        <v>1851</v>
      </c>
      <c r="U624" s="1603"/>
      <c r="V624" s="1603"/>
      <c r="W624" s="1474" t="s">
        <v>454</v>
      </c>
      <c r="X624" s="1474"/>
      <c r="Y624" s="1474"/>
      <c r="Z624" s="1379" t="s">
        <v>2134</v>
      </c>
      <c r="AA624" s="1379"/>
      <c r="AB624" s="1380"/>
      <c r="AC624" s="1682" t="s">
        <v>1676</v>
      </c>
      <c r="AD624" s="1683"/>
      <c r="AE624" s="1684"/>
      <c r="AF624" s="1378" t="s">
        <v>1931</v>
      </c>
      <c r="AG624" s="1379"/>
      <c r="AH624" s="1379"/>
      <c r="AI624" s="1379"/>
      <c r="AJ624" s="1380"/>
      <c r="AK624" s="1481" t="s">
        <v>1932</v>
      </c>
      <c r="AL624" s="1482"/>
      <c r="AM624" s="1482"/>
      <c r="AN624" s="1483"/>
      <c r="AO624" s="1603" t="s">
        <v>455</v>
      </c>
      <c r="AP624" s="1603"/>
      <c r="AQ624" s="1603"/>
      <c r="AR624" s="1603"/>
      <c r="AS624" s="1603"/>
      <c r="AU624" s="3"/>
      <c r="AZ624" s="3"/>
      <c r="BA624" s="3"/>
      <c r="BB624" s="3"/>
      <c r="BC624" s="3"/>
    </row>
    <row r="625" spans="2:157" ht="13" customHeight="1">
      <c r="B625" s="1472"/>
      <c r="C625" s="1472"/>
      <c r="D625" s="1472"/>
      <c r="E625" s="1472"/>
      <c r="F625" s="1472"/>
      <c r="G625" s="1472"/>
      <c r="H625" s="1472"/>
      <c r="I625" s="1472"/>
      <c r="J625" s="1472"/>
      <c r="K625" s="1472"/>
      <c r="L625" s="1472"/>
      <c r="M625" s="1603"/>
      <c r="N625" s="1603"/>
      <c r="O625" s="1603"/>
      <c r="P625" s="1603"/>
      <c r="Q625" s="1603"/>
      <c r="R625" s="1603"/>
      <c r="S625" s="1603"/>
      <c r="T625" s="1603"/>
      <c r="U625" s="1603"/>
      <c r="V625" s="1603"/>
      <c r="W625" s="1474"/>
      <c r="X625" s="1474"/>
      <c r="Y625" s="1474"/>
      <c r="Z625" s="1382"/>
      <c r="AA625" s="1382"/>
      <c r="AB625" s="1383"/>
      <c r="AC625" s="1685"/>
      <c r="AD625" s="1686"/>
      <c r="AE625" s="1687"/>
      <c r="AF625" s="1381"/>
      <c r="AG625" s="1382"/>
      <c r="AH625" s="1382"/>
      <c r="AI625" s="1382"/>
      <c r="AJ625" s="1383"/>
      <c r="AK625" s="1484"/>
      <c r="AL625" s="1485"/>
      <c r="AM625" s="1485"/>
      <c r="AN625" s="1486"/>
      <c r="AO625" s="1603"/>
      <c r="AP625" s="1603"/>
      <c r="AQ625" s="1603"/>
      <c r="AR625" s="1603"/>
      <c r="AS625" s="1603"/>
      <c r="AU625" s="3"/>
      <c r="AZ625" s="3"/>
      <c r="BA625" s="3"/>
      <c r="BB625" s="3"/>
      <c r="BC625" s="3"/>
      <c r="BD625" s="3"/>
    </row>
    <row r="626" spans="2:157" ht="13" customHeight="1">
      <c r="B626" s="1472"/>
      <c r="C626" s="1472"/>
      <c r="D626" s="1472"/>
      <c r="E626" s="1472"/>
      <c r="F626" s="1472"/>
      <c r="G626" s="1472"/>
      <c r="H626" s="1472"/>
      <c r="I626" s="1472"/>
      <c r="J626" s="1472"/>
      <c r="K626" s="1472"/>
      <c r="L626" s="1472"/>
      <c r="M626" s="1603"/>
      <c r="N626" s="1603"/>
      <c r="O626" s="1603"/>
      <c r="P626" s="1603"/>
      <c r="Q626" s="1603"/>
      <c r="R626" s="1603"/>
      <c r="S626" s="1603"/>
      <c r="T626" s="1603"/>
      <c r="U626" s="1603"/>
      <c r="V626" s="1603"/>
      <c r="W626" s="1474"/>
      <c r="X626" s="1474"/>
      <c r="Y626" s="1474"/>
      <c r="Z626" s="1385"/>
      <c r="AA626" s="1385"/>
      <c r="AB626" s="1386"/>
      <c r="AC626" s="1688"/>
      <c r="AD626" s="1689"/>
      <c r="AE626" s="1690"/>
      <c r="AF626" s="1384"/>
      <c r="AG626" s="1385"/>
      <c r="AH626" s="1385"/>
      <c r="AI626" s="1385"/>
      <c r="AJ626" s="1386"/>
      <c r="AK626" s="1487"/>
      <c r="AL626" s="1488"/>
      <c r="AM626" s="1488"/>
      <c r="AN626" s="1489"/>
      <c r="AO626" s="1603"/>
      <c r="AP626" s="1603"/>
      <c r="AQ626" s="1603"/>
      <c r="AR626" s="1603"/>
      <c r="AS626" s="1603"/>
      <c r="AT626" s="3"/>
      <c r="AU626" s="3"/>
      <c r="AZ626" s="3"/>
      <c r="BA626" s="3"/>
      <c r="BB626" s="3"/>
      <c r="BC626" s="3"/>
      <c r="BD626" s="3"/>
    </row>
    <row r="627" spans="2:157" ht="13" customHeight="1">
      <c r="B627" s="51" t="s">
        <v>112</v>
      </c>
      <c r="C627" s="1467" t="s">
        <v>2649</v>
      </c>
      <c r="D627" s="1467"/>
      <c r="E627" s="1467"/>
      <c r="F627" s="1467"/>
      <c r="G627" s="1467"/>
      <c r="H627" s="1467"/>
      <c r="I627" s="1467"/>
      <c r="J627" s="1467"/>
      <c r="K627" s="1467"/>
      <c r="L627" s="1467"/>
      <c r="M627" s="1473" t="s">
        <v>2115</v>
      </c>
      <c r="N627" s="1473"/>
      <c r="O627" s="1473"/>
      <c r="P627" s="1473"/>
      <c r="Q627" s="1479">
        <v>216</v>
      </c>
      <c r="R627" s="1479"/>
      <c r="S627" s="1480"/>
      <c r="T627" s="1478">
        <v>480</v>
      </c>
      <c r="U627" s="1479"/>
      <c r="V627" s="1480"/>
      <c r="W627" s="1475">
        <v>5.8999999999999997E-2</v>
      </c>
      <c r="X627" s="1476"/>
      <c r="Y627" s="1477"/>
      <c r="Z627" s="1459" t="s">
        <v>2133</v>
      </c>
      <c r="AA627" s="1460"/>
      <c r="AB627" s="1461"/>
      <c r="AC627" s="1416">
        <v>1</v>
      </c>
      <c r="AD627" s="1417"/>
      <c r="AE627" s="1418"/>
      <c r="AF627" s="1469">
        <v>3161816</v>
      </c>
      <c r="AG627" s="1470"/>
      <c r="AH627" s="1470"/>
      <c r="AI627" s="1470"/>
      <c r="AJ627" s="1471"/>
      <c r="AK627" s="1679"/>
      <c r="AL627" s="1680"/>
      <c r="AM627" s="1680"/>
      <c r="AN627" s="1681"/>
      <c r="AO627" s="1633">
        <v>48179488</v>
      </c>
      <c r="AP627" s="1633"/>
      <c r="AQ627" s="1633"/>
      <c r="AR627" s="1633"/>
      <c r="AS627" s="1633"/>
      <c r="AT627" s="3"/>
      <c r="AU627" s="3"/>
      <c r="AZ627" s="3"/>
      <c r="BA627" s="3"/>
      <c r="BB627" s="3"/>
      <c r="BC627" s="3"/>
      <c r="BD627" s="3"/>
    </row>
    <row r="628" spans="2:157" ht="13" customHeight="1">
      <c r="B628" s="52" t="s">
        <v>113</v>
      </c>
      <c r="C628" s="1467" t="str">
        <f>C558</f>
        <v>1055 Seventh, LLC - Seller Carryback</v>
      </c>
      <c r="D628" s="1467"/>
      <c r="E628" s="1467"/>
      <c r="F628" s="1467"/>
      <c r="G628" s="1467"/>
      <c r="H628" s="1467"/>
      <c r="I628" s="1467"/>
      <c r="J628" s="1467"/>
      <c r="K628" s="1467"/>
      <c r="L628" s="1467"/>
      <c r="M628" s="1473" t="s">
        <v>2118</v>
      </c>
      <c r="N628" s="1473"/>
      <c r="O628" s="1473"/>
      <c r="P628" s="1473"/>
      <c r="Q628" s="1478">
        <v>660</v>
      </c>
      <c r="R628" s="1479"/>
      <c r="S628" s="1480"/>
      <c r="T628" s="1478"/>
      <c r="U628" s="1479"/>
      <c r="V628" s="1480"/>
      <c r="W628" s="1475">
        <v>0.05</v>
      </c>
      <c r="X628" s="1476"/>
      <c r="Y628" s="1477"/>
      <c r="Z628" s="1459" t="s">
        <v>458</v>
      </c>
      <c r="AA628" s="1460"/>
      <c r="AB628" s="1461"/>
      <c r="AC628" s="1416">
        <v>2</v>
      </c>
      <c r="AD628" s="1417"/>
      <c r="AE628" s="1418"/>
      <c r="AF628" s="1469"/>
      <c r="AG628" s="1470"/>
      <c r="AH628" s="1470"/>
      <c r="AI628" s="1470"/>
      <c r="AJ628" s="1471"/>
      <c r="AK628" s="1679"/>
      <c r="AL628" s="1680"/>
      <c r="AM628" s="1680"/>
      <c r="AN628" s="1681"/>
      <c r="AO628" s="1464">
        <v>4990000</v>
      </c>
      <c r="AP628" s="1465"/>
      <c r="AQ628" s="1465"/>
      <c r="AR628" s="1465"/>
      <c r="AS628" s="1466"/>
      <c r="AT628" s="1150" t="str">
        <f>IF(AND(NOT(C627=""),C628="",NOT(C629="")),"!","")</f>
        <v/>
      </c>
      <c r="AU628" s="3"/>
      <c r="AZ628" s="3"/>
      <c r="BA628" s="3"/>
      <c r="BB628" s="3"/>
      <c r="BC628" s="3"/>
      <c r="BD628" s="3"/>
    </row>
    <row r="629" spans="2:157" ht="13" customHeight="1">
      <c r="B629" s="52" t="s">
        <v>119</v>
      </c>
      <c r="C629" s="1467" t="s">
        <v>2718</v>
      </c>
      <c r="D629" s="1467"/>
      <c r="E629" s="1467"/>
      <c r="F629" s="1467"/>
      <c r="G629" s="1467"/>
      <c r="H629" s="1467"/>
      <c r="I629" s="1467"/>
      <c r="J629" s="1467"/>
      <c r="K629" s="1467"/>
      <c r="L629" s="1467"/>
      <c r="M629" s="1473" t="s">
        <v>2119</v>
      </c>
      <c r="N629" s="1473"/>
      <c r="O629" s="1473"/>
      <c r="P629" s="1473"/>
      <c r="Q629" s="1478">
        <v>300</v>
      </c>
      <c r="R629" s="1479"/>
      <c r="S629" s="1480"/>
      <c r="T629" s="1478"/>
      <c r="U629" s="1479"/>
      <c r="V629" s="1480"/>
      <c r="W629" s="1475">
        <v>4.7899999999999998E-2</v>
      </c>
      <c r="X629" s="1476"/>
      <c r="Y629" s="1477"/>
      <c r="Z629" s="1459" t="s">
        <v>458</v>
      </c>
      <c r="AA629" s="1460"/>
      <c r="AB629" s="1461"/>
      <c r="AC629" s="1416"/>
      <c r="AD629" s="1417"/>
      <c r="AE629" s="1418"/>
      <c r="AF629" s="1469"/>
      <c r="AG629" s="1470"/>
      <c r="AH629" s="1470"/>
      <c r="AI629" s="1470"/>
      <c r="AJ629" s="1471"/>
      <c r="AK629" s="1679"/>
      <c r="AL629" s="1680"/>
      <c r="AM629" s="1680"/>
      <c r="AN629" s="1681"/>
      <c r="AO629" s="1464">
        <f>'Sources and Uses Budget'!B105-Application!AO627-Application!AO628-Application!AO630-AO640</f>
        <v>5882194</v>
      </c>
      <c r="AP629" s="1465"/>
      <c r="AQ629" s="1465"/>
      <c r="AR629" s="1465"/>
      <c r="AS629" s="1466"/>
      <c r="AT629" s="1150" t="str">
        <f t="shared" ref="AT629:AT638" si="1">IF(AND(NOT(C628=""),C629="",NOT(C630="")),"!","")</f>
        <v/>
      </c>
      <c r="AU629" s="3"/>
      <c r="AZ629" s="3"/>
      <c r="BA629" s="3"/>
      <c r="BB629" s="3"/>
      <c r="BC629" s="3"/>
      <c r="BD629" s="3"/>
    </row>
    <row r="630" spans="2:157" ht="13" customHeight="1">
      <c r="B630" s="52" t="s">
        <v>582</v>
      </c>
      <c r="C630" s="1467" t="s">
        <v>2324</v>
      </c>
      <c r="D630" s="1468"/>
      <c r="E630" s="1468"/>
      <c r="F630" s="1468"/>
      <c r="G630" s="1468"/>
      <c r="H630" s="1468"/>
      <c r="I630" s="1468"/>
      <c r="J630" s="1468"/>
      <c r="K630" s="1468"/>
      <c r="L630" s="1468"/>
      <c r="M630" s="1473" t="s">
        <v>2108</v>
      </c>
      <c r="N630" s="1473"/>
      <c r="O630" s="1473"/>
      <c r="P630" s="1473"/>
      <c r="Q630" s="1478">
        <v>180</v>
      </c>
      <c r="R630" s="1479"/>
      <c r="S630" s="1480"/>
      <c r="T630" s="1478"/>
      <c r="U630" s="1479"/>
      <c r="V630" s="1480"/>
      <c r="W630" s="1475">
        <v>0.03</v>
      </c>
      <c r="X630" s="1476"/>
      <c r="Y630" s="1477"/>
      <c r="Z630" s="1459" t="s">
        <v>458</v>
      </c>
      <c r="AA630" s="1460"/>
      <c r="AB630" s="1461"/>
      <c r="AC630" s="1416"/>
      <c r="AD630" s="1417"/>
      <c r="AE630" s="1418"/>
      <c r="AF630" s="1469"/>
      <c r="AG630" s="1470"/>
      <c r="AH630" s="1470"/>
      <c r="AI630" s="1470"/>
      <c r="AJ630" s="1471"/>
      <c r="AK630" s="1679"/>
      <c r="AL630" s="1680"/>
      <c r="AM630" s="1680"/>
      <c r="AN630" s="1681"/>
      <c r="AO630" s="1464">
        <v>13831285</v>
      </c>
      <c r="AP630" s="1465"/>
      <c r="AQ630" s="1465"/>
      <c r="AR630" s="1465"/>
      <c r="AS630" s="1466"/>
      <c r="AT630" s="1150" t="str">
        <f t="shared" si="1"/>
        <v/>
      </c>
      <c r="AU630" s="3"/>
      <c r="AZ630" s="3"/>
      <c r="BA630" s="3"/>
      <c r="BB630" s="3"/>
      <c r="BC630" s="3"/>
      <c r="BD630" s="3"/>
    </row>
    <row r="631" spans="2:157" ht="13" customHeight="1">
      <c r="B631" s="52" t="s">
        <v>764</v>
      </c>
      <c r="C631" s="1468"/>
      <c r="D631" s="1468"/>
      <c r="E631" s="1468"/>
      <c r="F631" s="1468"/>
      <c r="G631" s="1468"/>
      <c r="H631" s="1468"/>
      <c r="I631" s="1468"/>
      <c r="J631" s="1468"/>
      <c r="K631" s="1468"/>
      <c r="L631" s="1468"/>
      <c r="M631" s="1473" t="s">
        <v>1184</v>
      </c>
      <c r="N631" s="1473"/>
      <c r="O631" s="1473"/>
      <c r="P631" s="1473"/>
      <c r="Q631" s="1478"/>
      <c r="R631" s="1479"/>
      <c r="S631" s="1480"/>
      <c r="T631" s="1478"/>
      <c r="U631" s="1479"/>
      <c r="V631" s="1480"/>
      <c r="W631" s="1475"/>
      <c r="X631" s="1476"/>
      <c r="Y631" s="1477"/>
      <c r="Z631" s="1459" t="s">
        <v>1184</v>
      </c>
      <c r="AA631" s="1460"/>
      <c r="AB631" s="1461"/>
      <c r="AC631" s="1416"/>
      <c r="AD631" s="1417"/>
      <c r="AE631" s="1418"/>
      <c r="AF631" s="1469"/>
      <c r="AG631" s="1470"/>
      <c r="AH631" s="1470"/>
      <c r="AI631" s="1470"/>
      <c r="AJ631" s="1471"/>
      <c r="AK631" s="1679"/>
      <c r="AL631" s="1680"/>
      <c r="AM631" s="1680"/>
      <c r="AN631" s="1681"/>
      <c r="AO631" s="1464"/>
      <c r="AP631" s="1465"/>
      <c r="AQ631" s="1465"/>
      <c r="AR631" s="1465"/>
      <c r="AS631" s="1466"/>
      <c r="AT631" s="1150" t="str">
        <f t="shared" si="1"/>
        <v/>
      </c>
      <c r="AU631" s="3"/>
      <c r="AZ631" s="3"/>
      <c r="BA631" s="3"/>
      <c r="BB631" s="3"/>
      <c r="BC631" s="3"/>
      <c r="BD631" s="3"/>
    </row>
    <row r="632" spans="2:157" ht="13" customHeight="1">
      <c r="B632" s="52" t="s">
        <v>585</v>
      </c>
      <c r="C632" s="1468"/>
      <c r="D632" s="1468"/>
      <c r="E632" s="1468"/>
      <c r="F632" s="1468"/>
      <c r="G632" s="1468"/>
      <c r="H632" s="1468"/>
      <c r="I632" s="1468"/>
      <c r="J632" s="1468"/>
      <c r="K632" s="1468"/>
      <c r="L632" s="1468"/>
      <c r="M632" s="1473" t="s">
        <v>1184</v>
      </c>
      <c r="N632" s="1473"/>
      <c r="O632" s="1473"/>
      <c r="P632" s="1473"/>
      <c r="Q632" s="1478"/>
      <c r="R632" s="1479"/>
      <c r="S632" s="1480"/>
      <c r="T632" s="1478"/>
      <c r="U632" s="1479"/>
      <c r="V632" s="1480"/>
      <c r="W632" s="1475"/>
      <c r="X632" s="1476"/>
      <c r="Y632" s="1477"/>
      <c r="Z632" s="1459" t="s">
        <v>1184</v>
      </c>
      <c r="AA632" s="1460"/>
      <c r="AB632" s="1461"/>
      <c r="AC632" s="1416"/>
      <c r="AD632" s="1417"/>
      <c r="AE632" s="1418"/>
      <c r="AF632" s="1469"/>
      <c r="AG632" s="1470"/>
      <c r="AH632" s="1470"/>
      <c r="AI632" s="1470"/>
      <c r="AJ632" s="1471"/>
      <c r="AK632" s="1679"/>
      <c r="AL632" s="1680"/>
      <c r="AM632" s="1680"/>
      <c r="AN632" s="1681"/>
      <c r="AO632" s="1464"/>
      <c r="AP632" s="1465"/>
      <c r="AQ632" s="1465"/>
      <c r="AR632" s="1465"/>
      <c r="AS632" s="1466"/>
      <c r="AT632" s="1150" t="str">
        <f t="shared" si="1"/>
        <v/>
      </c>
      <c r="AU632" s="3"/>
      <c r="AZ632" s="3"/>
      <c r="BA632" s="3"/>
      <c r="BB632" s="3"/>
      <c r="BC632" s="3"/>
      <c r="BD632" s="3"/>
    </row>
    <row r="633" spans="2:157" ht="13" customHeight="1">
      <c r="B633" s="52" t="s">
        <v>456</v>
      </c>
      <c r="C633" s="1468"/>
      <c r="D633" s="1468"/>
      <c r="E633" s="1468"/>
      <c r="F633" s="1468"/>
      <c r="G633" s="1468"/>
      <c r="H633" s="1468"/>
      <c r="I633" s="1468"/>
      <c r="J633" s="1468"/>
      <c r="K633" s="1468"/>
      <c r="L633" s="1468"/>
      <c r="M633" s="1473" t="s">
        <v>1184</v>
      </c>
      <c r="N633" s="1473"/>
      <c r="O633" s="1473"/>
      <c r="P633" s="1473"/>
      <c r="Q633" s="1478"/>
      <c r="R633" s="1479"/>
      <c r="S633" s="1480"/>
      <c r="T633" s="1478"/>
      <c r="U633" s="1479"/>
      <c r="V633" s="1480"/>
      <c r="W633" s="1475"/>
      <c r="X633" s="1476"/>
      <c r="Y633" s="1477"/>
      <c r="Z633" s="1459" t="s">
        <v>1184</v>
      </c>
      <c r="AA633" s="1460"/>
      <c r="AB633" s="1461"/>
      <c r="AC633" s="1416"/>
      <c r="AD633" s="1417"/>
      <c r="AE633" s="1418"/>
      <c r="AF633" s="1469"/>
      <c r="AG633" s="1470"/>
      <c r="AH633" s="1470"/>
      <c r="AI633" s="1470"/>
      <c r="AJ633" s="1471"/>
      <c r="AK633" s="1679"/>
      <c r="AL633" s="1680"/>
      <c r="AM633" s="1680"/>
      <c r="AN633" s="1681"/>
      <c r="AO633" s="1464"/>
      <c r="AP633" s="1465"/>
      <c r="AQ633" s="1465"/>
      <c r="AR633" s="1465"/>
      <c r="AS633" s="1466"/>
      <c r="AT633" s="1150" t="str">
        <f t="shared" si="1"/>
        <v/>
      </c>
      <c r="AU633" s="3"/>
      <c r="AV633" s="3"/>
      <c r="AW633" s="3"/>
      <c r="AX633" s="3"/>
      <c r="AY633" s="3"/>
      <c r="AZ633" s="3"/>
      <c r="BA633" s="3"/>
      <c r="BB633" s="3"/>
      <c r="BC633" s="3"/>
      <c r="BD633" s="3"/>
    </row>
    <row r="634" spans="2:157" ht="13" customHeight="1">
      <c r="B634" s="52" t="s">
        <v>457</v>
      </c>
      <c r="C634" s="1468"/>
      <c r="D634" s="1468"/>
      <c r="E634" s="1468"/>
      <c r="F634" s="1468"/>
      <c r="G634" s="1468"/>
      <c r="H634" s="1468"/>
      <c r="I634" s="1468"/>
      <c r="J634" s="1468"/>
      <c r="K634" s="1468"/>
      <c r="L634" s="1468"/>
      <c r="M634" s="1473" t="s">
        <v>1184</v>
      </c>
      <c r="N634" s="1473"/>
      <c r="O634" s="1473"/>
      <c r="P634" s="1473"/>
      <c r="Q634" s="1478"/>
      <c r="R634" s="1479"/>
      <c r="S634" s="1480"/>
      <c r="T634" s="1478"/>
      <c r="U634" s="1479"/>
      <c r="V634" s="1480"/>
      <c r="W634" s="1475"/>
      <c r="X634" s="1476"/>
      <c r="Y634" s="1477"/>
      <c r="Z634" s="1459" t="s">
        <v>1184</v>
      </c>
      <c r="AA634" s="1460"/>
      <c r="AB634" s="1461"/>
      <c r="AC634" s="1416"/>
      <c r="AD634" s="1417"/>
      <c r="AE634" s="1418"/>
      <c r="AF634" s="1469"/>
      <c r="AG634" s="1470"/>
      <c r="AH634" s="1470"/>
      <c r="AI634" s="1470"/>
      <c r="AJ634" s="1471"/>
      <c r="AK634" s="1679"/>
      <c r="AL634" s="1680"/>
      <c r="AM634" s="1680"/>
      <c r="AN634" s="1681"/>
      <c r="AO634" s="1464"/>
      <c r="AP634" s="1465"/>
      <c r="AQ634" s="1465"/>
      <c r="AR634" s="1465"/>
      <c r="AS634" s="1466"/>
      <c r="AT634" s="1150" t="str">
        <f t="shared" si="1"/>
        <v/>
      </c>
      <c r="AU634" s="3"/>
      <c r="AV634" s="3"/>
      <c r="AW634" s="3"/>
      <c r="AX634" s="3"/>
      <c r="AY634" s="3"/>
      <c r="AZ634" s="3"/>
      <c r="BA634" s="3" t="s">
        <v>1184</v>
      </c>
      <c r="BB634" s="3"/>
      <c r="BC634" s="3"/>
      <c r="BD634" s="3"/>
    </row>
    <row r="635" spans="2:157" ht="13" customHeight="1">
      <c r="B635" s="52" t="s">
        <v>462</v>
      </c>
      <c r="C635" s="1468"/>
      <c r="D635" s="1468"/>
      <c r="E635" s="1468"/>
      <c r="F635" s="1468"/>
      <c r="G635" s="1468"/>
      <c r="H635" s="1468"/>
      <c r="I635" s="1468"/>
      <c r="J635" s="1468"/>
      <c r="K635" s="1468"/>
      <c r="L635" s="1468"/>
      <c r="M635" s="1473" t="s">
        <v>1184</v>
      </c>
      <c r="N635" s="1473"/>
      <c r="O635" s="1473"/>
      <c r="P635" s="1473"/>
      <c r="Q635" s="1478"/>
      <c r="R635" s="1479"/>
      <c r="S635" s="1480"/>
      <c r="T635" s="1478"/>
      <c r="U635" s="1479"/>
      <c r="V635" s="1480"/>
      <c r="W635" s="1475"/>
      <c r="X635" s="1476"/>
      <c r="Y635" s="1477"/>
      <c r="Z635" s="1459" t="s">
        <v>1184</v>
      </c>
      <c r="AA635" s="1460"/>
      <c r="AB635" s="1461"/>
      <c r="AC635" s="1416"/>
      <c r="AD635" s="1417"/>
      <c r="AE635" s="1418"/>
      <c r="AF635" s="1469"/>
      <c r="AG635" s="1470"/>
      <c r="AH635" s="1470"/>
      <c r="AI635" s="1470"/>
      <c r="AJ635" s="1471"/>
      <c r="AK635" s="1679"/>
      <c r="AL635" s="1680"/>
      <c r="AM635" s="1680"/>
      <c r="AN635" s="1681"/>
      <c r="AO635" s="1464"/>
      <c r="AP635" s="1465"/>
      <c r="AQ635" s="1465"/>
      <c r="AR635" s="1465"/>
      <c r="AS635" s="1466"/>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f t="shared" ref="DX635:DX669" si="2">EZ718*(CP718/$CP$753)</f>
        <v>298.71428571428572</v>
      </c>
      <c r="DY635" s="1369"/>
      <c r="DZ635" s="1369"/>
      <c r="EA635" s="1369"/>
      <c r="EB635" s="1369"/>
      <c r="EC635" s="1369" t="e">
        <f t="shared" ref="EC635:EC669" si="3">FE718*(CU718/$CU$753)</f>
        <v>#VALUE!</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3" customHeight="1">
      <c r="B636" s="52" t="s">
        <v>647</v>
      </c>
      <c r="C636" s="1468"/>
      <c r="D636" s="1468"/>
      <c r="E636" s="1468"/>
      <c r="F636" s="1468"/>
      <c r="G636" s="1468"/>
      <c r="H636" s="1468"/>
      <c r="I636" s="1468"/>
      <c r="J636" s="1468"/>
      <c r="K636" s="1468"/>
      <c r="L636" s="1468"/>
      <c r="M636" s="1473" t="s">
        <v>1184</v>
      </c>
      <c r="N636" s="1473"/>
      <c r="O636" s="1473"/>
      <c r="P636" s="1473"/>
      <c r="Q636" s="1478"/>
      <c r="R636" s="1479"/>
      <c r="S636" s="1480"/>
      <c r="T636" s="1478"/>
      <c r="U636" s="1479"/>
      <c r="V636" s="1480"/>
      <c r="W636" s="1475"/>
      <c r="X636" s="1476"/>
      <c r="Y636" s="1477"/>
      <c r="Z636" s="1459" t="s">
        <v>1184</v>
      </c>
      <c r="AA636" s="1460"/>
      <c r="AB636" s="1461"/>
      <c r="AC636" s="1416"/>
      <c r="AD636" s="1417"/>
      <c r="AE636" s="1418"/>
      <c r="AF636" s="1469"/>
      <c r="AG636" s="1470"/>
      <c r="AH636" s="1470"/>
      <c r="AI636" s="1470"/>
      <c r="AJ636" s="1471"/>
      <c r="AK636" s="1679"/>
      <c r="AL636" s="1680"/>
      <c r="AM636" s="1680"/>
      <c r="AN636" s="1681"/>
      <c r="AO636" s="1464"/>
      <c r="AP636" s="1465"/>
      <c r="AQ636" s="1465"/>
      <c r="AR636" s="1465"/>
      <c r="AS636" s="1466"/>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f t="shared" si="2"/>
        <v>1092</v>
      </c>
      <c r="DY636" s="1369"/>
      <c r="DZ636" s="1369"/>
      <c r="EA636" s="1369"/>
      <c r="EB636" s="1369"/>
      <c r="EC636" s="1369" t="e">
        <f t="shared" si="3"/>
        <v>#VALUE!</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3" customHeight="1">
      <c r="B637" s="52" t="s">
        <v>362</v>
      </c>
      <c r="C637" s="1468"/>
      <c r="D637" s="1468"/>
      <c r="E637" s="1468"/>
      <c r="F637" s="1468"/>
      <c r="G637" s="1468"/>
      <c r="H637" s="1468"/>
      <c r="I637" s="1468"/>
      <c r="J637" s="1468"/>
      <c r="K637" s="1468"/>
      <c r="L637" s="1468"/>
      <c r="M637" s="1473" t="s">
        <v>1184</v>
      </c>
      <c r="N637" s="1473"/>
      <c r="O637" s="1473"/>
      <c r="P637" s="1473"/>
      <c r="Q637" s="1478"/>
      <c r="R637" s="1479"/>
      <c r="S637" s="1480"/>
      <c r="T637" s="1478"/>
      <c r="U637" s="1479"/>
      <c r="V637" s="1480"/>
      <c r="W637" s="1475"/>
      <c r="X637" s="1476"/>
      <c r="Y637" s="1477"/>
      <c r="Z637" s="1459" t="s">
        <v>1184</v>
      </c>
      <c r="AA637" s="1460"/>
      <c r="AB637" s="1461"/>
      <c r="AC637" s="1416"/>
      <c r="AD637" s="1417"/>
      <c r="AE637" s="1418"/>
      <c r="AF637" s="1469"/>
      <c r="AG637" s="1470"/>
      <c r="AH637" s="1470"/>
      <c r="AI637" s="1470"/>
      <c r="AJ637" s="1471"/>
      <c r="AK637" s="1679"/>
      <c r="AL637" s="1680"/>
      <c r="AM637" s="1680"/>
      <c r="AN637" s="1681"/>
      <c r="AO637" s="1464"/>
      <c r="AP637" s="1465"/>
      <c r="AQ637" s="1465"/>
      <c r="AR637" s="1465"/>
      <c r="AS637" s="1466"/>
      <c r="AT637" s="1150"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332.48120300751879</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3" customHeight="1">
      <c r="B638" s="52" t="s">
        <v>363</v>
      </c>
      <c r="C638" s="1468"/>
      <c r="D638" s="1468"/>
      <c r="E638" s="1468"/>
      <c r="F638" s="1468"/>
      <c r="G638" s="1468"/>
      <c r="H638" s="1468"/>
      <c r="I638" s="1468"/>
      <c r="J638" s="1468"/>
      <c r="K638" s="1468"/>
      <c r="L638" s="1468"/>
      <c r="M638" s="1473" t="s">
        <v>1184</v>
      </c>
      <c r="N638" s="1473"/>
      <c r="O638" s="1473"/>
      <c r="P638" s="1473"/>
      <c r="Q638" s="1478"/>
      <c r="R638" s="1479"/>
      <c r="S638" s="1480"/>
      <c r="T638" s="1478"/>
      <c r="U638" s="1479"/>
      <c r="V638" s="1480"/>
      <c r="W638" s="1475"/>
      <c r="X638" s="1476"/>
      <c r="Y638" s="1477"/>
      <c r="Z638" s="1459" t="s">
        <v>1184</v>
      </c>
      <c r="AA638" s="1460"/>
      <c r="AB638" s="1461"/>
      <c r="AC638" s="1416"/>
      <c r="AD638" s="1417"/>
      <c r="AE638" s="1418"/>
      <c r="AF638" s="1469"/>
      <c r="AG638" s="1470"/>
      <c r="AH638" s="1470"/>
      <c r="AI638" s="1470"/>
      <c r="AJ638" s="1471"/>
      <c r="AK638" s="1679"/>
      <c r="AL638" s="1680"/>
      <c r="AM638" s="1680"/>
      <c r="AN638" s="1681"/>
      <c r="AO638" s="1464"/>
      <c r="AP638" s="1465"/>
      <c r="AQ638" s="1465"/>
      <c r="AR638" s="1465"/>
      <c r="AS638" s="1466"/>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1118.0526315789475</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3" customHeight="1">
      <c r="B639" s="1425" t="s">
        <v>128</v>
      </c>
      <c r="C639" s="1426"/>
      <c r="D639" s="1426"/>
      <c r="E639" s="1426"/>
      <c r="F639" s="1426"/>
      <c r="G639" s="1426"/>
      <c r="H639" s="1426"/>
      <c r="I639" s="1426"/>
      <c r="J639" s="1426"/>
      <c r="K639" s="1426"/>
      <c r="L639" s="1426"/>
      <c r="M639" s="1426"/>
      <c r="N639" s="1426"/>
      <c r="O639" s="1426"/>
      <c r="P639" s="1426"/>
      <c r="Q639" s="1426"/>
      <c r="R639" s="1426"/>
      <c r="S639" s="1426"/>
      <c r="T639" s="1426"/>
      <c r="U639" s="1426"/>
      <c r="V639" s="1426"/>
      <c r="W639" s="1426"/>
      <c r="X639" s="1426"/>
      <c r="Y639" s="1426"/>
      <c r="Z639" s="1426"/>
      <c r="AA639" s="1426"/>
      <c r="AB639" s="1426"/>
      <c r="AC639" s="1426"/>
      <c r="AD639" s="1426"/>
      <c r="AE639" s="1426"/>
      <c r="AF639" s="1426"/>
      <c r="AG639" s="1426"/>
      <c r="AH639" s="1426"/>
      <c r="AI639" s="1426"/>
      <c r="AJ639" s="1426"/>
      <c r="AK639" s="1426"/>
      <c r="AL639" s="1426"/>
      <c r="AM639" s="1426"/>
      <c r="AN639" s="1428"/>
      <c r="AO639" s="1408">
        <f>SUM(AO627:AR638)</f>
        <v>72882967</v>
      </c>
      <c r="AP639" s="1409"/>
      <c r="AQ639" s="1409"/>
      <c r="AR639" s="1409"/>
      <c r="AS639" s="1410"/>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309.18918918918922</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3" customHeight="1">
      <c r="B640" s="1425" t="s">
        <v>267</v>
      </c>
      <c r="C640" s="1426"/>
      <c r="D640" s="1426"/>
      <c r="E640" s="1426"/>
      <c r="F640" s="1426"/>
      <c r="G640" s="1426"/>
      <c r="H640" s="1426"/>
      <c r="I640" s="1426"/>
      <c r="J640" s="1426"/>
      <c r="K640" s="1426"/>
      <c r="L640" s="1426"/>
      <c r="M640" s="1426"/>
      <c r="N640" s="1426"/>
      <c r="O640" s="1426"/>
      <c r="P640" s="1426"/>
      <c r="Q640" s="1426"/>
      <c r="R640" s="1426"/>
      <c r="S640" s="1426"/>
      <c r="T640" s="1426"/>
      <c r="U640" s="1426"/>
      <c r="V640" s="1426"/>
      <c r="W640" s="1426"/>
      <c r="X640" s="1426"/>
      <c r="Y640" s="1426"/>
      <c r="Z640" s="1426"/>
      <c r="AA640" s="1426"/>
      <c r="AB640" s="1426"/>
      <c r="AC640" s="1426"/>
      <c r="AD640" s="1426"/>
      <c r="AE640" s="1426"/>
      <c r="AF640" s="1426"/>
      <c r="AG640" s="1426"/>
      <c r="AH640" s="1426"/>
      <c r="AI640" s="1426"/>
      <c r="AJ640" s="1426"/>
      <c r="AK640" s="1426"/>
      <c r="AL640" s="1426"/>
      <c r="AM640" s="1426"/>
      <c r="AN640" s="1428"/>
      <c r="AO640" s="1464">
        <v>36976572</v>
      </c>
      <c r="AP640" s="1465"/>
      <c r="AQ640" s="1465"/>
      <c r="AR640" s="1465"/>
      <c r="AS640" s="1466"/>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40.648648648648653</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3" customHeight="1">
      <c r="B641" s="1696" t="s">
        <v>268</v>
      </c>
      <c r="C641" s="1427"/>
      <c r="D641" s="1427"/>
      <c r="E641" s="1427"/>
      <c r="F641" s="1427"/>
      <c r="G641" s="1427"/>
      <c r="H641" s="1427"/>
      <c r="I641" s="1427"/>
      <c r="J641" s="1427"/>
      <c r="K641" s="1427"/>
      <c r="L641" s="1427"/>
      <c r="M641" s="1427"/>
      <c r="N641" s="1427"/>
      <c r="O641" s="1427"/>
      <c r="P641" s="1427"/>
      <c r="Q641" s="1427"/>
      <c r="R641" s="1427"/>
      <c r="S641" s="1427"/>
      <c r="T641" s="1427"/>
      <c r="U641" s="1427"/>
      <c r="V641" s="1427"/>
      <c r="W641" s="1427"/>
      <c r="X641" s="1427"/>
      <c r="Y641" s="1427"/>
      <c r="Z641" s="1427"/>
      <c r="AA641" s="1427"/>
      <c r="AB641" s="1427"/>
      <c r="AC641" s="1427"/>
      <c r="AD641" s="1427"/>
      <c r="AE641" s="1427"/>
      <c r="AF641" s="1427"/>
      <c r="AG641" s="1427"/>
      <c r="AH641" s="1427"/>
      <c r="AI641" s="1427"/>
      <c r="AJ641" s="1427"/>
      <c r="AK641" s="1427"/>
      <c r="AL641" s="1427"/>
      <c r="AM641" s="1427"/>
      <c r="AN641" s="1697"/>
      <c r="AO641" s="1408">
        <f>AO639+AO640</f>
        <v>109859539</v>
      </c>
      <c r="AP641" s="1409"/>
      <c r="AQ641" s="1409"/>
      <c r="AR641" s="1409"/>
      <c r="AS641" s="1410"/>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1516.7567567567567</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t="e">
        <f t="shared" si="4"/>
        <v>#VALUE!</v>
      </c>
      <c r="EI642" s="1369"/>
      <c r="EJ642" s="1369"/>
      <c r="EK642" s="1369"/>
      <c r="EL642" s="1369"/>
      <c r="EM642" s="1369">
        <f t="shared" si="5"/>
        <v>274.35416666666663</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3" customHeight="1">
      <c r="A643" s="55" t="s">
        <v>112</v>
      </c>
      <c r="B643" t="s">
        <v>464</v>
      </c>
      <c r="G643" s="1463" t="str">
        <f>C627</f>
        <v>Citibank</v>
      </c>
      <c r="H643" s="1463"/>
      <c r="I643" s="1463"/>
      <c r="J643" s="1463"/>
      <c r="K643" s="1463"/>
      <c r="L643" s="1463"/>
      <c r="M643" s="1463"/>
      <c r="N643" s="1463"/>
      <c r="O643" s="1463"/>
      <c r="P643" s="1463"/>
      <c r="Q643" s="1463"/>
      <c r="R643" s="1463"/>
      <c r="S643" s="8"/>
      <c r="T643" s="55" t="s">
        <v>113</v>
      </c>
      <c r="U643" t="s">
        <v>464</v>
      </c>
      <c r="Z643" s="1463" t="str">
        <f>C628</f>
        <v>1055 Seventh, LLC - Seller Carryback</v>
      </c>
      <c r="AA643" s="1463"/>
      <c r="AB643" s="1463"/>
      <c r="AC643" s="1463"/>
      <c r="AD643" s="1463"/>
      <c r="AE643" s="1463"/>
      <c r="AF643" s="1463"/>
      <c r="AG643" s="1463"/>
      <c r="AH643" s="1463"/>
      <c r="AI643" s="1463"/>
      <c r="AJ643" s="1463"/>
      <c r="AK643" s="146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f t="shared" si="5"/>
        <v>2054.0625</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3" customHeight="1">
      <c r="A644" s="22"/>
      <c r="B644" t="s">
        <v>85</v>
      </c>
      <c r="G644" s="1393" t="s">
        <v>2708</v>
      </c>
      <c r="H644" s="1393"/>
      <c r="I644" s="1393"/>
      <c r="J644" s="1393"/>
      <c r="K644" s="1393"/>
      <c r="L644" s="1393"/>
      <c r="M644" s="1393"/>
      <c r="N644" s="1393"/>
      <c r="O644" s="1393"/>
      <c r="P644" s="1393"/>
      <c r="Q644" s="1393"/>
      <c r="R644" s="1393"/>
      <c r="S644" s="8"/>
      <c r="T644" s="22"/>
      <c r="U644" t="s">
        <v>85</v>
      </c>
      <c r="Z644" s="1393" t="s">
        <v>2703</v>
      </c>
      <c r="AA644" s="1393"/>
      <c r="AB644" s="1393"/>
      <c r="AC644" s="1393"/>
      <c r="AD644" s="1393"/>
      <c r="AE644" s="1393"/>
      <c r="AF644" s="1393"/>
      <c r="AG644" s="1393"/>
      <c r="AH644" s="1393"/>
      <c r="AI644" s="1393"/>
      <c r="AJ644" s="1393"/>
      <c r="AK644" s="1393"/>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3" customHeight="1">
      <c r="A645" s="22"/>
      <c r="B645" t="s">
        <v>581</v>
      </c>
      <c r="G645" s="1393" t="s">
        <v>2623</v>
      </c>
      <c r="H645" s="1393"/>
      <c r="I645" s="1393"/>
      <c r="J645" s="1393"/>
      <c r="K645" s="1393"/>
      <c r="L645" s="1393"/>
      <c r="M645" s="1393"/>
      <c r="N645" s="1393"/>
      <c r="O645" s="1393"/>
      <c r="P645" s="1393"/>
      <c r="Q645" s="1393"/>
      <c r="R645" s="1393"/>
      <c r="T645" s="22"/>
      <c r="U645" t="s">
        <v>581</v>
      </c>
      <c r="Z645" s="1400" t="s">
        <v>2621</v>
      </c>
      <c r="AA645" s="1400"/>
      <c r="AB645" s="1400"/>
      <c r="AC645" s="1400"/>
      <c r="AD645" s="1400"/>
      <c r="AE645" s="1400"/>
      <c r="AF645" s="1400"/>
      <c r="AG645" s="1400"/>
      <c r="AH645" s="1400"/>
      <c r="AI645" s="1400"/>
      <c r="AJ645" s="1400"/>
      <c r="AK645" s="1400"/>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3" customHeight="1">
      <c r="A646" s="22"/>
      <c r="B646" t="s">
        <v>17</v>
      </c>
      <c r="G646" s="1393" t="s">
        <v>2709</v>
      </c>
      <c r="H646" s="1393"/>
      <c r="I646" s="1393"/>
      <c r="J646" s="1393"/>
      <c r="K646" s="1393"/>
      <c r="L646" s="1393"/>
      <c r="M646" s="1393"/>
      <c r="N646" s="1393"/>
      <c r="O646" s="1393"/>
      <c r="P646" s="1393"/>
      <c r="Q646" s="1393"/>
      <c r="R646" s="1393"/>
      <c r="S646" s="8"/>
      <c r="T646" s="22"/>
      <c r="U646" t="s">
        <v>17</v>
      </c>
      <c r="Z646" s="1400" t="s">
        <v>2665</v>
      </c>
      <c r="AA646" s="1400"/>
      <c r="AB646" s="1400"/>
      <c r="AC646" s="1400"/>
      <c r="AD646" s="1400"/>
      <c r="AE646" s="1400"/>
      <c r="AF646" s="1400"/>
      <c r="AG646" s="1400"/>
      <c r="AH646" s="1400"/>
      <c r="AI646" s="1400"/>
      <c r="AJ646" s="1400"/>
      <c r="AK646" s="1400"/>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3" customHeight="1">
      <c r="A647" s="22"/>
      <c r="B647" t="s">
        <v>316</v>
      </c>
      <c r="G647" s="1547" t="s">
        <v>2710</v>
      </c>
      <c r="H647" s="1547"/>
      <c r="I647" s="1547"/>
      <c r="J647" s="1547"/>
      <c r="K647" s="1547"/>
      <c r="L647" s="1547"/>
      <c r="O647" s="33" t="s">
        <v>206</v>
      </c>
      <c r="P647" s="1445"/>
      <c r="Q647" s="1445"/>
      <c r="R647" s="1445"/>
      <c r="S647" s="10"/>
      <c r="T647" s="22"/>
      <c r="U647" t="s">
        <v>316</v>
      </c>
      <c r="Z647" s="1462" t="s">
        <v>2666</v>
      </c>
      <c r="AA647" s="1462"/>
      <c r="AB647" s="1462"/>
      <c r="AC647" s="1462"/>
      <c r="AD647" s="1462"/>
      <c r="AE647" s="1462"/>
      <c r="AH647" s="33" t="s">
        <v>206</v>
      </c>
      <c r="AI647" s="1445"/>
      <c r="AJ647" s="1445"/>
      <c r="AK647" s="1445"/>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3" customHeight="1">
      <c r="A648" s="22"/>
      <c r="B648" t="s">
        <v>18</v>
      </c>
      <c r="H648" s="1393" t="s">
        <v>2712</v>
      </c>
      <c r="I648" s="1393"/>
      <c r="J648" s="1393"/>
      <c r="K648" s="1393"/>
      <c r="L648" s="1393"/>
      <c r="M648" s="1393"/>
      <c r="N648" s="1393"/>
      <c r="O648" s="1393"/>
      <c r="P648" s="1393"/>
      <c r="Q648" s="1393"/>
      <c r="R648" s="1393"/>
      <c r="S648" s="8"/>
      <c r="T648" s="22"/>
      <c r="U648" t="s">
        <v>18</v>
      </c>
      <c r="AA648" s="1393" t="s">
        <v>2654</v>
      </c>
      <c r="AB648" s="1393"/>
      <c r="AC648" s="1393"/>
      <c r="AD648" s="1393"/>
      <c r="AE648" s="1393"/>
      <c r="AF648" s="1393"/>
      <c r="AG648" s="1393"/>
      <c r="AH648" s="1393"/>
      <c r="AI648" s="1393"/>
      <c r="AJ648" s="1393"/>
      <c r="AK648" s="1393"/>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3" customHeight="1">
      <c r="A649" s="22"/>
      <c r="B649" t="s">
        <v>20</v>
      </c>
      <c r="N649" s="1397" t="s">
        <v>546</v>
      </c>
      <c r="O649" s="1397"/>
      <c r="T649" s="22"/>
      <c r="U649" t="s">
        <v>20</v>
      </c>
      <c r="AG649" s="1397" t="s">
        <v>546</v>
      </c>
      <c r="AH649" s="1397"/>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3"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3" customHeight="1">
      <c r="A651" s="55" t="s">
        <v>119</v>
      </c>
      <c r="B651" t="s">
        <v>464</v>
      </c>
      <c r="G651" s="1463" t="str">
        <f>C629</f>
        <v>Gramercy Park Holdings, LP</v>
      </c>
      <c r="H651" s="1463"/>
      <c r="I651" s="1463"/>
      <c r="J651" s="1463"/>
      <c r="K651" s="1463"/>
      <c r="L651" s="1463"/>
      <c r="M651" s="1463"/>
      <c r="N651" s="1463"/>
      <c r="O651" s="1463"/>
      <c r="P651" s="1463"/>
      <c r="Q651" s="1463"/>
      <c r="R651" s="1463"/>
      <c r="T651" s="55" t="s">
        <v>582</v>
      </c>
      <c r="U651" t="s">
        <v>464</v>
      </c>
      <c r="Z651" s="1463" t="str">
        <f>C630</f>
        <v>Deferred Developer Fee</v>
      </c>
      <c r="AA651" s="1463"/>
      <c r="AB651" s="1463"/>
      <c r="AC651" s="1463"/>
      <c r="AD651" s="1463"/>
      <c r="AE651" s="1463"/>
      <c r="AF651" s="1463"/>
      <c r="AG651" s="1463"/>
      <c r="AH651" s="1463"/>
      <c r="AI651" s="1463"/>
      <c r="AJ651" s="1463"/>
      <c r="AK651" s="146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3" customHeight="1">
      <c r="A652" s="22"/>
      <c r="B652" t="s">
        <v>85</v>
      </c>
      <c r="G652" s="1393" t="s">
        <v>2703</v>
      </c>
      <c r="H652" s="1393"/>
      <c r="I652" s="1393"/>
      <c r="J652" s="1393"/>
      <c r="K652" s="1393"/>
      <c r="L652" s="1393"/>
      <c r="M652" s="1393"/>
      <c r="N652" s="1393"/>
      <c r="O652" s="1393"/>
      <c r="P652" s="1393"/>
      <c r="Q652" s="1393"/>
      <c r="R652" s="1393"/>
      <c r="T652" s="22"/>
      <c r="U652" t="s">
        <v>85</v>
      </c>
      <c r="Z652" s="1393" t="s">
        <v>2703</v>
      </c>
      <c r="AA652" s="1393"/>
      <c r="AB652" s="1393"/>
      <c r="AC652" s="1393"/>
      <c r="AD652" s="1393"/>
      <c r="AE652" s="1393"/>
      <c r="AF652" s="1393"/>
      <c r="AG652" s="1393"/>
      <c r="AH652" s="1393"/>
      <c r="AI652" s="1393"/>
      <c r="AJ652" s="1393"/>
      <c r="AK652" s="1393"/>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3" customHeight="1">
      <c r="A653" s="22"/>
      <c r="B653" t="s">
        <v>581</v>
      </c>
      <c r="G653" s="1400" t="s">
        <v>2621</v>
      </c>
      <c r="H653" s="1400"/>
      <c r="I653" s="1400"/>
      <c r="J653" s="1400"/>
      <c r="K653" s="1400"/>
      <c r="L653" s="1400"/>
      <c r="M653" s="1400"/>
      <c r="N653" s="1400"/>
      <c r="O653" s="1400"/>
      <c r="P653" s="1400"/>
      <c r="Q653" s="1400"/>
      <c r="R653" s="1400"/>
      <c r="T653" s="22"/>
      <c r="U653" t="s">
        <v>581</v>
      </c>
      <c r="Z653" s="1400" t="s">
        <v>2621</v>
      </c>
      <c r="AA653" s="1400"/>
      <c r="AB653" s="1400"/>
      <c r="AC653" s="1400"/>
      <c r="AD653" s="1400"/>
      <c r="AE653" s="1400"/>
      <c r="AF653" s="1400"/>
      <c r="AG653" s="1400"/>
      <c r="AH653" s="1400"/>
      <c r="AI653" s="1400"/>
      <c r="AJ653" s="1400"/>
      <c r="AK653" s="1400"/>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3" customHeight="1">
      <c r="A654" s="22"/>
      <c r="B654" t="s">
        <v>17</v>
      </c>
      <c r="G654" s="1400" t="s">
        <v>2665</v>
      </c>
      <c r="H654" s="1400"/>
      <c r="I654" s="1400"/>
      <c r="J654" s="1400"/>
      <c r="K654" s="1400"/>
      <c r="L654" s="1400"/>
      <c r="M654" s="1400"/>
      <c r="N654" s="1400"/>
      <c r="O654" s="1400"/>
      <c r="P654" s="1400"/>
      <c r="Q654" s="1400"/>
      <c r="R654" s="1400"/>
      <c r="T654" s="22"/>
      <c r="U654" t="s">
        <v>17</v>
      </c>
      <c r="Z654" s="1400" t="s">
        <v>2665</v>
      </c>
      <c r="AA654" s="1400"/>
      <c r="AB654" s="1400"/>
      <c r="AC654" s="1400"/>
      <c r="AD654" s="1400"/>
      <c r="AE654" s="1400"/>
      <c r="AF654" s="1400"/>
      <c r="AG654" s="1400"/>
      <c r="AH654" s="1400"/>
      <c r="AI654" s="1400"/>
      <c r="AJ654" s="1400"/>
      <c r="AK654" s="1400"/>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3" customHeight="1">
      <c r="A655" s="22"/>
      <c r="B655" t="s">
        <v>316</v>
      </c>
      <c r="G655" s="1462" t="s">
        <v>2666</v>
      </c>
      <c r="H655" s="1462"/>
      <c r="I655" s="1462"/>
      <c r="J655" s="1462"/>
      <c r="K655" s="1462"/>
      <c r="L655" s="1462"/>
      <c r="O655" s="33" t="s">
        <v>206</v>
      </c>
      <c r="P655" s="1445"/>
      <c r="Q655" s="1445"/>
      <c r="R655" s="1445"/>
      <c r="T655" s="22"/>
      <c r="U655" t="s">
        <v>316</v>
      </c>
      <c r="Z655" s="1462" t="s">
        <v>2666</v>
      </c>
      <c r="AA655" s="1462"/>
      <c r="AB655" s="1462"/>
      <c r="AC655" s="1462"/>
      <c r="AD655" s="1462"/>
      <c r="AE655" s="1462"/>
      <c r="AH655" s="33" t="s">
        <v>206</v>
      </c>
      <c r="AI655" s="1445"/>
      <c r="AJ655" s="1445"/>
      <c r="AK655" s="1445"/>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3" customHeight="1">
      <c r="A656" s="22"/>
      <c r="B656" t="s">
        <v>18</v>
      </c>
      <c r="H656" s="1393" t="s">
        <v>2656</v>
      </c>
      <c r="I656" s="1393"/>
      <c r="J656" s="1393"/>
      <c r="K656" s="1393"/>
      <c r="L656" s="1393"/>
      <c r="M656" s="1393"/>
      <c r="N656" s="1393"/>
      <c r="O656" s="1393"/>
      <c r="P656" s="1393"/>
      <c r="Q656" s="1393"/>
      <c r="R656" s="1393"/>
      <c r="T656" s="22"/>
      <c r="U656" t="s">
        <v>18</v>
      </c>
      <c r="AA656" s="1393" t="s">
        <v>2324</v>
      </c>
      <c r="AB656" s="1393"/>
      <c r="AC656" s="1393"/>
      <c r="AD656" s="1393"/>
      <c r="AE656" s="1393"/>
      <c r="AF656" s="1393"/>
      <c r="AG656" s="1393"/>
      <c r="AH656" s="1393"/>
      <c r="AI656" s="1393"/>
      <c r="AJ656" s="1393"/>
      <c r="AK656" s="1393"/>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3" customHeight="1">
      <c r="A657" s="22"/>
      <c r="B657" t="s">
        <v>20</v>
      </c>
      <c r="N657" s="1397" t="s">
        <v>546</v>
      </c>
      <c r="O657" s="1397"/>
      <c r="T657" s="22"/>
      <c r="U657" t="s">
        <v>20</v>
      </c>
      <c r="AG657" s="1397" t="s">
        <v>546</v>
      </c>
      <c r="AH657" s="1397"/>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3"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3" customHeight="1">
      <c r="A659" s="55" t="s">
        <v>764</v>
      </c>
      <c r="B659" t="s">
        <v>464</v>
      </c>
      <c r="G659" s="1463">
        <f>C631</f>
        <v>0</v>
      </c>
      <c r="H659" s="1463"/>
      <c r="I659" s="1463"/>
      <c r="J659" s="1463"/>
      <c r="K659" s="1463"/>
      <c r="L659" s="1463"/>
      <c r="M659" s="1463"/>
      <c r="N659" s="1463"/>
      <c r="O659" s="1463"/>
      <c r="P659" s="1463"/>
      <c r="Q659" s="1463"/>
      <c r="R659" s="1463"/>
      <c r="T659" s="55" t="s">
        <v>585</v>
      </c>
      <c r="U659" t="s">
        <v>464</v>
      </c>
      <c r="Z659" s="1463">
        <f>C632</f>
        <v>0</v>
      </c>
      <c r="AA659" s="1463"/>
      <c r="AB659" s="1463"/>
      <c r="AC659" s="1463"/>
      <c r="AD659" s="1463"/>
      <c r="AE659" s="1463"/>
      <c r="AF659" s="1463"/>
      <c r="AG659" s="1463"/>
      <c r="AH659" s="1463"/>
      <c r="AI659" s="1463"/>
      <c r="AJ659" s="1463"/>
      <c r="AK659" s="146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3" customHeight="1">
      <c r="A660" s="22"/>
      <c r="B660" t="s">
        <v>85</v>
      </c>
      <c r="G660" s="1393"/>
      <c r="H660" s="1393"/>
      <c r="I660" s="1393"/>
      <c r="J660" s="1393"/>
      <c r="K660" s="1393"/>
      <c r="L660" s="1393"/>
      <c r="M660" s="1393"/>
      <c r="N660" s="1393"/>
      <c r="O660" s="1393"/>
      <c r="P660" s="1393"/>
      <c r="Q660" s="1393"/>
      <c r="R660" s="1393"/>
      <c r="T660" s="22"/>
      <c r="U660" t="s">
        <v>85</v>
      </c>
      <c r="Z660" s="1393"/>
      <c r="AA660" s="1393"/>
      <c r="AB660" s="1393"/>
      <c r="AC660" s="1393"/>
      <c r="AD660" s="1393"/>
      <c r="AE660" s="1393"/>
      <c r="AF660" s="1393"/>
      <c r="AG660" s="1393"/>
      <c r="AH660" s="1393"/>
      <c r="AI660" s="1393"/>
      <c r="AJ660" s="1393"/>
      <c r="AK660" s="1393"/>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3" customHeight="1">
      <c r="A661" s="22"/>
      <c r="B661" t="s">
        <v>581</v>
      </c>
      <c r="G661" s="1393"/>
      <c r="H661" s="1393"/>
      <c r="I661" s="1393"/>
      <c r="J661" s="1393"/>
      <c r="K661" s="1393"/>
      <c r="L661" s="1393"/>
      <c r="M661" s="1393"/>
      <c r="N661" s="1393"/>
      <c r="O661" s="1393"/>
      <c r="P661" s="1393"/>
      <c r="Q661" s="1393"/>
      <c r="R661" s="1393"/>
      <c r="T661" s="22"/>
      <c r="U661" t="s">
        <v>581</v>
      </c>
      <c r="Z661" s="1400"/>
      <c r="AA661" s="1400"/>
      <c r="AB661" s="1400"/>
      <c r="AC661" s="1400"/>
      <c r="AD661" s="1400"/>
      <c r="AE661" s="1400"/>
      <c r="AF661" s="1400"/>
      <c r="AG661" s="1400"/>
      <c r="AH661" s="1400"/>
      <c r="AI661" s="1400"/>
      <c r="AJ661" s="1400"/>
      <c r="AK661" s="1400"/>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3" customHeight="1">
      <c r="A662" s="22"/>
      <c r="B662" t="s">
        <v>17</v>
      </c>
      <c r="G662" s="1393"/>
      <c r="H662" s="1393"/>
      <c r="I662" s="1393"/>
      <c r="J662" s="1393"/>
      <c r="K662" s="1393"/>
      <c r="L662" s="1393"/>
      <c r="M662" s="1393"/>
      <c r="N662" s="1393"/>
      <c r="O662" s="1393"/>
      <c r="P662" s="1393"/>
      <c r="Q662" s="1393"/>
      <c r="R662" s="1393"/>
      <c r="T662" s="22"/>
      <c r="U662" t="s">
        <v>17</v>
      </c>
      <c r="Z662" s="1400"/>
      <c r="AA662" s="1400"/>
      <c r="AB662" s="1400"/>
      <c r="AC662" s="1400"/>
      <c r="AD662" s="1400"/>
      <c r="AE662" s="1400"/>
      <c r="AF662" s="1400"/>
      <c r="AG662" s="1400"/>
      <c r="AH662" s="1400"/>
      <c r="AI662" s="1400"/>
      <c r="AJ662" s="1400"/>
      <c r="AK662" s="140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3" customHeight="1">
      <c r="A663" s="22"/>
      <c r="B663" t="s">
        <v>316</v>
      </c>
      <c r="G663" s="1462"/>
      <c r="H663" s="1462"/>
      <c r="I663" s="1462"/>
      <c r="J663" s="1462"/>
      <c r="K663" s="1462"/>
      <c r="L663" s="1462"/>
      <c r="O663" s="33" t="s">
        <v>206</v>
      </c>
      <c r="P663" s="1445"/>
      <c r="Q663" s="1445"/>
      <c r="R663" s="1445"/>
      <c r="T663" s="22"/>
      <c r="U663" t="s">
        <v>316</v>
      </c>
      <c r="Z663" s="1462"/>
      <c r="AA663" s="1462"/>
      <c r="AB663" s="1462"/>
      <c r="AC663" s="1462"/>
      <c r="AD663" s="1462"/>
      <c r="AE663" s="1462"/>
      <c r="AH663" s="33" t="s">
        <v>206</v>
      </c>
      <c r="AI663" s="1445"/>
      <c r="AJ663" s="1445"/>
      <c r="AK663" s="144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3" customHeight="1">
      <c r="A664" s="22"/>
      <c r="B664" t="s">
        <v>18</v>
      </c>
      <c r="H664" s="1393"/>
      <c r="I664" s="1393"/>
      <c r="J664" s="1393"/>
      <c r="K664" s="1393"/>
      <c r="L664" s="1393"/>
      <c r="M664" s="1393"/>
      <c r="N664" s="1393"/>
      <c r="O664" s="1393"/>
      <c r="P664" s="1393"/>
      <c r="Q664" s="1393"/>
      <c r="R664" s="1393"/>
      <c r="T664" s="22"/>
      <c r="U664" t="s">
        <v>18</v>
      </c>
      <c r="AA664" s="1393"/>
      <c r="AB664" s="1393"/>
      <c r="AC664" s="1393"/>
      <c r="AD664" s="1393"/>
      <c r="AE664" s="1393"/>
      <c r="AF664" s="1393"/>
      <c r="AG664" s="1393"/>
      <c r="AH664" s="1393"/>
      <c r="AI664" s="1393"/>
      <c r="AJ664" s="1393"/>
      <c r="AK664" s="139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3" customHeight="1">
      <c r="A665" s="22"/>
      <c r="B665" t="s">
        <v>20</v>
      </c>
      <c r="N665" s="1397" t="s">
        <v>670</v>
      </c>
      <c r="O665" s="1397"/>
      <c r="T665" s="22"/>
      <c r="U665" t="s">
        <v>20</v>
      </c>
      <c r="AG665" s="1397" t="s">
        <v>670</v>
      </c>
      <c r="AH665" s="139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3" customHeight="1">
      <c r="A667" s="55" t="s">
        <v>456</v>
      </c>
      <c r="B667" t="s">
        <v>464</v>
      </c>
      <c r="G667" s="1463">
        <f>C633</f>
        <v>0</v>
      </c>
      <c r="H667" s="1463"/>
      <c r="I667" s="1463"/>
      <c r="J667" s="1463"/>
      <c r="K667" s="1463"/>
      <c r="L667" s="1463"/>
      <c r="M667" s="1463"/>
      <c r="N667" s="1463"/>
      <c r="O667" s="1463"/>
      <c r="P667" s="1463"/>
      <c r="Q667" s="1463"/>
      <c r="R667" s="1463"/>
      <c r="T667" s="55" t="s">
        <v>457</v>
      </c>
      <c r="U667" t="s">
        <v>464</v>
      </c>
      <c r="Z667" s="1463">
        <f>C634</f>
        <v>0</v>
      </c>
      <c r="AA667" s="1463"/>
      <c r="AB667" s="1463"/>
      <c r="AC667" s="1463"/>
      <c r="AD667" s="1463"/>
      <c r="AE667" s="1463"/>
      <c r="AF667" s="1463"/>
      <c r="AG667" s="1463"/>
      <c r="AH667" s="1463"/>
      <c r="AI667" s="1463"/>
      <c r="AJ667" s="1463"/>
      <c r="AK667" s="146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3" customHeight="1">
      <c r="A668" s="22"/>
      <c r="B668" t="s">
        <v>85</v>
      </c>
      <c r="G668" s="1393"/>
      <c r="H668" s="1393"/>
      <c r="I668" s="1393"/>
      <c r="J668" s="1393"/>
      <c r="K668" s="1393"/>
      <c r="L668" s="1393"/>
      <c r="M668" s="1393"/>
      <c r="N668" s="1393"/>
      <c r="O668" s="1393"/>
      <c r="P668" s="1393"/>
      <c r="Q668" s="1393"/>
      <c r="R668" s="1393"/>
      <c r="T668" s="22"/>
      <c r="U668" t="s">
        <v>85</v>
      </c>
      <c r="Z668" s="1393"/>
      <c r="AA668" s="1393"/>
      <c r="AB668" s="1393"/>
      <c r="AC668" s="1393"/>
      <c r="AD668" s="1393"/>
      <c r="AE668" s="1393"/>
      <c r="AF668" s="1393"/>
      <c r="AG668" s="1393"/>
      <c r="AH668" s="1393"/>
      <c r="AI668" s="1393"/>
      <c r="AJ668" s="1393"/>
      <c r="AK668" s="139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3" customHeight="1">
      <c r="A669" s="22"/>
      <c r="B669" t="s">
        <v>581</v>
      </c>
      <c r="G669" s="1393"/>
      <c r="H669" s="1393"/>
      <c r="I669" s="1393"/>
      <c r="J669" s="1393"/>
      <c r="K669" s="1393"/>
      <c r="L669" s="1393"/>
      <c r="M669" s="1393"/>
      <c r="N669" s="1393"/>
      <c r="O669" s="1393"/>
      <c r="P669" s="1393"/>
      <c r="Q669" s="1393"/>
      <c r="R669" s="1393"/>
      <c r="T669" s="22"/>
      <c r="U669" t="s">
        <v>581</v>
      </c>
      <c r="Z669" s="1400"/>
      <c r="AA669" s="1400"/>
      <c r="AB669" s="1400"/>
      <c r="AC669" s="1400"/>
      <c r="AD669" s="1400"/>
      <c r="AE669" s="1400"/>
      <c r="AF669" s="1400"/>
      <c r="AG669" s="1400"/>
      <c r="AH669" s="1400"/>
      <c r="AI669" s="1400"/>
      <c r="AJ669" s="1400"/>
      <c r="AK669" s="140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3" customHeight="1">
      <c r="A670" s="22"/>
      <c r="B670" t="s">
        <v>17</v>
      </c>
      <c r="G670" s="1393"/>
      <c r="H670" s="1393"/>
      <c r="I670" s="1393"/>
      <c r="J670" s="1393"/>
      <c r="K670" s="1393"/>
      <c r="L670" s="1393"/>
      <c r="M670" s="1393"/>
      <c r="N670" s="1393"/>
      <c r="O670" s="1393"/>
      <c r="P670" s="1393"/>
      <c r="Q670" s="1393"/>
      <c r="R670" s="1393"/>
      <c r="T670" s="22"/>
      <c r="U670" t="s">
        <v>17</v>
      </c>
      <c r="Z670" s="1400"/>
      <c r="AA670" s="1400"/>
      <c r="AB670" s="1400"/>
      <c r="AC670" s="1400"/>
      <c r="AD670" s="1400"/>
      <c r="AE670" s="1400"/>
      <c r="AF670" s="1400"/>
      <c r="AG670" s="1400"/>
      <c r="AH670" s="1400"/>
      <c r="AI670" s="1400"/>
      <c r="AJ670" s="1400"/>
      <c r="AK670" s="140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1390.7142857142858</v>
      </c>
      <c r="DY670" s="1369"/>
      <c r="DZ670" s="1369"/>
      <c r="EA670" s="1369"/>
      <c r="EB670" s="1369"/>
      <c r="EC670" s="1369">
        <f>SUMIF(EC635:EG669,"&gt;0")</f>
        <v>1450.5338345864664</v>
      </c>
      <c r="ED670" s="1369"/>
      <c r="EE670" s="1369"/>
      <c r="EF670" s="1369"/>
      <c r="EG670" s="1369"/>
      <c r="EH670" s="1369">
        <f>SUMIF(EH635:EL669,"&gt;0")</f>
        <v>1866.5945945945946</v>
      </c>
      <c r="EI670" s="1369"/>
      <c r="EJ670" s="1369"/>
      <c r="EK670" s="1369"/>
      <c r="EL670" s="1369"/>
      <c r="EM670" s="1369">
        <f>SUMIF(EM635:EQ669,"&gt;0")</f>
        <v>2328.4166666666665</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3" customHeight="1">
      <c r="A671" s="22"/>
      <c r="B671" t="s">
        <v>316</v>
      </c>
      <c r="G671" s="1462"/>
      <c r="H671" s="1462"/>
      <c r="I671" s="1462"/>
      <c r="J671" s="1462"/>
      <c r="K671" s="1462"/>
      <c r="L671" s="1462"/>
      <c r="O671" s="33" t="s">
        <v>206</v>
      </c>
      <c r="P671" s="1445"/>
      <c r="Q671" s="1445"/>
      <c r="R671" s="1445"/>
      <c r="T671" s="22"/>
      <c r="U671" t="s">
        <v>316</v>
      </c>
      <c r="Z671" s="1462"/>
      <c r="AA671" s="1462"/>
      <c r="AB671" s="1462"/>
      <c r="AC671" s="1462"/>
      <c r="AD671" s="1462"/>
      <c r="AE671" s="1462"/>
      <c r="AH671" s="33" t="s">
        <v>206</v>
      </c>
      <c r="AI671" s="1445"/>
      <c r="AJ671" s="1445"/>
      <c r="AK671" s="144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93"/>
      <c r="I672" s="1393"/>
      <c r="J672" s="1393"/>
      <c r="K672" s="1393"/>
      <c r="L672" s="1393"/>
      <c r="M672" s="1393"/>
      <c r="N672" s="1393"/>
      <c r="O672" s="1393"/>
      <c r="P672" s="1393"/>
      <c r="Q672" s="1393"/>
      <c r="R672" s="1393"/>
      <c r="T672" s="22"/>
      <c r="U672" t="s">
        <v>18</v>
      </c>
      <c r="AA672" s="1393"/>
      <c r="AB672" s="1393"/>
      <c r="AC672" s="1393"/>
      <c r="AD672" s="1393"/>
      <c r="AE672" s="1393"/>
      <c r="AF672" s="1393"/>
      <c r="AG672" s="1393"/>
      <c r="AH672" s="1393"/>
      <c r="AI672" s="1393"/>
      <c r="AJ672" s="1393"/>
      <c r="AK672" s="139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97" t="s">
        <v>670</v>
      </c>
      <c r="O673" s="1397"/>
      <c r="T673" s="22"/>
      <c r="U673" t="s">
        <v>20</v>
      </c>
      <c r="AG673" s="1397" t="s">
        <v>670</v>
      </c>
      <c r="AH673" s="1397"/>
      <c r="AZ673" s="3"/>
    </row>
    <row r="674" spans="1:52" ht="13" customHeight="1">
      <c r="A674" s="22"/>
      <c r="T674" s="22"/>
      <c r="AZ674" s="3"/>
    </row>
    <row r="675" spans="1:52" ht="13" customHeight="1">
      <c r="A675" s="55" t="s">
        <v>462</v>
      </c>
      <c r="B675" t="s">
        <v>464</v>
      </c>
      <c r="G675" s="1463">
        <f>C635</f>
        <v>0</v>
      </c>
      <c r="H675" s="1463"/>
      <c r="I675" s="1463"/>
      <c r="J675" s="1463"/>
      <c r="K675" s="1463"/>
      <c r="L675" s="1463"/>
      <c r="M675" s="1463"/>
      <c r="N675" s="1463"/>
      <c r="O675" s="1463"/>
      <c r="P675" s="1463"/>
      <c r="Q675" s="1463"/>
      <c r="R675" s="1463"/>
      <c r="T675" s="55" t="s">
        <v>647</v>
      </c>
      <c r="U675" t="s">
        <v>464</v>
      </c>
      <c r="Z675" s="1463">
        <f>C636</f>
        <v>0</v>
      </c>
      <c r="AA675" s="1463"/>
      <c r="AB675" s="1463"/>
      <c r="AC675" s="1463"/>
      <c r="AD675" s="1463"/>
      <c r="AE675" s="1463"/>
      <c r="AF675" s="1463"/>
      <c r="AG675" s="1463"/>
      <c r="AH675" s="1463"/>
      <c r="AI675" s="1463"/>
      <c r="AJ675" s="1463"/>
      <c r="AK675" s="1463"/>
      <c r="AZ675" s="3"/>
    </row>
    <row r="676" spans="1:52" ht="13" customHeight="1">
      <c r="A676" s="22"/>
      <c r="B676" t="s">
        <v>85</v>
      </c>
      <c r="G676" s="1393"/>
      <c r="H676" s="1393"/>
      <c r="I676" s="1393"/>
      <c r="J676" s="1393"/>
      <c r="K676" s="1393"/>
      <c r="L676" s="1393"/>
      <c r="M676" s="1393"/>
      <c r="N676" s="1393"/>
      <c r="O676" s="1393"/>
      <c r="P676" s="1393"/>
      <c r="Q676" s="1393"/>
      <c r="R676" s="1393"/>
      <c r="T676" s="22"/>
      <c r="U676" t="s">
        <v>85</v>
      </c>
      <c r="Z676" s="1393"/>
      <c r="AA676" s="1393"/>
      <c r="AB676" s="1393"/>
      <c r="AC676" s="1393"/>
      <c r="AD676" s="1393"/>
      <c r="AE676" s="1393"/>
      <c r="AF676" s="1393"/>
      <c r="AG676" s="1393"/>
      <c r="AH676" s="1393"/>
      <c r="AI676" s="1393"/>
      <c r="AJ676" s="1393"/>
      <c r="AK676" s="1393"/>
      <c r="AZ676" s="3"/>
    </row>
    <row r="677" spans="1:52" ht="13" customHeight="1">
      <c r="A677" s="22"/>
      <c r="B677" t="s">
        <v>581</v>
      </c>
      <c r="G677" s="1393"/>
      <c r="H677" s="1393"/>
      <c r="I677" s="1393"/>
      <c r="J677" s="1393"/>
      <c r="K677" s="1393"/>
      <c r="L677" s="1393"/>
      <c r="M677" s="1393"/>
      <c r="N677" s="1393"/>
      <c r="O677" s="1393"/>
      <c r="P677" s="1393"/>
      <c r="Q677" s="1393"/>
      <c r="R677" s="1393"/>
      <c r="T677" s="22"/>
      <c r="U677" t="s">
        <v>581</v>
      </c>
      <c r="Z677" s="1400"/>
      <c r="AA677" s="1400"/>
      <c r="AB677" s="1400"/>
      <c r="AC677" s="1400"/>
      <c r="AD677" s="1400"/>
      <c r="AE677" s="1400"/>
      <c r="AF677" s="1400"/>
      <c r="AG677" s="1400"/>
      <c r="AH677" s="1400"/>
      <c r="AI677" s="1400"/>
      <c r="AJ677" s="1400"/>
      <c r="AK677" s="1400"/>
      <c r="AZ677" s="3"/>
    </row>
    <row r="678" spans="1:52" ht="13" customHeight="1">
      <c r="A678" s="22"/>
      <c r="B678" t="s">
        <v>17</v>
      </c>
      <c r="G678" s="1393"/>
      <c r="H678" s="1393"/>
      <c r="I678" s="1393"/>
      <c r="J678" s="1393"/>
      <c r="K678" s="1393"/>
      <c r="L678" s="1393"/>
      <c r="M678" s="1393"/>
      <c r="N678" s="1393"/>
      <c r="O678" s="1393"/>
      <c r="P678" s="1393"/>
      <c r="Q678" s="1393"/>
      <c r="R678" s="1393"/>
      <c r="T678" s="22"/>
      <c r="U678" t="s">
        <v>17</v>
      </c>
      <c r="Z678" s="1400"/>
      <c r="AA678" s="1400"/>
      <c r="AB678" s="1400"/>
      <c r="AC678" s="1400"/>
      <c r="AD678" s="1400"/>
      <c r="AE678" s="1400"/>
      <c r="AF678" s="1400"/>
      <c r="AG678" s="1400"/>
      <c r="AH678" s="1400"/>
      <c r="AI678" s="1400"/>
      <c r="AJ678" s="1400"/>
      <c r="AK678" s="1400"/>
      <c r="AZ678" s="3"/>
    </row>
    <row r="679" spans="1:52" ht="13" customHeight="1">
      <c r="A679" s="22"/>
      <c r="B679" t="s">
        <v>316</v>
      </c>
      <c r="G679" s="1462"/>
      <c r="H679" s="1462"/>
      <c r="I679" s="1462"/>
      <c r="J679" s="1462"/>
      <c r="K679" s="1462"/>
      <c r="L679" s="1462"/>
      <c r="O679" s="33" t="s">
        <v>206</v>
      </c>
      <c r="P679" s="1445"/>
      <c r="Q679" s="1445"/>
      <c r="R679" s="1445"/>
      <c r="T679" s="22"/>
      <c r="U679" t="s">
        <v>316</v>
      </c>
      <c r="Z679" s="1462"/>
      <c r="AA679" s="1462"/>
      <c r="AB679" s="1462"/>
      <c r="AC679" s="1462"/>
      <c r="AD679" s="1462"/>
      <c r="AE679" s="1462"/>
      <c r="AH679" s="33" t="s">
        <v>206</v>
      </c>
      <c r="AI679" s="1445"/>
      <c r="AJ679" s="1445"/>
      <c r="AK679" s="1445"/>
      <c r="AZ679" s="3"/>
    </row>
    <row r="680" spans="1:52" ht="13" customHeight="1">
      <c r="A680" s="22"/>
      <c r="B680" t="s">
        <v>18</v>
      </c>
      <c r="H680" s="1393"/>
      <c r="I680" s="1393"/>
      <c r="J680" s="1393"/>
      <c r="K680" s="1393"/>
      <c r="L680" s="1393"/>
      <c r="M680" s="1393"/>
      <c r="N680" s="1393"/>
      <c r="O680" s="1393"/>
      <c r="P680" s="1393"/>
      <c r="Q680" s="1393"/>
      <c r="R680" s="1393"/>
      <c r="T680" s="22"/>
      <c r="U680" t="s">
        <v>18</v>
      </c>
      <c r="AA680" s="1393"/>
      <c r="AB680" s="1393"/>
      <c r="AC680" s="1393"/>
      <c r="AD680" s="1393"/>
      <c r="AE680" s="1393"/>
      <c r="AF680" s="1393"/>
      <c r="AG680" s="1393"/>
      <c r="AH680" s="1393"/>
      <c r="AI680" s="1393"/>
      <c r="AJ680" s="1393"/>
      <c r="AK680" s="1393"/>
      <c r="AZ680" s="3"/>
    </row>
    <row r="681" spans="1:52" ht="13" customHeight="1">
      <c r="A681" s="22"/>
      <c r="B681" t="s">
        <v>20</v>
      </c>
      <c r="N681" s="1397" t="s">
        <v>670</v>
      </c>
      <c r="O681" s="1397"/>
      <c r="T681" s="22"/>
      <c r="U681" t="s">
        <v>20</v>
      </c>
      <c r="AG681" s="1397" t="s">
        <v>670</v>
      </c>
      <c r="AH681" s="1397"/>
      <c r="AZ681" s="3"/>
    </row>
    <row r="682" spans="1:52" ht="13" customHeight="1">
      <c r="A682" s="22"/>
      <c r="T682" s="22"/>
      <c r="AZ682" s="3"/>
    </row>
    <row r="683" spans="1:52" ht="13" customHeight="1">
      <c r="A683" s="55" t="s">
        <v>362</v>
      </c>
      <c r="B683" t="s">
        <v>464</v>
      </c>
      <c r="G683" s="1463">
        <f>C637</f>
        <v>0</v>
      </c>
      <c r="H683" s="1463"/>
      <c r="I683" s="1463"/>
      <c r="J683" s="1463"/>
      <c r="K683" s="1463"/>
      <c r="L683" s="1463"/>
      <c r="M683" s="1463"/>
      <c r="N683" s="1463"/>
      <c r="O683" s="1463"/>
      <c r="P683" s="1463"/>
      <c r="Q683" s="1463"/>
      <c r="R683" s="1463"/>
      <c r="T683" s="55" t="s">
        <v>363</v>
      </c>
      <c r="U683" t="s">
        <v>464</v>
      </c>
      <c r="Z683" s="1463">
        <f>C638</f>
        <v>0</v>
      </c>
      <c r="AA683" s="1463"/>
      <c r="AB683" s="1463"/>
      <c r="AC683" s="1463"/>
      <c r="AD683" s="1463"/>
      <c r="AE683" s="1463"/>
      <c r="AF683" s="1463"/>
      <c r="AG683" s="1463"/>
      <c r="AH683" s="1463"/>
      <c r="AI683" s="1463"/>
      <c r="AJ683" s="1463"/>
      <c r="AK683" s="1463"/>
      <c r="AZ683" s="3"/>
    </row>
    <row r="684" spans="1:52" ht="13" customHeight="1">
      <c r="B684" t="s">
        <v>85</v>
      </c>
      <c r="G684" s="1393"/>
      <c r="H684" s="1393"/>
      <c r="I684" s="1393"/>
      <c r="J684" s="1393"/>
      <c r="K684" s="1393"/>
      <c r="L684" s="1393"/>
      <c r="M684" s="1393"/>
      <c r="N684" s="1393"/>
      <c r="O684" s="1393"/>
      <c r="P684" s="1393"/>
      <c r="Q684" s="1393"/>
      <c r="R684" s="1393"/>
      <c r="T684" s="22"/>
      <c r="U684" t="s">
        <v>85</v>
      </c>
      <c r="Z684" s="1393"/>
      <c r="AA684" s="1393"/>
      <c r="AB684" s="1393"/>
      <c r="AC684" s="1393"/>
      <c r="AD684" s="1393"/>
      <c r="AE684" s="1393"/>
      <c r="AF684" s="1393"/>
      <c r="AG684" s="1393"/>
      <c r="AH684" s="1393"/>
      <c r="AI684" s="1393"/>
      <c r="AJ684" s="1393"/>
      <c r="AK684" s="1393"/>
      <c r="AZ684" s="3"/>
    </row>
    <row r="685" spans="1:52" ht="13" customHeight="1">
      <c r="B685" t="s">
        <v>581</v>
      </c>
      <c r="G685" s="1393"/>
      <c r="H685" s="1393"/>
      <c r="I685" s="1393"/>
      <c r="J685" s="1393"/>
      <c r="K685" s="1393"/>
      <c r="L685" s="1393"/>
      <c r="M685" s="1393"/>
      <c r="N685" s="1393"/>
      <c r="O685" s="1393"/>
      <c r="P685" s="1393"/>
      <c r="Q685" s="1393"/>
      <c r="R685" s="1393"/>
      <c r="U685" t="s">
        <v>581</v>
      </c>
      <c r="Z685" s="1400"/>
      <c r="AA685" s="1400"/>
      <c r="AB685" s="1400"/>
      <c r="AC685" s="1400"/>
      <c r="AD685" s="1400"/>
      <c r="AE685" s="1400"/>
      <c r="AF685" s="1400"/>
      <c r="AG685" s="1400"/>
      <c r="AH685" s="1400"/>
      <c r="AI685" s="1400"/>
      <c r="AJ685" s="1400"/>
      <c r="AK685" s="1400"/>
      <c r="AZ685" s="3"/>
    </row>
    <row r="686" spans="1:52" ht="13" customHeight="1">
      <c r="B686" t="s">
        <v>17</v>
      </c>
      <c r="G686" s="1393"/>
      <c r="H686" s="1393"/>
      <c r="I686" s="1393"/>
      <c r="J686" s="1393"/>
      <c r="K686" s="1393"/>
      <c r="L686" s="1393"/>
      <c r="M686" s="1393"/>
      <c r="N686" s="1393"/>
      <c r="O686" s="1393"/>
      <c r="P686" s="1393"/>
      <c r="Q686" s="1393"/>
      <c r="R686" s="1393"/>
      <c r="U686" t="s">
        <v>17</v>
      </c>
      <c r="Z686" s="1400"/>
      <c r="AA686" s="1400"/>
      <c r="AB686" s="1400"/>
      <c r="AC686" s="1400"/>
      <c r="AD686" s="1400"/>
      <c r="AE686" s="1400"/>
      <c r="AF686" s="1400"/>
      <c r="AG686" s="1400"/>
      <c r="AH686" s="1400"/>
      <c r="AI686" s="1400"/>
      <c r="AJ686" s="1400"/>
      <c r="AK686" s="1400"/>
      <c r="AZ686" s="3"/>
    </row>
    <row r="687" spans="1:52" ht="13" customHeight="1">
      <c r="B687" t="s">
        <v>316</v>
      </c>
      <c r="G687" s="1462"/>
      <c r="H687" s="1462"/>
      <c r="I687" s="1462"/>
      <c r="J687" s="1462"/>
      <c r="K687" s="1462"/>
      <c r="L687" s="1462"/>
      <c r="O687" s="33" t="s">
        <v>206</v>
      </c>
      <c r="P687" s="1445"/>
      <c r="Q687" s="1445"/>
      <c r="R687" s="1445"/>
      <c r="U687" t="s">
        <v>316</v>
      </c>
      <c r="Z687" s="1462"/>
      <c r="AA687" s="1462"/>
      <c r="AB687" s="1462"/>
      <c r="AC687" s="1462"/>
      <c r="AD687" s="1462"/>
      <c r="AE687" s="1462"/>
      <c r="AH687" s="33" t="s">
        <v>206</v>
      </c>
      <c r="AI687" s="1445"/>
      <c r="AJ687" s="1445"/>
      <c r="AK687" s="1445"/>
      <c r="AZ687" s="3"/>
    </row>
    <row r="688" spans="1:52" ht="13" customHeight="1">
      <c r="B688" t="s">
        <v>18</v>
      </c>
      <c r="H688" s="1393"/>
      <c r="I688" s="1393"/>
      <c r="J688" s="1393"/>
      <c r="K688" s="1393"/>
      <c r="L688" s="1393"/>
      <c r="M688" s="1393"/>
      <c r="N688" s="1393"/>
      <c r="O688" s="1393"/>
      <c r="P688" s="1393"/>
      <c r="Q688" s="1393"/>
      <c r="R688" s="1393"/>
      <c r="U688" t="s">
        <v>18</v>
      </c>
      <c r="AA688" s="1393"/>
      <c r="AB688" s="1393"/>
      <c r="AC688" s="1393"/>
      <c r="AD688" s="1393"/>
      <c r="AE688" s="1393"/>
      <c r="AF688" s="1393"/>
      <c r="AG688" s="1393"/>
      <c r="AH688" s="1393"/>
      <c r="AI688" s="1393"/>
      <c r="AJ688" s="1393"/>
      <c r="AK688" s="1393"/>
      <c r="AZ688" s="3"/>
    </row>
    <row r="689" spans="1:67" ht="13" customHeight="1">
      <c r="B689" t="s">
        <v>20</v>
      </c>
      <c r="N689" s="1397" t="s">
        <v>670</v>
      </c>
      <c r="O689" s="1397"/>
      <c r="U689" t="s">
        <v>20</v>
      </c>
      <c r="AG689" s="1397" t="s">
        <v>670</v>
      </c>
      <c r="AH689" s="1397"/>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97" t="s">
        <v>546</v>
      </c>
      <c r="AF693" s="1397"/>
      <c r="AZ693" s="3"/>
    </row>
    <row r="694" spans="1:67" ht="13" customHeight="1">
      <c r="B694" s="135"/>
      <c r="C694" s="135"/>
      <c r="D694" s="136" t="s">
        <v>438</v>
      </c>
      <c r="E694" s="135"/>
      <c r="F694" s="135"/>
      <c r="G694" s="135"/>
      <c r="H694" s="135"/>
      <c r="AE694" s="1397" t="s">
        <v>546</v>
      </c>
      <c r="AF694" s="1397"/>
      <c r="AZ694" s="3"/>
    </row>
    <row r="695" spans="1:67" ht="13" customHeight="1">
      <c r="B695" s="135"/>
      <c r="C695" s="135"/>
      <c r="D695" s="136" t="s">
        <v>920</v>
      </c>
      <c r="E695" s="135"/>
      <c r="F695" s="135"/>
      <c r="G695" s="135"/>
      <c r="H695" s="135"/>
      <c r="AE695" s="1502">
        <v>45685</v>
      </c>
      <c r="AF695" s="1502"/>
      <c r="AG695" s="1502"/>
      <c r="AH695" s="1502"/>
      <c r="AI695" s="1502"/>
    </row>
    <row r="696" spans="1:67" ht="13" customHeight="1">
      <c r="B696" s="135"/>
      <c r="C696" s="135"/>
      <c r="D696" s="318" t="s">
        <v>983</v>
      </c>
      <c r="E696" s="135"/>
      <c r="F696" s="135"/>
      <c r="G696" s="135"/>
      <c r="H696" s="135"/>
      <c r="AE696" s="1695">
        <v>45755</v>
      </c>
      <c r="AF696" s="1695"/>
      <c r="AG696" s="1695"/>
      <c r="AH696" s="1695"/>
      <c r="AI696" s="1695"/>
    </row>
    <row r="697" spans="1:67" ht="13" customHeight="1">
      <c r="B697" s="135"/>
      <c r="C697" s="135"/>
    </row>
    <row r="698" spans="1:67" ht="13" customHeight="1">
      <c r="B698" s="135"/>
      <c r="C698" s="135"/>
      <c r="D698" s="136" t="s">
        <v>817</v>
      </c>
      <c r="E698" s="135"/>
      <c r="F698" s="135"/>
      <c r="G698" s="135"/>
      <c r="H698" s="135"/>
      <c r="AE698" s="1502">
        <v>45931</v>
      </c>
      <c r="AF698" s="1502"/>
      <c r="AG698" s="1502"/>
      <c r="AH698" s="1502"/>
      <c r="AI698" s="1502"/>
    </row>
    <row r="699" spans="1:67" ht="13" customHeight="1">
      <c r="B699" s="135"/>
      <c r="C699" s="135"/>
      <c r="D699" s="136" t="s">
        <v>436</v>
      </c>
      <c r="E699" s="135"/>
      <c r="F699" s="135"/>
      <c r="G699" s="135"/>
      <c r="H699" s="135"/>
      <c r="AE699" s="1675">
        <f>AM554/('Sources and Uses Budget'!S105+'Sources and Uses Budget'!C27+'Sources and Uses Budget'!C8+'Sources and Uses Budget'!T107+'Sources and Uses Budget'!B89+'Sources and Uses Budget'!C92)</f>
        <v>0.52410361337874534</v>
      </c>
      <c r="AF699" s="1675"/>
      <c r="AG699" s="1675"/>
      <c r="AH699" s="1675"/>
      <c r="AI699" s="1675"/>
    </row>
    <row r="700" spans="1:67" ht="13" customHeight="1">
      <c r="B700" s="135"/>
      <c r="C700" s="135"/>
      <c r="D700" s="136" t="s">
        <v>437</v>
      </c>
      <c r="E700" s="135"/>
      <c r="F700" s="135"/>
      <c r="G700" s="135"/>
      <c r="H700" s="135"/>
      <c r="W700" s="1463" t="str">
        <f>H335</f>
        <v>CMFA</v>
      </c>
      <c r="X700" s="1463"/>
      <c r="Y700" s="1463"/>
      <c r="Z700" s="1463"/>
      <c r="AA700" s="1463"/>
      <c r="AB700" s="1463"/>
      <c r="AC700" s="1463"/>
      <c r="AD700" s="1463"/>
      <c r="AE700" s="1463"/>
      <c r="AF700" s="1463"/>
      <c r="AG700" s="1463"/>
      <c r="AH700" s="1463"/>
      <c r="AI700" s="1463"/>
      <c r="AJ700" s="1463"/>
      <c r="AK700" s="1463"/>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97" t="s">
        <v>670</v>
      </c>
      <c r="AF702" s="1397"/>
      <c r="AZ702" s="4" t="s">
        <v>324</v>
      </c>
    </row>
    <row r="703" spans="1:67" ht="13" customHeight="1">
      <c r="B703" s="135"/>
      <c r="C703" s="135"/>
      <c r="D703" s="136" t="s">
        <v>443</v>
      </c>
      <c r="E703" s="135"/>
      <c r="F703" s="135"/>
      <c r="G703" s="135"/>
      <c r="H703" s="135"/>
      <c r="W703" s="1393"/>
      <c r="X703" s="1393"/>
      <c r="Y703" s="1393"/>
      <c r="Z703" s="1393"/>
      <c r="AA703" s="1393"/>
      <c r="AB703" s="1393"/>
      <c r="AC703" s="1393"/>
      <c r="AD703" s="1393"/>
      <c r="AE703" s="1393"/>
      <c r="AF703" s="1393"/>
      <c r="AG703" s="1393"/>
      <c r="AH703" s="1393"/>
      <c r="AI703" s="1393"/>
      <c r="AJ703" s="1393"/>
      <c r="AK703" s="1393"/>
      <c r="AZ703" s="4" t="s">
        <v>325</v>
      </c>
    </row>
    <row r="704" spans="1:67" ht="13" customHeight="1">
      <c r="B704" s="135"/>
      <c r="C704" s="135"/>
      <c r="D704" s="136" t="s">
        <v>87</v>
      </c>
      <c r="E704" s="135"/>
      <c r="F704" s="135"/>
      <c r="G704" s="135"/>
      <c r="H704" s="135"/>
      <c r="J704" s="1393"/>
      <c r="K704" s="1393"/>
      <c r="L704" s="1393"/>
      <c r="M704" s="1393"/>
      <c r="N704" s="1393"/>
      <c r="O704" s="1393"/>
      <c r="P704" s="1393"/>
      <c r="Q704" s="1393"/>
      <c r="R704" s="1393"/>
      <c r="S704" s="1393"/>
      <c r="T704" s="1393"/>
      <c r="U704" s="1393"/>
      <c r="V704" s="1393"/>
      <c r="W704" s="1393"/>
      <c r="X704" s="1393"/>
      <c r="AZ704" s="4" t="s">
        <v>163</v>
      </c>
      <c r="BB704" s="34"/>
      <c r="BC704" s="34"/>
      <c r="BD704" s="34"/>
      <c r="BE704" s="3"/>
      <c r="BF704" s="3"/>
      <c r="BJ704" s="3"/>
      <c r="BK704" s="3"/>
      <c r="BL704" s="3"/>
      <c r="BM704" s="3"/>
      <c r="BN704" s="34"/>
      <c r="BO704" s="34"/>
    </row>
    <row r="705" spans="1:185" ht="13" customHeight="1">
      <c r="B705" s="135"/>
      <c r="C705" s="135"/>
      <c r="D705" s="136" t="s">
        <v>88</v>
      </c>
      <c r="J705" s="1462"/>
      <c r="K705" s="1462"/>
      <c r="L705" s="1462"/>
      <c r="M705" s="1462"/>
      <c r="N705" s="1462"/>
      <c r="O705" s="1462"/>
      <c r="P705" s="4" t="s">
        <v>206</v>
      </c>
      <c r="Q705" s="4"/>
      <c r="R705" s="1445"/>
      <c r="S705" s="1445"/>
      <c r="T705" s="1445"/>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393" t="s">
        <v>307</v>
      </c>
      <c r="X706" s="1393"/>
      <c r="Y706" s="1393"/>
      <c r="Z706" s="1393"/>
      <c r="AA706" s="1393"/>
      <c r="AB706" s="1393"/>
      <c r="AC706" s="1393"/>
      <c r="AD706" s="1393"/>
      <c r="AE706" s="1393"/>
      <c r="AF706" s="1393"/>
      <c r="AG706" s="1393"/>
      <c r="AH706" s="1393"/>
      <c r="AI706" s="1393"/>
      <c r="AJ706" s="1393"/>
      <c r="AK706" s="139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93" t="s">
        <v>334</v>
      </c>
      <c r="F707" s="1393"/>
      <c r="G707" s="1393"/>
      <c r="H707" s="1393"/>
      <c r="I707" s="1393"/>
      <c r="J707" s="1393"/>
      <c r="K707" s="1393"/>
      <c r="L707" s="1393"/>
      <c r="M707" s="1393"/>
      <c r="N707" s="1393"/>
      <c r="O707" s="1393"/>
      <c r="P707" s="1393"/>
      <c r="Q707" s="1393"/>
      <c r="R707" s="1393"/>
      <c r="S707" s="1393"/>
      <c r="T707" s="1393"/>
      <c r="U707" s="1393"/>
      <c r="V707" s="1393"/>
      <c r="W707" s="1393"/>
      <c r="X707" s="1393"/>
      <c r="Y707" s="1393"/>
      <c r="Z707" s="1393"/>
      <c r="AA707" s="1393"/>
      <c r="AB707" s="1393"/>
      <c r="AC707" s="1393"/>
      <c r="AD707" s="1393"/>
      <c r="AE707" s="1393"/>
      <c r="AF707" s="1393"/>
      <c r="AG707" s="1393"/>
      <c r="AH707" s="1393"/>
      <c r="AI707" s="1393"/>
      <c r="AJ707" s="1393"/>
      <c r="AK707" s="139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624" t="s">
        <v>389</v>
      </c>
      <c r="C714" s="1504"/>
      <c r="D714" s="1504"/>
      <c r="E714" s="1504"/>
      <c r="F714" s="1505"/>
      <c r="G714" s="1624" t="s">
        <v>285</v>
      </c>
      <c r="H714" s="1504"/>
      <c r="I714" s="1504"/>
      <c r="J714" s="1505"/>
      <c r="K714" s="1512" t="s">
        <v>1679</v>
      </c>
      <c r="L714" s="1513"/>
      <c r="M714" s="1513"/>
      <c r="N714" s="1514"/>
      <c r="O714" s="1624" t="s">
        <v>448</v>
      </c>
      <c r="P714" s="1504"/>
      <c r="Q714" s="1504"/>
      <c r="R714" s="1504"/>
      <c r="S714" s="1505"/>
      <c r="T714" s="1503" t="s">
        <v>1950</v>
      </c>
      <c r="U714" s="1504"/>
      <c r="V714" s="1504"/>
      <c r="W714" s="1505"/>
      <c r="X714" s="1503" t="s">
        <v>1952</v>
      </c>
      <c r="Y714" s="1504"/>
      <c r="Z714" s="1504"/>
      <c r="AA714" s="1504"/>
      <c r="AB714" s="1505"/>
      <c r="AC714" s="1503" t="s">
        <v>1951</v>
      </c>
      <c r="AD714" s="1504"/>
      <c r="AE714" s="1504"/>
      <c r="AF714" s="1504"/>
      <c r="AG714" s="1505"/>
      <c r="AH714" s="1503" t="s">
        <v>1953</v>
      </c>
      <c r="AI714" s="1504"/>
      <c r="AJ714" s="1505"/>
      <c r="AK714" s="1503" t="s">
        <v>1980</v>
      </c>
      <c r="AL714" s="1504"/>
      <c r="AM714" s="1504"/>
      <c r="AN714" s="1504"/>
      <c r="AO714" s="150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506"/>
      <c r="C715" s="1507"/>
      <c r="D715" s="1507"/>
      <c r="E715" s="1507"/>
      <c r="F715" s="1508"/>
      <c r="G715" s="1506"/>
      <c r="H715" s="1507"/>
      <c r="I715" s="1507"/>
      <c r="J715" s="1508"/>
      <c r="K715" s="1515"/>
      <c r="L715" s="1516"/>
      <c r="M715" s="1516"/>
      <c r="N715" s="1517"/>
      <c r="O715" s="1506"/>
      <c r="P715" s="1507"/>
      <c r="Q715" s="1507"/>
      <c r="R715" s="1507"/>
      <c r="S715" s="1508"/>
      <c r="T715" s="1506"/>
      <c r="U715" s="1507"/>
      <c r="V715" s="1507"/>
      <c r="W715" s="1508"/>
      <c r="X715" s="1506"/>
      <c r="Y715" s="1507"/>
      <c r="Z715" s="1507"/>
      <c r="AA715" s="1507"/>
      <c r="AB715" s="1508"/>
      <c r="AC715" s="1506"/>
      <c r="AD715" s="1507"/>
      <c r="AE715" s="1507"/>
      <c r="AF715" s="1507"/>
      <c r="AG715" s="1508"/>
      <c r="AH715" s="1506"/>
      <c r="AI715" s="1507"/>
      <c r="AJ715" s="1508"/>
      <c r="AK715" s="1506"/>
      <c r="AL715" s="1507"/>
      <c r="AM715" s="1507"/>
      <c r="AN715" s="1507"/>
      <c r="AO715" s="150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506"/>
      <c r="C716" s="1507"/>
      <c r="D716" s="1507"/>
      <c r="E716" s="1507"/>
      <c r="F716" s="1508"/>
      <c r="G716" s="1506"/>
      <c r="H716" s="1507"/>
      <c r="I716" s="1507"/>
      <c r="J716" s="1508"/>
      <c r="K716" s="1515"/>
      <c r="L716" s="1516"/>
      <c r="M716" s="1516"/>
      <c r="N716" s="1517"/>
      <c r="O716" s="1506"/>
      <c r="P716" s="1507"/>
      <c r="Q716" s="1507"/>
      <c r="R716" s="1507"/>
      <c r="S716" s="1508"/>
      <c r="T716" s="1506"/>
      <c r="U716" s="1507"/>
      <c r="V716" s="1507"/>
      <c r="W716" s="1508"/>
      <c r="X716" s="1506"/>
      <c r="Y716" s="1507"/>
      <c r="Z716" s="1507"/>
      <c r="AA716" s="1507"/>
      <c r="AB716" s="1508"/>
      <c r="AC716" s="1506"/>
      <c r="AD716" s="1507"/>
      <c r="AE716" s="1507"/>
      <c r="AF716" s="1507"/>
      <c r="AG716" s="1508"/>
      <c r="AH716" s="1506"/>
      <c r="AI716" s="1507"/>
      <c r="AJ716" s="1508"/>
      <c r="AK716" s="1506"/>
      <c r="AL716" s="1507"/>
      <c r="AM716" s="1507"/>
      <c r="AN716" s="1507"/>
      <c r="AO716" s="1508"/>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9"/>
      <c r="C717" s="1510"/>
      <c r="D717" s="1510"/>
      <c r="E717" s="1510"/>
      <c r="F717" s="1511"/>
      <c r="G717" s="1509"/>
      <c r="H717" s="1510"/>
      <c r="I717" s="1510"/>
      <c r="J717" s="1511"/>
      <c r="K717" s="1515"/>
      <c r="L717" s="1516"/>
      <c r="M717" s="1516"/>
      <c r="N717" s="1517"/>
      <c r="O717" s="1509"/>
      <c r="P717" s="1510"/>
      <c r="Q717" s="1510"/>
      <c r="R717" s="1510"/>
      <c r="S717" s="1511"/>
      <c r="T717" s="1509"/>
      <c r="U717" s="1510"/>
      <c r="V717" s="1510"/>
      <c r="W717" s="1511"/>
      <c r="X717" s="1509"/>
      <c r="Y717" s="1510"/>
      <c r="Z717" s="1510"/>
      <c r="AA717" s="1510"/>
      <c r="AB717" s="1511"/>
      <c r="AC717" s="1509"/>
      <c r="AD717" s="1510"/>
      <c r="AE717" s="1510"/>
      <c r="AF717" s="1510"/>
      <c r="AG717" s="1511"/>
      <c r="AH717" s="1509"/>
      <c r="AI717" s="1510"/>
      <c r="AJ717" s="1511"/>
      <c r="AK717" s="1509"/>
      <c r="AL717" s="1510"/>
      <c r="AM717" s="1510"/>
      <c r="AN717" s="1510"/>
      <c r="AO717" s="1511"/>
      <c r="AP717" s="3"/>
      <c r="AQ717" s="3"/>
      <c r="AR717" s="3"/>
      <c r="AS717" s="3"/>
      <c r="AZ717" s="166" t="s">
        <v>650</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475</v>
      </c>
      <c r="CH717" s="122"/>
      <c r="CI717" s="1334"/>
      <c r="CJ717" s="1336"/>
      <c r="CK717" s="121" t="s">
        <v>476</v>
      </c>
      <c r="CL717" s="122"/>
      <c r="CM717" s="1334"/>
      <c r="CN717" s="1336"/>
      <c r="CO717" s="3"/>
      <c r="CP717" s="1691" t="s">
        <v>634</v>
      </c>
      <c r="CQ717" s="1692"/>
      <c r="CR717" s="1692"/>
      <c r="CS717" s="1692"/>
      <c r="CT717" s="1693"/>
      <c r="CU717" s="1694" t="s">
        <v>325</v>
      </c>
      <c r="CV717" s="1694"/>
      <c r="CW717" s="1694"/>
      <c r="CX717" s="1694"/>
      <c r="CY717" s="1694"/>
      <c r="CZ717" s="1694" t="s">
        <v>163</v>
      </c>
      <c r="DA717" s="1694"/>
      <c r="DB717" s="1694"/>
      <c r="DC717" s="1694"/>
      <c r="DD717" s="1694"/>
      <c r="DE717" s="1694" t="s">
        <v>164</v>
      </c>
      <c r="DF717" s="1694"/>
      <c r="DG717" s="1694"/>
      <c r="DH717" s="1694"/>
      <c r="DI717" s="1694"/>
      <c r="DJ717" s="1694" t="s">
        <v>461</v>
      </c>
      <c r="DK717" s="1694"/>
      <c r="DL717" s="1694"/>
      <c r="DM717" s="1694"/>
      <c r="DN717" s="1694"/>
      <c r="DO717" s="1694" t="s">
        <v>30</v>
      </c>
      <c r="DP717" s="1694"/>
      <c r="DQ717" s="1694"/>
      <c r="DR717" s="1694"/>
      <c r="DS717" s="1694"/>
      <c r="DT717" s="89"/>
      <c r="DU717" s="1694" t="s">
        <v>634</v>
      </c>
      <c r="DV717" s="1694"/>
      <c r="DW717" s="1694"/>
      <c r="DX717" s="1694"/>
      <c r="DY717" s="1694"/>
      <c r="DZ717" s="1694" t="s">
        <v>325</v>
      </c>
      <c r="EA717" s="1694"/>
      <c r="EB717" s="1694"/>
      <c r="EC717" s="1694"/>
      <c r="ED717" s="1694"/>
      <c r="EE717" s="1694" t="s">
        <v>163</v>
      </c>
      <c r="EF717" s="1694"/>
      <c r="EG717" s="1694"/>
      <c r="EH717" s="1694"/>
      <c r="EI717" s="1694"/>
      <c r="EJ717" s="1694" t="s">
        <v>164</v>
      </c>
      <c r="EK717" s="1694"/>
      <c r="EL717" s="1694"/>
      <c r="EM717" s="1694"/>
      <c r="EN717" s="1694"/>
      <c r="EO717" s="1694" t="s">
        <v>461</v>
      </c>
      <c r="EP717" s="1694"/>
      <c r="EQ717" s="1694"/>
      <c r="ER717" s="1694"/>
      <c r="ES717" s="1694"/>
      <c r="ET717" s="1694" t="s">
        <v>30</v>
      </c>
      <c r="EU717" s="1694"/>
      <c r="EV717" s="1694"/>
      <c r="EW717" s="1694"/>
      <c r="EX717" s="1694"/>
      <c r="EY717" s="4"/>
      <c r="EZ717" s="1694" t="s">
        <v>634</v>
      </c>
      <c r="FA717" s="1694"/>
      <c r="FB717" s="1694"/>
      <c r="FC717" s="1694"/>
      <c r="FD717" s="1694"/>
      <c r="FE717" s="1694" t="s">
        <v>325</v>
      </c>
      <c r="FF717" s="1694"/>
      <c r="FG717" s="1694"/>
      <c r="FH717" s="1694"/>
      <c r="FI717" s="1694"/>
      <c r="FJ717" s="1694" t="s">
        <v>163</v>
      </c>
      <c r="FK717" s="1694"/>
      <c r="FL717" s="1694"/>
      <c r="FM717" s="1694"/>
      <c r="FN717" s="1694"/>
      <c r="FO717" s="1694" t="s">
        <v>164</v>
      </c>
      <c r="FP717" s="1694"/>
      <c r="FQ717" s="1694"/>
      <c r="FR717" s="1694"/>
      <c r="FS717" s="1694"/>
      <c r="FT717" s="1694" t="s">
        <v>461</v>
      </c>
      <c r="FU717" s="1694"/>
      <c r="FV717" s="1694"/>
      <c r="FW717" s="1694"/>
      <c r="FX717" s="1694"/>
      <c r="FY717" s="1694" t="s">
        <v>30</v>
      </c>
      <c r="FZ717" s="1694"/>
      <c r="GA717" s="1694"/>
      <c r="GB717" s="1694"/>
      <c r="GC717" s="1694"/>
    </row>
    <row r="718" spans="1:185" ht="13" customHeight="1">
      <c r="A718" s="4"/>
      <c r="B718" s="1352" t="s">
        <v>324</v>
      </c>
      <c r="C718" s="1353"/>
      <c r="D718" s="1353"/>
      <c r="E718" s="1353"/>
      <c r="F718" s="1354"/>
      <c r="G718" s="1364">
        <v>9</v>
      </c>
      <c r="H718" s="1365"/>
      <c r="I718" s="1365"/>
      <c r="J718" s="1366"/>
      <c r="K718" s="1606">
        <v>432</v>
      </c>
      <c r="L718" s="1607"/>
      <c r="M718" s="1607"/>
      <c r="N718" s="1608"/>
      <c r="O718" s="1405">
        <v>697</v>
      </c>
      <c r="P718" s="1406"/>
      <c r="Q718" s="1406"/>
      <c r="R718" s="1406"/>
      <c r="S718" s="1407"/>
      <c r="T718" s="1405">
        <v>31</v>
      </c>
      <c r="U718" s="1406"/>
      <c r="V718" s="1406"/>
      <c r="W718" s="1407"/>
      <c r="X718" s="1355">
        <f t="shared" ref="X718:X741" si="8">O718+T718</f>
        <v>728</v>
      </c>
      <c r="Y718" s="1356"/>
      <c r="Z718" s="1356"/>
      <c r="AA718" s="1356"/>
      <c r="AB718" s="1357"/>
      <c r="AC718" s="1361">
        <v>0.3</v>
      </c>
      <c r="AD718" s="1362"/>
      <c r="AE718" s="1362"/>
      <c r="AF718" s="1362"/>
      <c r="AG718" s="1363"/>
      <c r="AH718" s="1358">
        <f>IF($AC718&gt;0,($X718/$AZ718), "")</f>
        <v>0.30008244023083264</v>
      </c>
      <c r="AI718" s="1359"/>
      <c r="AJ718" s="1360"/>
      <c r="AK718" s="1352" t="s">
        <v>592</v>
      </c>
      <c r="AL718" s="1353"/>
      <c r="AM718" s="1353"/>
      <c r="AN718" s="1353"/>
      <c r="AO718" s="1354"/>
      <c r="AP718" s="3"/>
      <c r="AQ718" s="3"/>
      <c r="AR718" s="3"/>
      <c r="AS718" s="3"/>
      <c r="AZ718" s="118">
        <f>IF($G718=0,"N/A",VLOOKUP($T$189,TC_Rent,(MATCH($B718,bedrooms,FALSE)),FALSE))</f>
        <v>2426</v>
      </c>
      <c r="BA718" s="3"/>
      <c r="BB718" s="3"/>
      <c r="BC718" s="3"/>
      <c r="BD718" s="3"/>
      <c r="BE718" s="205"/>
      <c r="BF718" s="294">
        <f t="shared" ref="BF718:BF752" si="9">G718</f>
        <v>9</v>
      </c>
      <c r="BG718" s="298">
        <f t="shared" ref="BG718:BG752" si="10">IF($BF$753=0,0,BF718/$BF$753)</f>
        <v>3.7656903765690378E-2</v>
      </c>
      <c r="BH718" s="299">
        <f t="shared" ref="BH718:BH752" si="11">IF(BG718=0,"",BG718*AC718)</f>
        <v>1.1297071129707114E-2</v>
      </c>
      <c r="BI718" s="3"/>
      <c r="BJ718" s="3"/>
      <c r="BK718" s="3"/>
      <c r="BL718" s="3"/>
      <c r="BM718" s="3"/>
      <c r="BN718" s="3"/>
      <c r="BS718" s="294">
        <f t="shared" ref="BS718:BS752" si="12">G718</f>
        <v>9</v>
      </c>
      <c r="BT718" s="298">
        <f t="shared" ref="BT718:BT752" si="13">IF($BS$753=0,0,BS718/$BS$753)</f>
        <v>3.7656903765690378E-2</v>
      </c>
      <c r="BU718" s="299">
        <f t="shared" ref="BU718:BU752" si="14">IF(BT718=0,"",BT718*AH718)</f>
        <v>1.1300175573546E-2</v>
      </c>
      <c r="CC718" s="3"/>
      <c r="CD718" s="3"/>
      <c r="CE718" s="3"/>
      <c r="CF718" s="3"/>
      <c r="CG718" s="1348">
        <f>IF(AND(AC718&lt;=0.5,AC718&gt;=0.36),1,0)</f>
        <v>0</v>
      </c>
      <c r="CH718" s="1350"/>
      <c r="CI718" s="1334">
        <f>IF(CG718=1,G718,0)</f>
        <v>0</v>
      </c>
      <c r="CJ718" s="1336"/>
      <c r="CK718" s="1348">
        <f t="shared" ref="CK718:CK752" si="15">IF(AND(AC718&lt;=0.35,AC718&gt;0),1,0)</f>
        <v>1</v>
      </c>
      <c r="CL718" s="1350"/>
      <c r="CM718" s="1334">
        <f t="shared" ref="CM718:CM752" si="16">IF(CK718=1,G718,0)</f>
        <v>9</v>
      </c>
      <c r="CN718" s="1336"/>
      <c r="CO718" s="3"/>
      <c r="CP718" s="1331">
        <f t="shared" ref="CP718:CP752" si="17">IF(B718="SRO/Studio",G718,0)</f>
        <v>9</v>
      </c>
      <c r="CQ718" s="1332"/>
      <c r="CR718" s="1332"/>
      <c r="CS718" s="1332"/>
      <c r="CT718" s="1333"/>
      <c r="CU718" s="1351">
        <f t="shared" ref="CU718:CU752" si="18">IF(B718="1 Bedroom",G718,0)</f>
        <v>0</v>
      </c>
      <c r="CV718" s="1351"/>
      <c r="CW718" s="1351"/>
      <c r="CX718" s="1351"/>
      <c r="CY718" s="1351"/>
      <c r="CZ718" s="1351">
        <f t="shared" ref="CZ718:CZ752" si="19">IF(B718="2 Bedrooms",G718,0)</f>
        <v>0</v>
      </c>
      <c r="DA718" s="1351"/>
      <c r="DB718" s="1351"/>
      <c r="DC718" s="1351"/>
      <c r="DD718" s="1351"/>
      <c r="DE718" s="1351">
        <f t="shared" ref="DE718:DE752" si="20">IF(B718="3 Bedrooms",G718,0)</f>
        <v>0</v>
      </c>
      <c r="DF718" s="1351"/>
      <c r="DG718" s="1351"/>
      <c r="DH718" s="1351"/>
      <c r="DI718" s="1351"/>
      <c r="DJ718" s="1351">
        <f t="shared" ref="DJ718:DJ752" si="21">IF(B718="4 Bedrooms",G718,0)</f>
        <v>0</v>
      </c>
      <c r="DK718" s="1351"/>
      <c r="DL718" s="1351"/>
      <c r="DM718" s="1351"/>
      <c r="DN718" s="1351"/>
      <c r="DO718" s="1351">
        <f t="shared" ref="DO718:DO752" si="22">IF(B718="5 Bedrooms",G718,0)</f>
        <v>0</v>
      </c>
      <c r="DP718" s="1351"/>
      <c r="DQ718" s="1351"/>
      <c r="DR718" s="1351"/>
      <c r="DS718" s="1351"/>
      <c r="DT718" s="6"/>
      <c r="DU718" s="1368">
        <f t="shared" ref="DU718:DU752" si="23">IF(AND(B718="SRO/Studio",AC718&lt;=0.3),G718,0)</f>
        <v>9</v>
      </c>
      <c r="DV718" s="1368"/>
      <c r="DW718" s="1368"/>
      <c r="DX718" s="1368"/>
      <c r="DY718" s="1368"/>
      <c r="DZ718" s="1368">
        <f t="shared" ref="DZ718:DZ752" si="24">IF(AND(B718="1 Bedroom",AC718&lt;=0.3),G718,0)</f>
        <v>0</v>
      </c>
      <c r="EA718" s="1368"/>
      <c r="EB718" s="1368"/>
      <c r="EC718" s="1368"/>
      <c r="ED718" s="1368"/>
      <c r="EE718" s="1368">
        <f t="shared" ref="EE718:EE752" si="25">IF(AND(B718="2 Bedrooms",AC718&lt;=0.3),G718,0)</f>
        <v>0</v>
      </c>
      <c r="EF718" s="1368"/>
      <c r="EG718" s="1368"/>
      <c r="EH718" s="1368"/>
      <c r="EI718" s="1368"/>
      <c r="EJ718" s="1368">
        <f t="shared" ref="EJ718:EJ752" si="26">IF(AND(B718="3 Bedrooms",AC718&lt;=0.3),G718,0)</f>
        <v>0</v>
      </c>
      <c r="EK718" s="1368"/>
      <c r="EL718" s="1368"/>
      <c r="EM718" s="1368"/>
      <c r="EN718" s="1368"/>
      <c r="EO718" s="1368">
        <f t="shared" ref="EO718:EO752" si="27">IF(AND(B718="4 Bedrooms",AC718&lt;=0.3),G718,0)</f>
        <v>0</v>
      </c>
      <c r="EP718" s="1368"/>
      <c r="EQ718" s="1368"/>
      <c r="ER718" s="1368"/>
      <c r="ES718" s="1368"/>
      <c r="ET718" s="1368">
        <f t="shared" ref="ET718:ET752" si="28">IF(AND(B718="5 Bedrooms",AC718&lt;=0.3),G718,0)</f>
        <v>0</v>
      </c>
      <c r="EU718" s="1368"/>
      <c r="EV718" s="1368"/>
      <c r="EW718" s="1368"/>
      <c r="EX718" s="1368"/>
      <c r="EY718" s="4"/>
      <c r="EZ718" s="1348">
        <f t="shared" ref="EZ718:EZ752" si="29">IF(CP718&gt;0,O718,"")</f>
        <v>697</v>
      </c>
      <c r="FA718" s="1349"/>
      <c r="FB718" s="1349"/>
      <c r="FC718" s="1349"/>
      <c r="FD718" s="1350"/>
      <c r="FE718" s="1348" t="str">
        <f t="shared" ref="FE718:FE752" si="30">IF(CU718&gt;0,O718,"")</f>
        <v/>
      </c>
      <c r="FF718" s="1349"/>
      <c r="FG718" s="1349"/>
      <c r="FH718" s="1349"/>
      <c r="FI718" s="1350"/>
      <c r="FJ718" s="1348" t="str">
        <f t="shared" ref="FJ718:FJ752" si="31">IF(CZ718&gt;0,O718,"")</f>
        <v/>
      </c>
      <c r="FK718" s="1349"/>
      <c r="FL718" s="1349"/>
      <c r="FM718" s="1349"/>
      <c r="FN718" s="1350"/>
      <c r="FO718" s="1348" t="str">
        <f t="shared" ref="FO718:FO752" si="32">IF(DE718&gt;0,O718,"")</f>
        <v/>
      </c>
      <c r="FP718" s="1349"/>
      <c r="FQ718" s="1349"/>
      <c r="FR718" s="1349"/>
      <c r="FS718" s="1350"/>
      <c r="FT718" s="1348" t="str">
        <f t="shared" ref="FT718:FT752" si="33">IF(DJ718&gt;0,O718,"")</f>
        <v/>
      </c>
      <c r="FU718" s="1349"/>
      <c r="FV718" s="1349"/>
      <c r="FW718" s="1349"/>
      <c r="FX718" s="1350"/>
      <c r="FY718" s="1348" t="str">
        <f t="shared" ref="FY718:FY752" si="34">IF(DO718&gt;0,O718,"")</f>
        <v/>
      </c>
      <c r="FZ718" s="1349"/>
      <c r="GA718" s="1349"/>
      <c r="GB718" s="1349"/>
      <c r="GC718" s="1350"/>
    </row>
    <row r="719" spans="1:185" ht="13" customHeight="1">
      <c r="A719" s="4"/>
      <c r="B719" s="1352" t="s">
        <v>324</v>
      </c>
      <c r="C719" s="1353"/>
      <c r="D719" s="1353"/>
      <c r="E719" s="1353"/>
      <c r="F719" s="1354"/>
      <c r="G719" s="1364">
        <v>12</v>
      </c>
      <c r="H719" s="1365"/>
      <c r="I719" s="1365"/>
      <c r="J719" s="1366"/>
      <c r="K719" s="1606">
        <f>K718</f>
        <v>432</v>
      </c>
      <c r="L719" s="1607"/>
      <c r="M719" s="1607"/>
      <c r="N719" s="1608"/>
      <c r="O719" s="1405">
        <v>1911</v>
      </c>
      <c r="P719" s="1406"/>
      <c r="Q719" s="1406"/>
      <c r="R719" s="1406"/>
      <c r="S719" s="1407"/>
      <c r="T719" s="1405">
        <f>T718</f>
        <v>31</v>
      </c>
      <c r="U719" s="1406"/>
      <c r="V719" s="1406"/>
      <c r="W719" s="1407"/>
      <c r="X719" s="1355">
        <f t="shared" si="8"/>
        <v>1942</v>
      </c>
      <c r="Y719" s="1356"/>
      <c r="Z719" s="1356"/>
      <c r="AA719" s="1356"/>
      <c r="AB719" s="1357"/>
      <c r="AC719" s="1361">
        <v>0.8</v>
      </c>
      <c r="AD719" s="1362"/>
      <c r="AE719" s="1362"/>
      <c r="AF719" s="1362"/>
      <c r="AG719" s="1363"/>
      <c r="AH719" s="1358">
        <f t="shared" ref="AH719:AH752" si="35">IF($AC719&gt;0,($X719/$AZ719), "")</f>
        <v>0.80049464138499593</v>
      </c>
      <c r="AI719" s="1359"/>
      <c r="AJ719" s="1360"/>
      <c r="AK719" s="1352" t="s">
        <v>592</v>
      </c>
      <c r="AL719" s="1353"/>
      <c r="AM719" s="1353"/>
      <c r="AN719" s="1353"/>
      <c r="AO719" s="1354"/>
      <c r="AP719" s="3"/>
      <c r="AQ719" s="3"/>
      <c r="AR719" s="3"/>
      <c r="AS719" s="3"/>
      <c r="AZ719" s="118">
        <f>IF($G719=0,"N/A",VLOOKUP($T$189,TC_Rent,(MATCH($B719,bedrooms,FALSE)),FALSE))</f>
        <v>2426</v>
      </c>
      <c r="BA719" s="3"/>
      <c r="BB719" s="3"/>
      <c r="BC719" s="3"/>
      <c r="BD719" s="3"/>
      <c r="BE719" s="205"/>
      <c r="BF719" s="295">
        <f t="shared" si="9"/>
        <v>12</v>
      </c>
      <c r="BG719" s="298">
        <f t="shared" si="10"/>
        <v>5.0209205020920501E-2</v>
      </c>
      <c r="BH719" s="299">
        <f t="shared" si="11"/>
        <v>4.0167364016736401E-2</v>
      </c>
      <c r="BI719" s="3"/>
      <c r="BJ719" s="3"/>
      <c r="BK719" s="3"/>
      <c r="BL719" s="3"/>
      <c r="BM719" s="3"/>
      <c r="BN719" s="3"/>
      <c r="BS719" s="295">
        <f t="shared" si="12"/>
        <v>12</v>
      </c>
      <c r="BT719" s="298">
        <f t="shared" si="13"/>
        <v>5.0209205020920501E-2</v>
      </c>
      <c r="BU719" s="299">
        <f t="shared" si="14"/>
        <v>4.0192199567447497E-2</v>
      </c>
      <c r="CC719" s="3"/>
      <c r="CD719" s="3"/>
      <c r="CE719" s="3"/>
      <c r="CF719" s="3"/>
      <c r="CG719" s="1348">
        <f t="shared" ref="CG719:CG752" si="36">IF(AND(AC719&lt;=0.5,AC719&gt;=0.36),1,0)</f>
        <v>0</v>
      </c>
      <c r="CH719" s="1350"/>
      <c r="CI719" s="1334">
        <f t="shared" ref="CI719:CI752" si="37">IF(CG719=1,G719,0)</f>
        <v>0</v>
      </c>
      <c r="CJ719" s="1336"/>
      <c r="CK719" s="1348">
        <f t="shared" si="15"/>
        <v>0</v>
      </c>
      <c r="CL719" s="1350"/>
      <c r="CM719" s="1334">
        <f t="shared" si="16"/>
        <v>0</v>
      </c>
      <c r="CN719" s="1336"/>
      <c r="CO719" s="3"/>
      <c r="CP719" s="1331">
        <f t="shared" si="17"/>
        <v>12</v>
      </c>
      <c r="CQ719" s="1332"/>
      <c r="CR719" s="1332"/>
      <c r="CS719" s="1332"/>
      <c r="CT719" s="1333"/>
      <c r="CU719" s="1351">
        <f t="shared" si="18"/>
        <v>0</v>
      </c>
      <c r="CV719" s="1351"/>
      <c r="CW719" s="1351"/>
      <c r="CX719" s="1351"/>
      <c r="CY719" s="1351"/>
      <c r="CZ719" s="1351">
        <f t="shared" si="19"/>
        <v>0</v>
      </c>
      <c r="DA719" s="1351"/>
      <c r="DB719" s="1351"/>
      <c r="DC719" s="1351"/>
      <c r="DD719" s="1351"/>
      <c r="DE719" s="1351">
        <f t="shared" si="20"/>
        <v>0</v>
      </c>
      <c r="DF719" s="1351"/>
      <c r="DG719" s="1351"/>
      <c r="DH719" s="1351"/>
      <c r="DI719" s="1351"/>
      <c r="DJ719" s="1351">
        <f t="shared" si="21"/>
        <v>0</v>
      </c>
      <c r="DK719" s="1351"/>
      <c r="DL719" s="1351"/>
      <c r="DM719" s="1351"/>
      <c r="DN719" s="1351"/>
      <c r="DO719" s="1351">
        <f t="shared" si="22"/>
        <v>0</v>
      </c>
      <c r="DP719" s="1351"/>
      <c r="DQ719" s="1351"/>
      <c r="DR719" s="1351"/>
      <c r="DS719" s="1351"/>
      <c r="DT719" s="6"/>
      <c r="DU719" s="1368">
        <f t="shared" si="23"/>
        <v>0</v>
      </c>
      <c r="DV719" s="1368"/>
      <c r="DW719" s="1368"/>
      <c r="DX719" s="1368"/>
      <c r="DY719" s="1368"/>
      <c r="DZ719" s="1368">
        <f t="shared" si="24"/>
        <v>0</v>
      </c>
      <c r="EA719" s="1368"/>
      <c r="EB719" s="1368"/>
      <c r="EC719" s="1368"/>
      <c r="ED719" s="1368"/>
      <c r="EE719" s="1368">
        <f t="shared" si="25"/>
        <v>0</v>
      </c>
      <c r="EF719" s="1368"/>
      <c r="EG719" s="1368"/>
      <c r="EH719" s="1368"/>
      <c r="EI719" s="1368"/>
      <c r="EJ719" s="1368">
        <f t="shared" si="26"/>
        <v>0</v>
      </c>
      <c r="EK719" s="1368"/>
      <c r="EL719" s="1368"/>
      <c r="EM719" s="1368"/>
      <c r="EN719" s="1368"/>
      <c r="EO719" s="1368">
        <f t="shared" si="27"/>
        <v>0</v>
      </c>
      <c r="EP719" s="1368"/>
      <c r="EQ719" s="1368"/>
      <c r="ER719" s="1368"/>
      <c r="ES719" s="1368"/>
      <c r="ET719" s="1368">
        <f t="shared" si="28"/>
        <v>0</v>
      </c>
      <c r="EU719" s="1368"/>
      <c r="EV719" s="1368"/>
      <c r="EW719" s="1368"/>
      <c r="EX719" s="1368"/>
      <c r="EY719" s="4"/>
      <c r="EZ719" s="1348">
        <f t="shared" si="29"/>
        <v>1911</v>
      </c>
      <c r="FA719" s="1349"/>
      <c r="FB719" s="1349"/>
      <c r="FC719" s="1349"/>
      <c r="FD719" s="1350"/>
      <c r="FE719" s="1348" t="str">
        <f t="shared" si="30"/>
        <v/>
      </c>
      <c r="FF719" s="1349"/>
      <c r="FG719" s="1349"/>
      <c r="FH719" s="1349"/>
      <c r="FI719" s="1350"/>
      <c r="FJ719" s="1348" t="str">
        <f t="shared" si="31"/>
        <v/>
      </c>
      <c r="FK719" s="1349"/>
      <c r="FL719" s="1349"/>
      <c r="FM719" s="1349"/>
      <c r="FN719" s="1350"/>
      <c r="FO719" s="1348" t="str">
        <f t="shared" si="32"/>
        <v/>
      </c>
      <c r="FP719" s="1349"/>
      <c r="FQ719" s="1349"/>
      <c r="FR719" s="1349"/>
      <c r="FS719" s="1350"/>
      <c r="FT719" s="1348" t="str">
        <f t="shared" si="33"/>
        <v/>
      </c>
      <c r="FU719" s="1349"/>
      <c r="FV719" s="1349"/>
      <c r="FW719" s="1349"/>
      <c r="FX719" s="1350"/>
      <c r="FY719" s="1348" t="str">
        <f t="shared" si="34"/>
        <v/>
      </c>
      <c r="FZ719" s="1349"/>
      <c r="GA719" s="1349"/>
      <c r="GB719" s="1349"/>
      <c r="GC719" s="1350"/>
    </row>
    <row r="720" spans="1:185" ht="13" customHeight="1">
      <c r="A720" s="4"/>
      <c r="B720" s="1352" t="s">
        <v>325</v>
      </c>
      <c r="C720" s="1353"/>
      <c r="D720" s="1353"/>
      <c r="E720" s="1353"/>
      <c r="F720" s="1354"/>
      <c r="G720" s="1364">
        <v>60</v>
      </c>
      <c r="H720" s="1365"/>
      <c r="I720" s="1365"/>
      <c r="J720" s="1366"/>
      <c r="K720" s="1606">
        <v>588</v>
      </c>
      <c r="L720" s="1607"/>
      <c r="M720" s="1607"/>
      <c r="N720" s="1608"/>
      <c r="O720" s="1405">
        <v>737</v>
      </c>
      <c r="P720" s="1406"/>
      <c r="Q720" s="1406"/>
      <c r="R720" s="1406"/>
      <c r="S720" s="1407"/>
      <c r="T720" s="1405">
        <v>43</v>
      </c>
      <c r="U720" s="1406"/>
      <c r="V720" s="1406"/>
      <c r="W720" s="1407"/>
      <c r="X720" s="1355">
        <f t="shared" si="8"/>
        <v>780</v>
      </c>
      <c r="Y720" s="1356"/>
      <c r="Z720" s="1356"/>
      <c r="AA720" s="1356"/>
      <c r="AB720" s="1357"/>
      <c r="AC720" s="1361">
        <v>0.3</v>
      </c>
      <c r="AD720" s="1362"/>
      <c r="AE720" s="1362"/>
      <c r="AF720" s="1362"/>
      <c r="AG720" s="1363"/>
      <c r="AH720" s="1358">
        <f t="shared" si="35"/>
        <v>0.3</v>
      </c>
      <c r="AI720" s="1359"/>
      <c r="AJ720" s="1360"/>
      <c r="AK720" s="1352" t="s">
        <v>592</v>
      </c>
      <c r="AL720" s="1353"/>
      <c r="AM720" s="1353"/>
      <c r="AN720" s="1353"/>
      <c r="AO720" s="1354"/>
      <c r="AP720" s="3"/>
      <c r="AQ720" s="3"/>
      <c r="AR720" s="3"/>
      <c r="AS720" s="3"/>
      <c r="AZ720" s="118">
        <f>IF($G720=0,"N/A",VLOOKUP($T$189,TC_Rent,(MATCH($B720,bedrooms,FALSE)),FALSE))</f>
        <v>2600</v>
      </c>
      <c r="BA720" s="3"/>
      <c r="BB720" s="3"/>
      <c r="BC720" s="3"/>
      <c r="BD720" s="3"/>
      <c r="BE720" s="205"/>
      <c r="BF720" s="295">
        <f t="shared" si="9"/>
        <v>60</v>
      </c>
      <c r="BG720" s="298">
        <f t="shared" si="10"/>
        <v>0.2510460251046025</v>
      </c>
      <c r="BH720" s="299">
        <f t="shared" si="11"/>
        <v>7.5313807531380741E-2</v>
      </c>
      <c r="BI720" s="3"/>
      <c r="BJ720" s="3"/>
      <c r="BK720" s="3"/>
      <c r="BL720" s="3"/>
      <c r="BM720" s="3"/>
      <c r="BN720" s="3"/>
      <c r="BS720" s="295">
        <f t="shared" si="12"/>
        <v>60</v>
      </c>
      <c r="BT720" s="298">
        <f t="shared" si="13"/>
        <v>0.2510460251046025</v>
      </c>
      <c r="BU720" s="299">
        <f t="shared" si="14"/>
        <v>7.5313807531380741E-2</v>
      </c>
      <c r="CC720" s="3"/>
      <c r="CD720" s="3"/>
      <c r="CE720" s="3"/>
      <c r="CF720" s="3"/>
      <c r="CG720" s="1348">
        <f t="shared" si="36"/>
        <v>0</v>
      </c>
      <c r="CH720" s="1350"/>
      <c r="CI720" s="1334">
        <f t="shared" si="37"/>
        <v>0</v>
      </c>
      <c r="CJ720" s="1336"/>
      <c r="CK720" s="1348">
        <f t="shared" si="15"/>
        <v>1</v>
      </c>
      <c r="CL720" s="1350"/>
      <c r="CM720" s="1334">
        <f t="shared" si="16"/>
        <v>60</v>
      </c>
      <c r="CN720" s="1336"/>
      <c r="CO720" s="3"/>
      <c r="CP720" s="1331">
        <f t="shared" si="17"/>
        <v>0</v>
      </c>
      <c r="CQ720" s="1332"/>
      <c r="CR720" s="1332"/>
      <c r="CS720" s="1332"/>
      <c r="CT720" s="1333"/>
      <c r="CU720" s="1351">
        <f t="shared" si="18"/>
        <v>60</v>
      </c>
      <c r="CV720" s="1351"/>
      <c r="CW720" s="1351"/>
      <c r="CX720" s="1351"/>
      <c r="CY720" s="1351"/>
      <c r="CZ720" s="1351">
        <f t="shared" si="19"/>
        <v>0</v>
      </c>
      <c r="DA720" s="1351"/>
      <c r="DB720" s="1351"/>
      <c r="DC720" s="1351"/>
      <c r="DD720" s="1351"/>
      <c r="DE720" s="1351">
        <f t="shared" si="20"/>
        <v>0</v>
      </c>
      <c r="DF720" s="1351"/>
      <c r="DG720" s="1351"/>
      <c r="DH720" s="1351"/>
      <c r="DI720" s="1351"/>
      <c r="DJ720" s="1351">
        <f t="shared" si="21"/>
        <v>0</v>
      </c>
      <c r="DK720" s="1351"/>
      <c r="DL720" s="1351"/>
      <c r="DM720" s="1351"/>
      <c r="DN720" s="1351"/>
      <c r="DO720" s="1351">
        <f t="shared" si="22"/>
        <v>0</v>
      </c>
      <c r="DP720" s="1351"/>
      <c r="DQ720" s="1351"/>
      <c r="DR720" s="1351"/>
      <c r="DS720" s="1351"/>
      <c r="DT720" s="6"/>
      <c r="DU720" s="1368">
        <f t="shared" si="23"/>
        <v>0</v>
      </c>
      <c r="DV720" s="1368"/>
      <c r="DW720" s="1368"/>
      <c r="DX720" s="1368"/>
      <c r="DY720" s="1368"/>
      <c r="DZ720" s="1368">
        <f t="shared" si="24"/>
        <v>60</v>
      </c>
      <c r="EA720" s="1368"/>
      <c r="EB720" s="1368"/>
      <c r="EC720" s="1368"/>
      <c r="ED720" s="1368"/>
      <c r="EE720" s="1368">
        <f t="shared" si="25"/>
        <v>0</v>
      </c>
      <c r="EF720" s="1368"/>
      <c r="EG720" s="1368"/>
      <c r="EH720" s="1368"/>
      <c r="EI720" s="1368"/>
      <c r="EJ720" s="1368">
        <f t="shared" si="26"/>
        <v>0</v>
      </c>
      <c r="EK720" s="1368"/>
      <c r="EL720" s="1368"/>
      <c r="EM720" s="1368"/>
      <c r="EN720" s="1368"/>
      <c r="EO720" s="1368">
        <f t="shared" si="27"/>
        <v>0</v>
      </c>
      <c r="EP720" s="1368"/>
      <c r="EQ720" s="1368"/>
      <c r="ER720" s="1368"/>
      <c r="ES720" s="1368"/>
      <c r="ET720" s="1368">
        <f t="shared" si="28"/>
        <v>0</v>
      </c>
      <c r="EU720" s="1368"/>
      <c r="EV720" s="1368"/>
      <c r="EW720" s="1368"/>
      <c r="EX720" s="1368"/>
      <c r="EZ720" s="1348" t="str">
        <f t="shared" si="29"/>
        <v/>
      </c>
      <c r="FA720" s="1349"/>
      <c r="FB720" s="1349"/>
      <c r="FC720" s="1349"/>
      <c r="FD720" s="1350"/>
      <c r="FE720" s="1348">
        <f t="shared" si="30"/>
        <v>737</v>
      </c>
      <c r="FF720" s="1349"/>
      <c r="FG720" s="1349"/>
      <c r="FH720" s="1349"/>
      <c r="FI720" s="1350"/>
      <c r="FJ720" s="1348" t="str">
        <f t="shared" si="31"/>
        <v/>
      </c>
      <c r="FK720" s="1349"/>
      <c r="FL720" s="1349"/>
      <c r="FM720" s="1349"/>
      <c r="FN720" s="1350"/>
      <c r="FO720" s="1348" t="str">
        <f t="shared" si="32"/>
        <v/>
      </c>
      <c r="FP720" s="1349"/>
      <c r="FQ720" s="1349"/>
      <c r="FR720" s="1349"/>
      <c r="FS720" s="1350"/>
      <c r="FT720" s="1348" t="str">
        <f t="shared" si="33"/>
        <v/>
      </c>
      <c r="FU720" s="1349"/>
      <c r="FV720" s="1349"/>
      <c r="FW720" s="1349"/>
      <c r="FX720" s="1350"/>
      <c r="FY720" s="1348" t="str">
        <f t="shared" si="34"/>
        <v/>
      </c>
      <c r="FZ720" s="1349"/>
      <c r="GA720" s="1349"/>
      <c r="GB720" s="1349"/>
      <c r="GC720" s="1350"/>
    </row>
    <row r="721" spans="1:185" ht="13" customHeight="1">
      <c r="B721" s="1352" t="s">
        <v>325</v>
      </c>
      <c r="C721" s="1353"/>
      <c r="D721" s="1353"/>
      <c r="E721" s="1353"/>
      <c r="F721" s="1354"/>
      <c r="G721" s="1364">
        <v>73</v>
      </c>
      <c r="H721" s="1365"/>
      <c r="I721" s="1365"/>
      <c r="J721" s="1366"/>
      <c r="K721" s="1606">
        <f>K720</f>
        <v>588</v>
      </c>
      <c r="L721" s="1607"/>
      <c r="M721" s="1607"/>
      <c r="N721" s="1608"/>
      <c r="O721" s="1405">
        <v>2037</v>
      </c>
      <c r="P721" s="1406"/>
      <c r="Q721" s="1406"/>
      <c r="R721" s="1406"/>
      <c r="S721" s="1407"/>
      <c r="T721" s="1405">
        <f>T720</f>
        <v>43</v>
      </c>
      <c r="U721" s="1406"/>
      <c r="V721" s="1406"/>
      <c r="W721" s="1407"/>
      <c r="X721" s="1355">
        <f t="shared" si="8"/>
        <v>2080</v>
      </c>
      <c r="Y721" s="1356"/>
      <c r="Z721" s="1356"/>
      <c r="AA721" s="1356"/>
      <c r="AB721" s="1357"/>
      <c r="AC721" s="1361">
        <v>0.8</v>
      </c>
      <c r="AD721" s="1362"/>
      <c r="AE721" s="1362"/>
      <c r="AF721" s="1362"/>
      <c r="AG721" s="1363"/>
      <c r="AH721" s="1358">
        <f t="shared" si="35"/>
        <v>0.8</v>
      </c>
      <c r="AI721" s="1359"/>
      <c r="AJ721" s="1360"/>
      <c r="AK721" s="1352" t="s">
        <v>592</v>
      </c>
      <c r="AL721" s="1353"/>
      <c r="AM721" s="1353"/>
      <c r="AN721" s="1353"/>
      <c r="AO721" s="1354"/>
      <c r="AP721" s="3"/>
      <c r="AQ721" s="3"/>
      <c r="AR721" s="3"/>
      <c r="AS721" s="3"/>
      <c r="AY721" s="116"/>
      <c r="AZ721" s="118">
        <f>IF($G721=0,"N/A",VLOOKUP($T$189,TC_Rent,(MATCH($B721,bedrooms,FALSE)),FALSE))</f>
        <v>2600</v>
      </c>
      <c r="BA721" s="3"/>
      <c r="BB721" s="3"/>
      <c r="BC721" s="3"/>
      <c r="BD721" s="3"/>
      <c r="BE721" s="205"/>
      <c r="BF721" s="295">
        <f t="shared" si="9"/>
        <v>73</v>
      </c>
      <c r="BG721" s="298">
        <f t="shared" si="10"/>
        <v>0.30543933054393307</v>
      </c>
      <c r="BH721" s="299">
        <f t="shared" si="11"/>
        <v>0.24435146443514646</v>
      </c>
      <c r="BI721" s="3"/>
      <c r="BJ721" s="3"/>
      <c r="BK721" s="3"/>
      <c r="BL721" s="3"/>
      <c r="BM721" s="3"/>
      <c r="BN721" s="3"/>
      <c r="BS721" s="295">
        <f t="shared" si="12"/>
        <v>73</v>
      </c>
      <c r="BT721" s="298">
        <f t="shared" si="13"/>
        <v>0.30543933054393307</v>
      </c>
      <c r="BU721" s="299">
        <f t="shared" si="14"/>
        <v>0.24435146443514646</v>
      </c>
      <c r="CC721" s="3"/>
      <c r="CD721" s="3"/>
      <c r="CE721" s="3"/>
      <c r="CF721" s="3"/>
      <c r="CG721" s="1348">
        <f t="shared" si="36"/>
        <v>0</v>
      </c>
      <c r="CH721" s="1350"/>
      <c r="CI721" s="1334">
        <f t="shared" si="37"/>
        <v>0</v>
      </c>
      <c r="CJ721" s="1336"/>
      <c r="CK721" s="1348">
        <f t="shared" si="15"/>
        <v>0</v>
      </c>
      <c r="CL721" s="1350"/>
      <c r="CM721" s="1334">
        <f t="shared" si="16"/>
        <v>0</v>
      </c>
      <c r="CN721" s="1336"/>
      <c r="CO721" s="3"/>
      <c r="CP721" s="1331">
        <f t="shared" si="17"/>
        <v>0</v>
      </c>
      <c r="CQ721" s="1332"/>
      <c r="CR721" s="1332"/>
      <c r="CS721" s="1332"/>
      <c r="CT721" s="1333"/>
      <c r="CU721" s="1351">
        <f t="shared" si="18"/>
        <v>73</v>
      </c>
      <c r="CV721" s="1351"/>
      <c r="CW721" s="1351"/>
      <c r="CX721" s="1351"/>
      <c r="CY721" s="1351"/>
      <c r="CZ721" s="1351">
        <f t="shared" si="19"/>
        <v>0</v>
      </c>
      <c r="DA721" s="1351"/>
      <c r="DB721" s="1351"/>
      <c r="DC721" s="1351"/>
      <c r="DD721" s="1351"/>
      <c r="DE721" s="1351">
        <f t="shared" si="20"/>
        <v>0</v>
      </c>
      <c r="DF721" s="1351"/>
      <c r="DG721" s="1351"/>
      <c r="DH721" s="1351"/>
      <c r="DI721" s="1351"/>
      <c r="DJ721" s="1351">
        <f t="shared" si="21"/>
        <v>0</v>
      </c>
      <c r="DK721" s="1351"/>
      <c r="DL721" s="1351"/>
      <c r="DM721" s="1351"/>
      <c r="DN721" s="1351"/>
      <c r="DO721" s="1351">
        <f t="shared" si="22"/>
        <v>0</v>
      </c>
      <c r="DP721" s="1351"/>
      <c r="DQ721" s="1351"/>
      <c r="DR721" s="1351"/>
      <c r="DS721" s="1351"/>
      <c r="DT721" s="6"/>
      <c r="DU721" s="1368">
        <f t="shared" si="23"/>
        <v>0</v>
      </c>
      <c r="DV721" s="1368"/>
      <c r="DW721" s="1368"/>
      <c r="DX721" s="1368"/>
      <c r="DY721" s="1368"/>
      <c r="DZ721" s="1368">
        <f t="shared" si="24"/>
        <v>0</v>
      </c>
      <c r="EA721" s="1368"/>
      <c r="EB721" s="1368"/>
      <c r="EC721" s="1368"/>
      <c r="ED721" s="1368"/>
      <c r="EE721" s="1368">
        <f t="shared" si="25"/>
        <v>0</v>
      </c>
      <c r="EF721" s="1368"/>
      <c r="EG721" s="1368"/>
      <c r="EH721" s="1368"/>
      <c r="EI721" s="1368"/>
      <c r="EJ721" s="1368">
        <f t="shared" si="26"/>
        <v>0</v>
      </c>
      <c r="EK721" s="1368"/>
      <c r="EL721" s="1368"/>
      <c r="EM721" s="1368"/>
      <c r="EN721" s="1368"/>
      <c r="EO721" s="1368">
        <f t="shared" si="27"/>
        <v>0</v>
      </c>
      <c r="EP721" s="1368"/>
      <c r="EQ721" s="1368"/>
      <c r="ER721" s="1368"/>
      <c r="ES721" s="1368"/>
      <c r="ET721" s="1368">
        <f t="shared" si="28"/>
        <v>0</v>
      </c>
      <c r="EU721" s="1368"/>
      <c r="EV721" s="1368"/>
      <c r="EW721" s="1368"/>
      <c r="EX721" s="1368"/>
      <c r="EZ721" s="1348" t="str">
        <f t="shared" si="29"/>
        <v/>
      </c>
      <c r="FA721" s="1349"/>
      <c r="FB721" s="1349"/>
      <c r="FC721" s="1349"/>
      <c r="FD721" s="1350"/>
      <c r="FE721" s="1348">
        <f t="shared" si="30"/>
        <v>2037</v>
      </c>
      <c r="FF721" s="1349"/>
      <c r="FG721" s="1349"/>
      <c r="FH721" s="1349"/>
      <c r="FI721" s="1350"/>
      <c r="FJ721" s="1348" t="str">
        <f t="shared" si="31"/>
        <v/>
      </c>
      <c r="FK721" s="1349"/>
      <c r="FL721" s="1349"/>
      <c r="FM721" s="1349"/>
      <c r="FN721" s="1350"/>
      <c r="FO721" s="1348" t="str">
        <f t="shared" si="32"/>
        <v/>
      </c>
      <c r="FP721" s="1349"/>
      <c r="FQ721" s="1349"/>
      <c r="FR721" s="1349"/>
      <c r="FS721" s="1350"/>
      <c r="FT721" s="1348" t="str">
        <f t="shared" si="33"/>
        <v/>
      </c>
      <c r="FU721" s="1349"/>
      <c r="FV721" s="1349"/>
      <c r="FW721" s="1349"/>
      <c r="FX721" s="1350"/>
      <c r="FY721" s="1348" t="str">
        <f t="shared" si="34"/>
        <v/>
      </c>
      <c r="FZ721" s="1349"/>
      <c r="GA721" s="1349"/>
      <c r="GB721" s="1349"/>
      <c r="GC721" s="1350"/>
    </row>
    <row r="722" spans="1:185" ht="13" customHeight="1">
      <c r="B722" s="1352" t="s">
        <v>163</v>
      </c>
      <c r="C722" s="1353"/>
      <c r="D722" s="1353"/>
      <c r="E722" s="1353"/>
      <c r="F722" s="1354"/>
      <c r="G722" s="1364">
        <v>13</v>
      </c>
      <c r="H722" s="1365"/>
      <c r="I722" s="1365"/>
      <c r="J722" s="1366"/>
      <c r="K722" s="1606">
        <v>674</v>
      </c>
      <c r="L722" s="1607"/>
      <c r="M722" s="1607"/>
      <c r="N722" s="1608"/>
      <c r="O722" s="1405">
        <v>880</v>
      </c>
      <c r="P722" s="1406"/>
      <c r="Q722" s="1406"/>
      <c r="R722" s="1406"/>
      <c r="S722" s="1407"/>
      <c r="T722" s="1405">
        <v>56</v>
      </c>
      <c r="U722" s="1406"/>
      <c r="V722" s="1406"/>
      <c r="W722" s="1407"/>
      <c r="X722" s="1355">
        <f t="shared" si="8"/>
        <v>936</v>
      </c>
      <c r="Y722" s="1356"/>
      <c r="Z722" s="1356"/>
      <c r="AA722" s="1356"/>
      <c r="AB722" s="1357"/>
      <c r="AC722" s="1361">
        <v>0.3</v>
      </c>
      <c r="AD722" s="1362"/>
      <c r="AE722" s="1362"/>
      <c r="AF722" s="1362"/>
      <c r="AG722" s="1363"/>
      <c r="AH722" s="1358">
        <f t="shared" si="35"/>
        <v>0.3</v>
      </c>
      <c r="AI722" s="1359"/>
      <c r="AJ722" s="1360"/>
      <c r="AK722" s="1352" t="s">
        <v>592</v>
      </c>
      <c r="AL722" s="1353"/>
      <c r="AM722" s="1353"/>
      <c r="AN722" s="1353"/>
      <c r="AO722" s="1354"/>
      <c r="AP722" s="3"/>
      <c r="AQ722" s="3"/>
      <c r="AR722" s="3"/>
      <c r="AS722" s="3"/>
      <c r="AY722" s="116"/>
      <c r="AZ722" s="118">
        <f>IF($G722=0,"N/A",VLOOKUP($T$189,TC_Rent,(MATCH($B722,bedrooms,FALSE)),FALSE))</f>
        <v>3120</v>
      </c>
      <c r="BA722" s="3"/>
      <c r="BB722" s="3"/>
      <c r="BC722" s="3"/>
      <c r="BD722" s="3"/>
      <c r="BE722" s="205"/>
      <c r="BF722" s="295">
        <f t="shared" si="9"/>
        <v>13</v>
      </c>
      <c r="BG722" s="298">
        <f t="shared" si="10"/>
        <v>5.4393305439330547E-2</v>
      </c>
      <c r="BH722" s="299">
        <f t="shared" si="11"/>
        <v>1.6317991631799162E-2</v>
      </c>
      <c r="BI722" s="3"/>
      <c r="BJ722" s="3"/>
      <c r="BK722" s="3"/>
      <c r="BL722" s="3"/>
      <c r="BM722" s="3"/>
      <c r="BN722" s="3"/>
      <c r="BS722" s="295">
        <f t="shared" si="12"/>
        <v>13</v>
      </c>
      <c r="BT722" s="298">
        <f t="shared" si="13"/>
        <v>5.4393305439330547E-2</v>
      </c>
      <c r="BU722" s="299">
        <f t="shared" si="14"/>
        <v>1.6317991631799162E-2</v>
      </c>
      <c r="CC722" s="3"/>
      <c r="CD722" s="3"/>
      <c r="CE722" s="3"/>
      <c r="CF722" s="3"/>
      <c r="CG722" s="1348">
        <f t="shared" si="36"/>
        <v>0</v>
      </c>
      <c r="CH722" s="1350"/>
      <c r="CI722" s="1334">
        <f t="shared" si="37"/>
        <v>0</v>
      </c>
      <c r="CJ722" s="1336"/>
      <c r="CK722" s="1348">
        <f t="shared" si="15"/>
        <v>1</v>
      </c>
      <c r="CL722" s="1350"/>
      <c r="CM722" s="1334">
        <f t="shared" si="16"/>
        <v>13</v>
      </c>
      <c r="CN722" s="1336"/>
      <c r="CO722" s="3"/>
      <c r="CP722" s="1331">
        <f t="shared" si="17"/>
        <v>0</v>
      </c>
      <c r="CQ722" s="1332"/>
      <c r="CR722" s="1332"/>
      <c r="CS722" s="1332"/>
      <c r="CT722" s="1333"/>
      <c r="CU722" s="1351">
        <f t="shared" si="18"/>
        <v>0</v>
      </c>
      <c r="CV722" s="1351"/>
      <c r="CW722" s="1351"/>
      <c r="CX722" s="1351"/>
      <c r="CY722" s="1351"/>
      <c r="CZ722" s="1351">
        <f t="shared" si="19"/>
        <v>13</v>
      </c>
      <c r="DA722" s="1351"/>
      <c r="DB722" s="1351"/>
      <c r="DC722" s="1351"/>
      <c r="DD722" s="1351"/>
      <c r="DE722" s="1351">
        <f t="shared" si="20"/>
        <v>0</v>
      </c>
      <c r="DF722" s="1351"/>
      <c r="DG722" s="1351"/>
      <c r="DH722" s="1351"/>
      <c r="DI722" s="1351"/>
      <c r="DJ722" s="1351">
        <f t="shared" si="21"/>
        <v>0</v>
      </c>
      <c r="DK722" s="1351"/>
      <c r="DL722" s="1351"/>
      <c r="DM722" s="1351"/>
      <c r="DN722" s="1351"/>
      <c r="DO722" s="1351">
        <f t="shared" si="22"/>
        <v>0</v>
      </c>
      <c r="DP722" s="1351"/>
      <c r="DQ722" s="1351"/>
      <c r="DR722" s="1351"/>
      <c r="DS722" s="1351"/>
      <c r="DT722" s="6"/>
      <c r="DU722" s="1368">
        <f t="shared" si="23"/>
        <v>0</v>
      </c>
      <c r="DV722" s="1368"/>
      <c r="DW722" s="1368"/>
      <c r="DX722" s="1368"/>
      <c r="DY722" s="1368"/>
      <c r="DZ722" s="1368">
        <f t="shared" si="24"/>
        <v>0</v>
      </c>
      <c r="EA722" s="1368"/>
      <c r="EB722" s="1368"/>
      <c r="EC722" s="1368"/>
      <c r="ED722" s="1368"/>
      <c r="EE722" s="1368">
        <f t="shared" si="25"/>
        <v>13</v>
      </c>
      <c r="EF722" s="1368"/>
      <c r="EG722" s="1368"/>
      <c r="EH722" s="1368"/>
      <c r="EI722" s="1368"/>
      <c r="EJ722" s="1368">
        <f t="shared" si="26"/>
        <v>0</v>
      </c>
      <c r="EK722" s="1368"/>
      <c r="EL722" s="1368"/>
      <c r="EM722" s="1368"/>
      <c r="EN722" s="1368"/>
      <c r="EO722" s="1368">
        <f t="shared" si="27"/>
        <v>0</v>
      </c>
      <c r="EP722" s="1368"/>
      <c r="EQ722" s="1368"/>
      <c r="ER722" s="1368"/>
      <c r="ES722" s="1368"/>
      <c r="ET722" s="1368">
        <f t="shared" si="28"/>
        <v>0</v>
      </c>
      <c r="EU722" s="1368"/>
      <c r="EV722" s="1368"/>
      <c r="EW722" s="1368"/>
      <c r="EX722" s="1368"/>
      <c r="EZ722" s="1348" t="str">
        <f t="shared" si="29"/>
        <v/>
      </c>
      <c r="FA722" s="1349"/>
      <c r="FB722" s="1349"/>
      <c r="FC722" s="1349"/>
      <c r="FD722" s="1350"/>
      <c r="FE722" s="1348" t="str">
        <f t="shared" si="30"/>
        <v/>
      </c>
      <c r="FF722" s="1349"/>
      <c r="FG722" s="1349"/>
      <c r="FH722" s="1349"/>
      <c r="FI722" s="1350"/>
      <c r="FJ722" s="1348">
        <f t="shared" si="31"/>
        <v>880</v>
      </c>
      <c r="FK722" s="1349"/>
      <c r="FL722" s="1349"/>
      <c r="FM722" s="1349"/>
      <c r="FN722" s="1350"/>
      <c r="FO722" s="1348" t="str">
        <f t="shared" si="32"/>
        <v/>
      </c>
      <c r="FP722" s="1349"/>
      <c r="FQ722" s="1349"/>
      <c r="FR722" s="1349"/>
      <c r="FS722" s="1350"/>
      <c r="FT722" s="1348" t="str">
        <f t="shared" si="33"/>
        <v/>
      </c>
      <c r="FU722" s="1349"/>
      <c r="FV722" s="1349"/>
      <c r="FW722" s="1349"/>
      <c r="FX722" s="1350"/>
      <c r="FY722" s="1348" t="str">
        <f t="shared" si="34"/>
        <v/>
      </c>
      <c r="FZ722" s="1349"/>
      <c r="GA722" s="1349"/>
      <c r="GB722" s="1349"/>
      <c r="GC722" s="1350"/>
    </row>
    <row r="723" spans="1:185" ht="13" customHeight="1">
      <c r="B723" s="1352" t="s">
        <v>163</v>
      </c>
      <c r="C723" s="1353"/>
      <c r="D723" s="1353"/>
      <c r="E723" s="1353"/>
      <c r="F723" s="1354"/>
      <c r="G723" s="1364">
        <v>1</v>
      </c>
      <c r="H723" s="1365"/>
      <c r="I723" s="1365"/>
      <c r="J723" s="1366"/>
      <c r="K723" s="1606">
        <f>K722</f>
        <v>674</v>
      </c>
      <c r="L723" s="1607"/>
      <c r="M723" s="1607"/>
      <c r="N723" s="1608"/>
      <c r="O723" s="1405">
        <v>1504</v>
      </c>
      <c r="P723" s="1406"/>
      <c r="Q723" s="1406"/>
      <c r="R723" s="1406"/>
      <c r="S723" s="1407"/>
      <c r="T723" s="1405">
        <f>T722</f>
        <v>56</v>
      </c>
      <c r="U723" s="1406"/>
      <c r="V723" s="1406"/>
      <c r="W723" s="1407"/>
      <c r="X723" s="1355">
        <f t="shared" si="8"/>
        <v>1560</v>
      </c>
      <c r="Y723" s="1356"/>
      <c r="Z723" s="1356"/>
      <c r="AA723" s="1356"/>
      <c r="AB723" s="1357"/>
      <c r="AC723" s="1361">
        <v>0.5</v>
      </c>
      <c r="AD723" s="1362"/>
      <c r="AE723" s="1362"/>
      <c r="AF723" s="1362"/>
      <c r="AG723" s="1363"/>
      <c r="AH723" s="1358">
        <f t="shared" si="35"/>
        <v>0.5</v>
      </c>
      <c r="AI723" s="1359"/>
      <c r="AJ723" s="1360"/>
      <c r="AK723" s="1352" t="s">
        <v>592</v>
      </c>
      <c r="AL723" s="1353"/>
      <c r="AM723" s="1353"/>
      <c r="AN723" s="1353"/>
      <c r="AO723" s="1354"/>
      <c r="AP723" s="3"/>
      <c r="AQ723" s="3"/>
      <c r="AR723" s="3"/>
      <c r="AS723" s="3"/>
      <c r="AY723" s="116"/>
      <c r="AZ723" s="118">
        <f>IF($G723=0,"N/A",VLOOKUP($T$189,TC_Rent,(MATCH($B723,bedrooms,FALSE)),FALSE))</f>
        <v>3120</v>
      </c>
      <c r="BA723" s="3"/>
      <c r="BB723" s="3"/>
      <c r="BC723" s="3"/>
      <c r="BD723" s="3"/>
      <c r="BE723" s="205"/>
      <c r="BF723" s="295">
        <f t="shared" si="9"/>
        <v>1</v>
      </c>
      <c r="BG723" s="298">
        <f t="shared" si="10"/>
        <v>4.1841004184100415E-3</v>
      </c>
      <c r="BH723" s="299">
        <f t="shared" si="11"/>
        <v>2.0920502092050207E-3</v>
      </c>
      <c r="BI723" s="3"/>
      <c r="BJ723" s="3"/>
      <c r="BK723" s="3"/>
      <c r="BL723" s="3"/>
      <c r="BM723" s="3"/>
      <c r="BN723" s="3"/>
      <c r="BS723" s="295">
        <f t="shared" si="12"/>
        <v>1</v>
      </c>
      <c r="BT723" s="298">
        <f t="shared" si="13"/>
        <v>4.1841004184100415E-3</v>
      </c>
      <c r="BU723" s="299">
        <f t="shared" si="14"/>
        <v>2.0920502092050207E-3</v>
      </c>
      <c r="CC723" s="3"/>
      <c r="CD723" s="3"/>
      <c r="CE723" s="3"/>
      <c r="CF723" s="3"/>
      <c r="CG723" s="1348">
        <f t="shared" si="36"/>
        <v>1</v>
      </c>
      <c r="CH723" s="1350"/>
      <c r="CI723" s="1334">
        <f t="shared" si="37"/>
        <v>1</v>
      </c>
      <c r="CJ723" s="1336"/>
      <c r="CK723" s="1348">
        <f t="shared" si="15"/>
        <v>0</v>
      </c>
      <c r="CL723" s="1350"/>
      <c r="CM723" s="1334">
        <f t="shared" si="16"/>
        <v>0</v>
      </c>
      <c r="CN723" s="1336"/>
      <c r="CO723" s="3"/>
      <c r="CP723" s="1331">
        <f t="shared" si="17"/>
        <v>0</v>
      </c>
      <c r="CQ723" s="1332"/>
      <c r="CR723" s="1332"/>
      <c r="CS723" s="1332"/>
      <c r="CT723" s="1333"/>
      <c r="CU723" s="1351">
        <f t="shared" si="18"/>
        <v>0</v>
      </c>
      <c r="CV723" s="1351"/>
      <c r="CW723" s="1351"/>
      <c r="CX723" s="1351"/>
      <c r="CY723" s="1351"/>
      <c r="CZ723" s="1351">
        <f t="shared" si="19"/>
        <v>1</v>
      </c>
      <c r="DA723" s="1351"/>
      <c r="DB723" s="1351"/>
      <c r="DC723" s="1351"/>
      <c r="DD723" s="1351"/>
      <c r="DE723" s="1351">
        <f t="shared" si="20"/>
        <v>0</v>
      </c>
      <c r="DF723" s="1351"/>
      <c r="DG723" s="1351"/>
      <c r="DH723" s="1351"/>
      <c r="DI723" s="1351"/>
      <c r="DJ723" s="1351">
        <f t="shared" si="21"/>
        <v>0</v>
      </c>
      <c r="DK723" s="1351"/>
      <c r="DL723" s="1351"/>
      <c r="DM723" s="1351"/>
      <c r="DN723" s="1351"/>
      <c r="DO723" s="1351">
        <f t="shared" si="22"/>
        <v>0</v>
      </c>
      <c r="DP723" s="1351"/>
      <c r="DQ723" s="1351"/>
      <c r="DR723" s="1351"/>
      <c r="DS723" s="1351"/>
      <c r="DT723" s="6"/>
      <c r="DU723" s="1368">
        <f t="shared" si="23"/>
        <v>0</v>
      </c>
      <c r="DV723" s="1368"/>
      <c r="DW723" s="1368"/>
      <c r="DX723" s="1368"/>
      <c r="DY723" s="1368"/>
      <c r="DZ723" s="1368">
        <f t="shared" si="24"/>
        <v>0</v>
      </c>
      <c r="EA723" s="1368"/>
      <c r="EB723" s="1368"/>
      <c r="EC723" s="1368"/>
      <c r="ED723" s="1368"/>
      <c r="EE723" s="1368">
        <f t="shared" si="25"/>
        <v>0</v>
      </c>
      <c r="EF723" s="1368"/>
      <c r="EG723" s="1368"/>
      <c r="EH723" s="1368"/>
      <c r="EI723" s="1368"/>
      <c r="EJ723" s="1368">
        <f t="shared" si="26"/>
        <v>0</v>
      </c>
      <c r="EK723" s="1368"/>
      <c r="EL723" s="1368"/>
      <c r="EM723" s="1368"/>
      <c r="EN723" s="1368"/>
      <c r="EO723" s="1368">
        <f t="shared" si="27"/>
        <v>0</v>
      </c>
      <c r="EP723" s="1368"/>
      <c r="EQ723" s="1368"/>
      <c r="ER723" s="1368"/>
      <c r="ES723" s="1368"/>
      <c r="ET723" s="1368">
        <f t="shared" si="28"/>
        <v>0</v>
      </c>
      <c r="EU723" s="1368"/>
      <c r="EV723" s="1368"/>
      <c r="EW723" s="1368"/>
      <c r="EX723" s="1368"/>
      <c r="EZ723" s="1348" t="str">
        <f t="shared" si="29"/>
        <v/>
      </c>
      <c r="FA723" s="1349"/>
      <c r="FB723" s="1349"/>
      <c r="FC723" s="1349"/>
      <c r="FD723" s="1350"/>
      <c r="FE723" s="1348" t="str">
        <f t="shared" si="30"/>
        <v/>
      </c>
      <c r="FF723" s="1349"/>
      <c r="FG723" s="1349"/>
      <c r="FH723" s="1349"/>
      <c r="FI723" s="1350"/>
      <c r="FJ723" s="1348">
        <f t="shared" si="31"/>
        <v>1504</v>
      </c>
      <c r="FK723" s="1349"/>
      <c r="FL723" s="1349"/>
      <c r="FM723" s="1349"/>
      <c r="FN723" s="1350"/>
      <c r="FO723" s="1348" t="str">
        <f t="shared" si="32"/>
        <v/>
      </c>
      <c r="FP723" s="1349"/>
      <c r="FQ723" s="1349"/>
      <c r="FR723" s="1349"/>
      <c r="FS723" s="1350"/>
      <c r="FT723" s="1348" t="str">
        <f t="shared" si="33"/>
        <v/>
      </c>
      <c r="FU723" s="1349"/>
      <c r="FV723" s="1349"/>
      <c r="FW723" s="1349"/>
      <c r="FX723" s="1350"/>
      <c r="FY723" s="1348" t="str">
        <f t="shared" si="34"/>
        <v/>
      </c>
      <c r="FZ723" s="1349"/>
      <c r="GA723" s="1349"/>
      <c r="GB723" s="1349"/>
      <c r="GC723" s="1350"/>
    </row>
    <row r="724" spans="1:185" ht="13" customHeight="1">
      <c r="B724" s="1352" t="s">
        <v>163</v>
      </c>
      <c r="C724" s="1353"/>
      <c r="D724" s="1353"/>
      <c r="E724" s="1353"/>
      <c r="F724" s="1354"/>
      <c r="G724" s="1364">
        <v>23</v>
      </c>
      <c r="H724" s="1365"/>
      <c r="I724" s="1365"/>
      <c r="J724" s="1366"/>
      <c r="K724" s="1606">
        <f>K723</f>
        <v>674</v>
      </c>
      <c r="L724" s="1607"/>
      <c r="M724" s="1607"/>
      <c r="N724" s="1608"/>
      <c r="O724" s="1405">
        <v>2440</v>
      </c>
      <c r="P724" s="1406"/>
      <c r="Q724" s="1406"/>
      <c r="R724" s="1406"/>
      <c r="S724" s="1407"/>
      <c r="T724" s="1405">
        <f>T723</f>
        <v>56</v>
      </c>
      <c r="U724" s="1406"/>
      <c r="V724" s="1406"/>
      <c r="W724" s="1407"/>
      <c r="X724" s="1355">
        <f t="shared" si="8"/>
        <v>2496</v>
      </c>
      <c r="Y724" s="1356"/>
      <c r="Z724" s="1356"/>
      <c r="AA724" s="1356"/>
      <c r="AB724" s="1357"/>
      <c r="AC724" s="1361">
        <v>0.8</v>
      </c>
      <c r="AD724" s="1362"/>
      <c r="AE724" s="1362"/>
      <c r="AF724" s="1362"/>
      <c r="AG724" s="1363"/>
      <c r="AH724" s="1358">
        <f t="shared" si="35"/>
        <v>0.8</v>
      </c>
      <c r="AI724" s="1359"/>
      <c r="AJ724" s="1360"/>
      <c r="AK724" s="1352" t="s">
        <v>592</v>
      </c>
      <c r="AL724" s="1353"/>
      <c r="AM724" s="1353"/>
      <c r="AN724" s="1353"/>
      <c r="AO724" s="1354"/>
      <c r="AP724" s="3"/>
      <c r="AQ724" s="3"/>
      <c r="AR724" s="3"/>
      <c r="AS724" s="3"/>
      <c r="AY724" s="116"/>
      <c r="AZ724" s="118">
        <f>IF($G724=0,"N/A",VLOOKUP($T$189,TC_Rent,(MATCH($B724,bedrooms,FALSE)),FALSE))</f>
        <v>3120</v>
      </c>
      <c r="BA724" s="3"/>
      <c r="BB724" s="3"/>
      <c r="BC724" s="3"/>
      <c r="BD724" s="3"/>
      <c r="BE724" s="205"/>
      <c r="BF724" s="295">
        <f t="shared" si="9"/>
        <v>23</v>
      </c>
      <c r="BG724" s="298">
        <f t="shared" si="10"/>
        <v>9.6234309623430964E-2</v>
      </c>
      <c r="BH724" s="299">
        <f t="shared" si="11"/>
        <v>7.6987447698744771E-2</v>
      </c>
      <c r="BI724" s="3"/>
      <c r="BJ724" s="3"/>
      <c r="BK724" s="3"/>
      <c r="BL724" s="3"/>
      <c r="BM724" s="3"/>
      <c r="BN724" s="3"/>
      <c r="BS724" s="295">
        <f t="shared" si="12"/>
        <v>23</v>
      </c>
      <c r="BT724" s="298">
        <f t="shared" si="13"/>
        <v>9.6234309623430964E-2</v>
      </c>
      <c r="BU724" s="299">
        <f t="shared" si="14"/>
        <v>7.6987447698744771E-2</v>
      </c>
      <c r="CC724" s="3"/>
      <c r="CE724" s="3"/>
      <c r="CF724" s="3"/>
      <c r="CG724" s="1348">
        <f t="shared" si="36"/>
        <v>0</v>
      </c>
      <c r="CH724" s="1350"/>
      <c r="CI724" s="1334">
        <f t="shared" si="37"/>
        <v>0</v>
      </c>
      <c r="CJ724" s="1336"/>
      <c r="CK724" s="1348">
        <f t="shared" si="15"/>
        <v>0</v>
      </c>
      <c r="CL724" s="1350"/>
      <c r="CM724" s="1334">
        <f t="shared" si="16"/>
        <v>0</v>
      </c>
      <c r="CN724" s="1336"/>
      <c r="CO724" s="3"/>
      <c r="CP724" s="1331">
        <f t="shared" si="17"/>
        <v>0</v>
      </c>
      <c r="CQ724" s="1332"/>
      <c r="CR724" s="1332"/>
      <c r="CS724" s="1332"/>
      <c r="CT724" s="1333"/>
      <c r="CU724" s="1351">
        <f t="shared" si="18"/>
        <v>0</v>
      </c>
      <c r="CV724" s="1351"/>
      <c r="CW724" s="1351"/>
      <c r="CX724" s="1351"/>
      <c r="CY724" s="1351"/>
      <c r="CZ724" s="1351">
        <f t="shared" si="19"/>
        <v>23</v>
      </c>
      <c r="DA724" s="1351"/>
      <c r="DB724" s="1351"/>
      <c r="DC724" s="1351"/>
      <c r="DD724" s="1351"/>
      <c r="DE724" s="1351">
        <f t="shared" si="20"/>
        <v>0</v>
      </c>
      <c r="DF724" s="1351"/>
      <c r="DG724" s="1351"/>
      <c r="DH724" s="1351"/>
      <c r="DI724" s="1351"/>
      <c r="DJ724" s="1351">
        <f t="shared" si="21"/>
        <v>0</v>
      </c>
      <c r="DK724" s="1351"/>
      <c r="DL724" s="1351"/>
      <c r="DM724" s="1351"/>
      <c r="DN724" s="1351"/>
      <c r="DO724" s="1351">
        <f t="shared" si="22"/>
        <v>0</v>
      </c>
      <c r="DP724" s="1351"/>
      <c r="DQ724" s="1351"/>
      <c r="DR724" s="1351"/>
      <c r="DS724" s="1351"/>
      <c r="DT724" s="6"/>
      <c r="DU724" s="1368">
        <f t="shared" si="23"/>
        <v>0</v>
      </c>
      <c r="DV724" s="1368"/>
      <c r="DW724" s="1368"/>
      <c r="DX724" s="1368"/>
      <c r="DY724" s="1368"/>
      <c r="DZ724" s="1368">
        <f t="shared" si="24"/>
        <v>0</v>
      </c>
      <c r="EA724" s="1368"/>
      <c r="EB724" s="1368"/>
      <c r="EC724" s="1368"/>
      <c r="ED724" s="1368"/>
      <c r="EE724" s="1368">
        <f t="shared" si="25"/>
        <v>0</v>
      </c>
      <c r="EF724" s="1368"/>
      <c r="EG724" s="1368"/>
      <c r="EH724" s="1368"/>
      <c r="EI724" s="1368"/>
      <c r="EJ724" s="1368">
        <f t="shared" si="26"/>
        <v>0</v>
      </c>
      <c r="EK724" s="1368"/>
      <c r="EL724" s="1368"/>
      <c r="EM724" s="1368"/>
      <c r="EN724" s="1368"/>
      <c r="EO724" s="1368">
        <f t="shared" si="27"/>
        <v>0</v>
      </c>
      <c r="EP724" s="1368"/>
      <c r="EQ724" s="1368"/>
      <c r="ER724" s="1368"/>
      <c r="ES724" s="1368"/>
      <c r="ET724" s="1368">
        <f t="shared" si="28"/>
        <v>0</v>
      </c>
      <c r="EU724" s="1368"/>
      <c r="EV724" s="1368"/>
      <c r="EW724" s="1368"/>
      <c r="EX724" s="1368"/>
      <c r="EZ724" s="1348" t="str">
        <f t="shared" si="29"/>
        <v/>
      </c>
      <c r="FA724" s="1349"/>
      <c r="FB724" s="1349"/>
      <c r="FC724" s="1349"/>
      <c r="FD724" s="1350"/>
      <c r="FE724" s="1348" t="str">
        <f t="shared" si="30"/>
        <v/>
      </c>
      <c r="FF724" s="1349"/>
      <c r="FG724" s="1349"/>
      <c r="FH724" s="1349"/>
      <c r="FI724" s="1350"/>
      <c r="FJ724" s="1348">
        <f t="shared" si="31"/>
        <v>2440</v>
      </c>
      <c r="FK724" s="1349"/>
      <c r="FL724" s="1349"/>
      <c r="FM724" s="1349"/>
      <c r="FN724" s="1350"/>
      <c r="FO724" s="1348" t="str">
        <f t="shared" si="32"/>
        <v/>
      </c>
      <c r="FP724" s="1349"/>
      <c r="FQ724" s="1349"/>
      <c r="FR724" s="1349"/>
      <c r="FS724" s="1350"/>
      <c r="FT724" s="1348" t="str">
        <f t="shared" si="33"/>
        <v/>
      </c>
      <c r="FU724" s="1349"/>
      <c r="FV724" s="1349"/>
      <c r="FW724" s="1349"/>
      <c r="FX724" s="1350"/>
      <c r="FY724" s="1348" t="str">
        <f t="shared" si="34"/>
        <v/>
      </c>
      <c r="FZ724" s="1349"/>
      <c r="GA724" s="1349"/>
      <c r="GB724" s="1349"/>
      <c r="GC724" s="1350"/>
    </row>
    <row r="725" spans="1:185" ht="13" customHeight="1">
      <c r="B725" s="1352" t="s">
        <v>164</v>
      </c>
      <c r="C725" s="1353"/>
      <c r="D725" s="1353"/>
      <c r="E725" s="1353"/>
      <c r="F725" s="1354"/>
      <c r="G725" s="1364">
        <v>13</v>
      </c>
      <c r="H725" s="1365"/>
      <c r="I725" s="1365"/>
      <c r="J725" s="1366"/>
      <c r="K725" s="1606">
        <v>973</v>
      </c>
      <c r="L725" s="1607"/>
      <c r="M725" s="1607"/>
      <c r="N725" s="1608"/>
      <c r="O725" s="1405">
        <v>1013</v>
      </c>
      <c r="P725" s="1406"/>
      <c r="Q725" s="1406"/>
      <c r="R725" s="1406"/>
      <c r="S725" s="1407"/>
      <c r="T725" s="1405">
        <v>68</v>
      </c>
      <c r="U725" s="1406"/>
      <c r="V725" s="1406"/>
      <c r="W725" s="1407"/>
      <c r="X725" s="1355">
        <f t="shared" si="8"/>
        <v>1081</v>
      </c>
      <c r="Y725" s="1356"/>
      <c r="Z725" s="1356"/>
      <c r="AA725" s="1356"/>
      <c r="AB725" s="1357"/>
      <c r="AC725" s="1361">
        <v>0.3</v>
      </c>
      <c r="AD725" s="1362"/>
      <c r="AE725" s="1362"/>
      <c r="AF725" s="1362"/>
      <c r="AG725" s="1363"/>
      <c r="AH725" s="1358">
        <f t="shared" si="35"/>
        <v>0.2997781475318913</v>
      </c>
      <c r="AI725" s="1359"/>
      <c r="AJ725" s="1360"/>
      <c r="AK725" s="1352" t="s">
        <v>592</v>
      </c>
      <c r="AL725" s="1353"/>
      <c r="AM725" s="1353"/>
      <c r="AN725" s="1353"/>
      <c r="AO725" s="1354"/>
      <c r="AP725" s="3"/>
      <c r="AQ725" s="3"/>
      <c r="AR725" s="3"/>
      <c r="AS725" s="3"/>
      <c r="AY725" s="1087"/>
      <c r="AZ725" s="118">
        <f>IF($G725=0,"N/A",VLOOKUP($T$189,TC_Rent,(MATCH($B725,bedrooms,FALSE)),FALSE))</f>
        <v>3606</v>
      </c>
      <c r="BA725" s="3"/>
      <c r="BB725" s="3"/>
      <c r="BC725" s="3"/>
      <c r="BD725" s="3"/>
      <c r="BE725" s="205"/>
      <c r="BF725" s="295">
        <f t="shared" si="9"/>
        <v>13</v>
      </c>
      <c r="BG725" s="298">
        <f t="shared" si="10"/>
        <v>5.4393305439330547E-2</v>
      </c>
      <c r="BH725" s="299">
        <f t="shared" si="11"/>
        <v>1.6317991631799162E-2</v>
      </c>
      <c r="BI725" s="3"/>
      <c r="BJ725" s="3"/>
      <c r="BK725" s="3"/>
      <c r="BL725" s="3"/>
      <c r="BM725" s="3"/>
      <c r="BN725" s="3"/>
      <c r="BS725" s="295">
        <f t="shared" si="12"/>
        <v>13</v>
      </c>
      <c r="BT725" s="298">
        <f t="shared" si="13"/>
        <v>5.4393305439330547E-2</v>
      </c>
      <c r="BU725" s="299">
        <f t="shared" si="14"/>
        <v>1.6305924342738858E-2</v>
      </c>
      <c r="BV725" s="293"/>
      <c r="BW725" s="3"/>
      <c r="BX725" s="3"/>
      <c r="BY725" s="3"/>
      <c r="BZ725" s="3"/>
      <c r="CA725" s="3"/>
      <c r="CB725" s="3"/>
      <c r="CC725" s="3"/>
      <c r="CE725" s="3"/>
      <c r="CF725" s="3"/>
      <c r="CG725" s="1348">
        <f t="shared" si="36"/>
        <v>0</v>
      </c>
      <c r="CH725" s="1350"/>
      <c r="CI725" s="1334">
        <f t="shared" si="37"/>
        <v>0</v>
      </c>
      <c r="CJ725" s="1336"/>
      <c r="CK725" s="1348">
        <f t="shared" si="15"/>
        <v>1</v>
      </c>
      <c r="CL725" s="1350"/>
      <c r="CM725" s="1334">
        <f t="shared" si="16"/>
        <v>13</v>
      </c>
      <c r="CN725" s="1336"/>
      <c r="CO725" s="3"/>
      <c r="CP725" s="1331">
        <f t="shared" si="17"/>
        <v>0</v>
      </c>
      <c r="CQ725" s="1332"/>
      <c r="CR725" s="1332"/>
      <c r="CS725" s="1332"/>
      <c r="CT725" s="1333"/>
      <c r="CU725" s="1351">
        <f t="shared" si="18"/>
        <v>0</v>
      </c>
      <c r="CV725" s="1351"/>
      <c r="CW725" s="1351"/>
      <c r="CX725" s="1351"/>
      <c r="CY725" s="1351"/>
      <c r="CZ725" s="1351">
        <f t="shared" si="19"/>
        <v>0</v>
      </c>
      <c r="DA725" s="1351"/>
      <c r="DB725" s="1351"/>
      <c r="DC725" s="1351"/>
      <c r="DD725" s="1351"/>
      <c r="DE725" s="1351">
        <f t="shared" si="20"/>
        <v>13</v>
      </c>
      <c r="DF725" s="1351"/>
      <c r="DG725" s="1351"/>
      <c r="DH725" s="1351"/>
      <c r="DI725" s="1351"/>
      <c r="DJ725" s="1351">
        <f t="shared" si="21"/>
        <v>0</v>
      </c>
      <c r="DK725" s="1351"/>
      <c r="DL725" s="1351"/>
      <c r="DM725" s="1351"/>
      <c r="DN725" s="1351"/>
      <c r="DO725" s="1351">
        <f t="shared" si="22"/>
        <v>0</v>
      </c>
      <c r="DP725" s="1351"/>
      <c r="DQ725" s="1351"/>
      <c r="DR725" s="1351"/>
      <c r="DS725" s="1351"/>
      <c r="DT725" s="6"/>
      <c r="DU725" s="1368">
        <f t="shared" si="23"/>
        <v>0</v>
      </c>
      <c r="DV725" s="1368"/>
      <c r="DW725" s="1368"/>
      <c r="DX725" s="1368"/>
      <c r="DY725" s="1368"/>
      <c r="DZ725" s="1368">
        <f t="shared" si="24"/>
        <v>0</v>
      </c>
      <c r="EA725" s="1368"/>
      <c r="EB725" s="1368"/>
      <c r="EC725" s="1368"/>
      <c r="ED725" s="1368"/>
      <c r="EE725" s="1368">
        <f t="shared" si="25"/>
        <v>0</v>
      </c>
      <c r="EF725" s="1368"/>
      <c r="EG725" s="1368"/>
      <c r="EH725" s="1368"/>
      <c r="EI725" s="1368"/>
      <c r="EJ725" s="1368">
        <f t="shared" si="26"/>
        <v>13</v>
      </c>
      <c r="EK725" s="1368"/>
      <c r="EL725" s="1368"/>
      <c r="EM725" s="1368"/>
      <c r="EN725" s="1368"/>
      <c r="EO725" s="1368">
        <f t="shared" si="27"/>
        <v>0</v>
      </c>
      <c r="EP725" s="1368"/>
      <c r="EQ725" s="1368"/>
      <c r="ER725" s="1368"/>
      <c r="ES725" s="1368"/>
      <c r="ET725" s="1368">
        <f t="shared" si="28"/>
        <v>0</v>
      </c>
      <c r="EU725" s="1368"/>
      <c r="EV725" s="1368"/>
      <c r="EW725" s="1368"/>
      <c r="EX725" s="1368"/>
      <c r="EZ725" s="1348" t="str">
        <f t="shared" si="29"/>
        <v/>
      </c>
      <c r="FA725" s="1349"/>
      <c r="FB725" s="1349"/>
      <c r="FC725" s="1349"/>
      <c r="FD725" s="1350"/>
      <c r="FE725" s="1348" t="str">
        <f t="shared" si="30"/>
        <v/>
      </c>
      <c r="FF725" s="1349"/>
      <c r="FG725" s="1349"/>
      <c r="FH725" s="1349"/>
      <c r="FI725" s="1350"/>
      <c r="FJ725" s="1348" t="str">
        <f t="shared" si="31"/>
        <v/>
      </c>
      <c r="FK725" s="1349"/>
      <c r="FL725" s="1349"/>
      <c r="FM725" s="1349"/>
      <c r="FN725" s="1350"/>
      <c r="FO725" s="1348">
        <f t="shared" si="32"/>
        <v>1013</v>
      </c>
      <c r="FP725" s="1349"/>
      <c r="FQ725" s="1349"/>
      <c r="FR725" s="1349"/>
      <c r="FS725" s="1350"/>
      <c r="FT725" s="1348" t="str">
        <f t="shared" si="33"/>
        <v/>
      </c>
      <c r="FU725" s="1349"/>
      <c r="FV725" s="1349"/>
      <c r="FW725" s="1349"/>
      <c r="FX725" s="1350"/>
      <c r="FY725" s="1348" t="str">
        <f t="shared" si="34"/>
        <v/>
      </c>
      <c r="FZ725" s="1349"/>
      <c r="GA725" s="1349"/>
      <c r="GB725" s="1349"/>
      <c r="GC725" s="1350"/>
    </row>
    <row r="726" spans="1:185" ht="13" customHeight="1">
      <c r="B726" s="1352" t="s">
        <v>164</v>
      </c>
      <c r="C726" s="1353"/>
      <c r="D726" s="1353"/>
      <c r="E726" s="1353"/>
      <c r="F726" s="1354"/>
      <c r="G726" s="1364">
        <v>35</v>
      </c>
      <c r="H726" s="1365"/>
      <c r="I726" s="1365"/>
      <c r="J726" s="1366"/>
      <c r="K726" s="1606">
        <f>K725</f>
        <v>973</v>
      </c>
      <c r="L726" s="1607"/>
      <c r="M726" s="1607"/>
      <c r="N726" s="1608"/>
      <c r="O726" s="1405">
        <v>2817</v>
      </c>
      <c r="P726" s="1406"/>
      <c r="Q726" s="1406"/>
      <c r="R726" s="1406"/>
      <c r="S726" s="1407"/>
      <c r="T726" s="1405">
        <f>T725</f>
        <v>68</v>
      </c>
      <c r="U726" s="1406"/>
      <c r="V726" s="1406"/>
      <c r="W726" s="1407"/>
      <c r="X726" s="1355">
        <f t="shared" si="8"/>
        <v>2885</v>
      </c>
      <c r="Y726" s="1356"/>
      <c r="Z726" s="1356"/>
      <c r="AA726" s="1356"/>
      <c r="AB726" s="1357"/>
      <c r="AC726" s="1361">
        <v>0.8</v>
      </c>
      <c r="AD726" s="1362"/>
      <c r="AE726" s="1362"/>
      <c r="AF726" s="1362"/>
      <c r="AG726" s="1363"/>
      <c r="AH726" s="1358">
        <f t="shared" si="35"/>
        <v>0.80005546311702713</v>
      </c>
      <c r="AI726" s="1359"/>
      <c r="AJ726" s="1360"/>
      <c r="AK726" s="1352" t="s">
        <v>592</v>
      </c>
      <c r="AL726" s="1353"/>
      <c r="AM726" s="1353"/>
      <c r="AN726" s="1353"/>
      <c r="AO726" s="1354"/>
      <c r="AP726" s="3"/>
      <c r="AQ726" s="3"/>
      <c r="AR726" s="3"/>
      <c r="AS726" s="3"/>
      <c r="AY726" s="1087"/>
      <c r="AZ726" s="118">
        <f>IF($G726=0,"N/A",VLOOKUP($T$189,TC_Rent,(MATCH($B726,bedrooms,FALSE)),FALSE))</f>
        <v>3606</v>
      </c>
      <c r="BA726" s="3"/>
      <c r="BB726" s="3"/>
      <c r="BC726" s="3"/>
      <c r="BD726" s="3"/>
      <c r="BE726" s="205"/>
      <c r="BF726" s="295">
        <f t="shared" si="9"/>
        <v>35</v>
      </c>
      <c r="BG726" s="298">
        <f t="shared" si="10"/>
        <v>0.14644351464435146</v>
      </c>
      <c r="BH726" s="299">
        <f t="shared" si="11"/>
        <v>0.11715481171548117</v>
      </c>
      <c r="BI726" s="3"/>
      <c r="BJ726" s="3"/>
      <c r="BK726" s="3"/>
      <c r="BL726" s="3"/>
      <c r="BM726" s="3"/>
      <c r="BN726" s="3"/>
      <c r="BS726" s="295">
        <f t="shared" si="12"/>
        <v>35</v>
      </c>
      <c r="BT726" s="298">
        <f t="shared" si="13"/>
        <v>0.14644351464435146</v>
      </c>
      <c r="BU726" s="299">
        <f t="shared" si="14"/>
        <v>0.11716293392927175</v>
      </c>
      <c r="BV726" s="3"/>
      <c r="BW726" s="3"/>
      <c r="BX726" s="3"/>
      <c r="BY726" s="3"/>
      <c r="BZ726" s="3"/>
      <c r="CA726" s="3"/>
      <c r="CB726" s="3"/>
      <c r="CC726" s="3"/>
      <c r="CE726" s="3"/>
      <c r="CF726" s="3"/>
      <c r="CG726" s="1348">
        <f t="shared" si="36"/>
        <v>0</v>
      </c>
      <c r="CH726" s="1350"/>
      <c r="CI726" s="1334">
        <f t="shared" si="37"/>
        <v>0</v>
      </c>
      <c r="CJ726" s="1336"/>
      <c r="CK726" s="1348">
        <f t="shared" si="15"/>
        <v>0</v>
      </c>
      <c r="CL726" s="1350"/>
      <c r="CM726" s="1334">
        <f t="shared" si="16"/>
        <v>0</v>
      </c>
      <c r="CN726" s="1336"/>
      <c r="CO726" s="3"/>
      <c r="CP726" s="1331">
        <f t="shared" si="17"/>
        <v>0</v>
      </c>
      <c r="CQ726" s="1332"/>
      <c r="CR726" s="1332"/>
      <c r="CS726" s="1332"/>
      <c r="CT726" s="1333"/>
      <c r="CU726" s="1351">
        <f t="shared" si="18"/>
        <v>0</v>
      </c>
      <c r="CV726" s="1351"/>
      <c r="CW726" s="1351"/>
      <c r="CX726" s="1351"/>
      <c r="CY726" s="1351"/>
      <c r="CZ726" s="1351">
        <f t="shared" si="19"/>
        <v>0</v>
      </c>
      <c r="DA726" s="1351"/>
      <c r="DB726" s="1351"/>
      <c r="DC726" s="1351"/>
      <c r="DD726" s="1351"/>
      <c r="DE726" s="1351">
        <f t="shared" si="20"/>
        <v>35</v>
      </c>
      <c r="DF726" s="1351"/>
      <c r="DG726" s="1351"/>
      <c r="DH726" s="1351"/>
      <c r="DI726" s="1351"/>
      <c r="DJ726" s="1351">
        <f t="shared" si="21"/>
        <v>0</v>
      </c>
      <c r="DK726" s="1351"/>
      <c r="DL726" s="1351"/>
      <c r="DM726" s="1351"/>
      <c r="DN726" s="1351"/>
      <c r="DO726" s="1351">
        <f t="shared" si="22"/>
        <v>0</v>
      </c>
      <c r="DP726" s="1351"/>
      <c r="DQ726" s="1351"/>
      <c r="DR726" s="1351"/>
      <c r="DS726" s="1351"/>
      <c r="DT726" s="6"/>
      <c r="DU726" s="1368">
        <f t="shared" si="23"/>
        <v>0</v>
      </c>
      <c r="DV726" s="1368"/>
      <c r="DW726" s="1368"/>
      <c r="DX726" s="1368"/>
      <c r="DY726" s="1368"/>
      <c r="DZ726" s="1368">
        <f t="shared" si="24"/>
        <v>0</v>
      </c>
      <c r="EA726" s="1368"/>
      <c r="EB726" s="1368"/>
      <c r="EC726" s="1368"/>
      <c r="ED726" s="1368"/>
      <c r="EE726" s="1368">
        <f t="shared" si="25"/>
        <v>0</v>
      </c>
      <c r="EF726" s="1368"/>
      <c r="EG726" s="1368"/>
      <c r="EH726" s="1368"/>
      <c r="EI726" s="1368"/>
      <c r="EJ726" s="1368">
        <f t="shared" si="26"/>
        <v>0</v>
      </c>
      <c r="EK726" s="1368"/>
      <c r="EL726" s="1368"/>
      <c r="EM726" s="1368"/>
      <c r="EN726" s="1368"/>
      <c r="EO726" s="1368">
        <f t="shared" si="27"/>
        <v>0</v>
      </c>
      <c r="EP726" s="1368"/>
      <c r="EQ726" s="1368"/>
      <c r="ER726" s="1368"/>
      <c r="ES726" s="1368"/>
      <c r="ET726" s="1368">
        <f t="shared" si="28"/>
        <v>0</v>
      </c>
      <c r="EU726" s="1368"/>
      <c r="EV726" s="1368"/>
      <c r="EW726" s="1368"/>
      <c r="EX726" s="1368"/>
      <c r="EY726" s="4"/>
      <c r="EZ726" s="1348" t="str">
        <f t="shared" si="29"/>
        <v/>
      </c>
      <c r="FA726" s="1349"/>
      <c r="FB726" s="1349"/>
      <c r="FC726" s="1349"/>
      <c r="FD726" s="1350"/>
      <c r="FE726" s="1348" t="str">
        <f t="shared" si="30"/>
        <v/>
      </c>
      <c r="FF726" s="1349"/>
      <c r="FG726" s="1349"/>
      <c r="FH726" s="1349"/>
      <c r="FI726" s="1350"/>
      <c r="FJ726" s="1348" t="str">
        <f t="shared" si="31"/>
        <v/>
      </c>
      <c r="FK726" s="1349"/>
      <c r="FL726" s="1349"/>
      <c r="FM726" s="1349"/>
      <c r="FN726" s="1350"/>
      <c r="FO726" s="1348">
        <f t="shared" si="32"/>
        <v>2817</v>
      </c>
      <c r="FP726" s="1349"/>
      <c r="FQ726" s="1349"/>
      <c r="FR726" s="1349"/>
      <c r="FS726" s="1350"/>
      <c r="FT726" s="1348" t="str">
        <f t="shared" si="33"/>
        <v/>
      </c>
      <c r="FU726" s="1349"/>
      <c r="FV726" s="1349"/>
      <c r="FW726" s="1349"/>
      <c r="FX726" s="1350"/>
      <c r="FY726" s="1348" t="str">
        <f t="shared" si="34"/>
        <v/>
      </c>
      <c r="FZ726" s="1349"/>
      <c r="GA726" s="1349"/>
      <c r="GB726" s="1349"/>
      <c r="GC726" s="1350"/>
    </row>
    <row r="727" spans="1:185" ht="13" customHeight="1">
      <c r="A727" s="4"/>
      <c r="B727" s="1352"/>
      <c r="C727" s="1353"/>
      <c r="D727" s="1353"/>
      <c r="E727" s="1353"/>
      <c r="F727" s="1354"/>
      <c r="G727" s="1364"/>
      <c r="H727" s="1365"/>
      <c r="I727" s="1365"/>
      <c r="J727" s="1366"/>
      <c r="K727" s="1606"/>
      <c r="L727" s="1607"/>
      <c r="M727" s="1607"/>
      <c r="N727" s="1608"/>
      <c r="O727" s="1405"/>
      <c r="P727" s="1406"/>
      <c r="Q727" s="1406"/>
      <c r="R727" s="1406"/>
      <c r="S727" s="1407"/>
      <c r="T727" s="1405"/>
      <c r="U727" s="1406"/>
      <c r="V727" s="1406"/>
      <c r="W727" s="1407"/>
      <c r="X727" s="1355">
        <f t="shared" si="8"/>
        <v>0</v>
      </c>
      <c r="Y727" s="1356"/>
      <c r="Z727" s="1356"/>
      <c r="AA727" s="1356"/>
      <c r="AB727" s="1357"/>
      <c r="AC727" s="1361"/>
      <c r="AD727" s="1362"/>
      <c r="AE727" s="1362"/>
      <c r="AF727" s="1362"/>
      <c r="AG727" s="1363"/>
      <c r="AH727" s="1358" t="str">
        <f t="shared" si="35"/>
        <v/>
      </c>
      <c r="AI727" s="1359"/>
      <c r="AJ727" s="1360"/>
      <c r="AK727" s="1352" t="s">
        <v>592</v>
      </c>
      <c r="AL727" s="1353"/>
      <c r="AM727" s="1353"/>
      <c r="AN727" s="1353"/>
      <c r="AO727" s="1354"/>
      <c r="AP727" s="3"/>
      <c r="AQ727" s="3"/>
      <c r="AR727" s="3"/>
      <c r="AS727" s="3"/>
      <c r="AY727" s="1087"/>
      <c r="AZ727" s="118" t="str">
        <f>IF($G727=0,"N/A",VLOOKUP($T$189,TC_Rent,(MATCH($B727,bedrooms,FALSE)),FALSE))</f>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348">
        <f t="shared" si="36"/>
        <v>0</v>
      </c>
      <c r="CH727" s="1350"/>
      <c r="CI727" s="1334">
        <f t="shared" si="37"/>
        <v>0</v>
      </c>
      <c r="CJ727" s="1336"/>
      <c r="CK727" s="1348">
        <f t="shared" si="15"/>
        <v>0</v>
      </c>
      <c r="CL727" s="1350"/>
      <c r="CM727" s="1334">
        <f t="shared" si="16"/>
        <v>0</v>
      </c>
      <c r="CN727" s="1336"/>
      <c r="CO727" s="3"/>
      <c r="CP727" s="1331">
        <f t="shared" si="17"/>
        <v>0</v>
      </c>
      <c r="CQ727" s="1332"/>
      <c r="CR727" s="1332"/>
      <c r="CS727" s="1332"/>
      <c r="CT727" s="1333"/>
      <c r="CU727" s="1351">
        <f t="shared" si="18"/>
        <v>0</v>
      </c>
      <c r="CV727" s="1351"/>
      <c r="CW727" s="1351"/>
      <c r="CX727" s="1351"/>
      <c r="CY727" s="1351"/>
      <c r="CZ727" s="1351">
        <f t="shared" si="19"/>
        <v>0</v>
      </c>
      <c r="DA727" s="1351"/>
      <c r="DB727" s="1351"/>
      <c r="DC727" s="1351"/>
      <c r="DD727" s="1351"/>
      <c r="DE727" s="1351">
        <f t="shared" si="20"/>
        <v>0</v>
      </c>
      <c r="DF727" s="1351"/>
      <c r="DG727" s="1351"/>
      <c r="DH727" s="1351"/>
      <c r="DI727" s="1351"/>
      <c r="DJ727" s="1351">
        <f t="shared" si="21"/>
        <v>0</v>
      </c>
      <c r="DK727" s="1351"/>
      <c r="DL727" s="1351"/>
      <c r="DM727" s="1351"/>
      <c r="DN727" s="1351"/>
      <c r="DO727" s="1351">
        <f t="shared" si="22"/>
        <v>0</v>
      </c>
      <c r="DP727" s="1351"/>
      <c r="DQ727" s="1351"/>
      <c r="DR727" s="1351"/>
      <c r="DS727" s="1351"/>
      <c r="DT727" s="6"/>
      <c r="DU727" s="1368">
        <f t="shared" si="23"/>
        <v>0</v>
      </c>
      <c r="DV727" s="1368"/>
      <c r="DW727" s="1368"/>
      <c r="DX727" s="1368"/>
      <c r="DY727" s="1368"/>
      <c r="DZ727" s="1368">
        <f t="shared" si="24"/>
        <v>0</v>
      </c>
      <c r="EA727" s="1368"/>
      <c r="EB727" s="1368"/>
      <c r="EC727" s="1368"/>
      <c r="ED727" s="1368"/>
      <c r="EE727" s="1368">
        <f t="shared" si="25"/>
        <v>0</v>
      </c>
      <c r="EF727" s="1368"/>
      <c r="EG727" s="1368"/>
      <c r="EH727" s="1368"/>
      <c r="EI727" s="1368"/>
      <c r="EJ727" s="1368">
        <f t="shared" si="26"/>
        <v>0</v>
      </c>
      <c r="EK727" s="1368"/>
      <c r="EL727" s="1368"/>
      <c r="EM727" s="1368"/>
      <c r="EN727" s="1368"/>
      <c r="EO727" s="1368">
        <f t="shared" si="27"/>
        <v>0</v>
      </c>
      <c r="EP727" s="1368"/>
      <c r="EQ727" s="1368"/>
      <c r="ER727" s="1368"/>
      <c r="ES727" s="1368"/>
      <c r="ET727" s="1368">
        <f t="shared" si="28"/>
        <v>0</v>
      </c>
      <c r="EU727" s="1368"/>
      <c r="EV727" s="1368"/>
      <c r="EW727" s="1368"/>
      <c r="EX727" s="1368"/>
      <c r="EY727" s="4"/>
      <c r="EZ727" s="1348" t="str">
        <f t="shared" si="29"/>
        <v/>
      </c>
      <c r="FA727" s="1349"/>
      <c r="FB727" s="1349"/>
      <c r="FC727" s="1349"/>
      <c r="FD727" s="1350"/>
      <c r="FE727" s="1348" t="str">
        <f t="shared" si="30"/>
        <v/>
      </c>
      <c r="FF727" s="1349"/>
      <c r="FG727" s="1349"/>
      <c r="FH727" s="1349"/>
      <c r="FI727" s="1350"/>
      <c r="FJ727" s="1348" t="str">
        <f t="shared" si="31"/>
        <v/>
      </c>
      <c r="FK727" s="1349"/>
      <c r="FL727" s="1349"/>
      <c r="FM727" s="1349"/>
      <c r="FN727" s="1350"/>
      <c r="FO727" s="1348" t="str">
        <f t="shared" si="32"/>
        <v/>
      </c>
      <c r="FP727" s="1349"/>
      <c r="FQ727" s="1349"/>
      <c r="FR727" s="1349"/>
      <c r="FS727" s="1350"/>
      <c r="FT727" s="1348" t="str">
        <f t="shared" si="33"/>
        <v/>
      </c>
      <c r="FU727" s="1349"/>
      <c r="FV727" s="1349"/>
      <c r="FW727" s="1349"/>
      <c r="FX727" s="1350"/>
      <c r="FY727" s="1348" t="str">
        <f t="shared" si="34"/>
        <v/>
      </c>
      <c r="FZ727" s="1349"/>
      <c r="GA727" s="1349"/>
      <c r="GB727" s="1349"/>
      <c r="GC727" s="1350"/>
    </row>
    <row r="728" spans="1:185" ht="13" customHeight="1">
      <c r="A728" s="4"/>
      <c r="B728" s="1352"/>
      <c r="C728" s="1353"/>
      <c r="D728" s="1353"/>
      <c r="E728" s="1353"/>
      <c r="F728" s="1354"/>
      <c r="G728" s="1364"/>
      <c r="H728" s="1365"/>
      <c r="I728" s="1365"/>
      <c r="J728" s="1366"/>
      <c r="K728" s="1606"/>
      <c r="L728" s="1607"/>
      <c r="M728" s="1607"/>
      <c r="N728" s="1608"/>
      <c r="O728" s="1405"/>
      <c r="P728" s="1406"/>
      <c r="Q728" s="1406"/>
      <c r="R728" s="1406"/>
      <c r="S728" s="1407"/>
      <c r="T728" s="1405"/>
      <c r="U728" s="1406"/>
      <c r="V728" s="1406"/>
      <c r="W728" s="1407"/>
      <c r="X728" s="1355">
        <f t="shared" si="8"/>
        <v>0</v>
      </c>
      <c r="Y728" s="1356"/>
      <c r="Z728" s="1356"/>
      <c r="AA728" s="1356"/>
      <c r="AB728" s="1357"/>
      <c r="AC728" s="1361"/>
      <c r="AD728" s="1362"/>
      <c r="AE728" s="1362"/>
      <c r="AF728" s="1362"/>
      <c r="AG728" s="1363"/>
      <c r="AH728" s="1358" t="str">
        <f t="shared" si="35"/>
        <v/>
      </c>
      <c r="AI728" s="1359"/>
      <c r="AJ728" s="1360"/>
      <c r="AK728" s="1352" t="s">
        <v>592</v>
      </c>
      <c r="AL728" s="1353"/>
      <c r="AM728" s="1353"/>
      <c r="AN728" s="1353"/>
      <c r="AO728" s="1354"/>
      <c r="AP728" s="3"/>
      <c r="AQ728" s="3"/>
      <c r="AR728" s="3"/>
      <c r="AS728" s="3"/>
      <c r="AY728" s="1087"/>
      <c r="AZ728" s="118" t="str">
        <f>IF($G728=0,"N/A",VLOOKUP($T$189,TC_Rent,(MATCH($B728,bedrooms,FALSE)),FALSE))</f>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348">
        <f t="shared" si="36"/>
        <v>0</v>
      </c>
      <c r="CH728" s="1350"/>
      <c r="CI728" s="1334">
        <f t="shared" si="37"/>
        <v>0</v>
      </c>
      <c r="CJ728" s="1336"/>
      <c r="CK728" s="1348">
        <f t="shared" si="15"/>
        <v>0</v>
      </c>
      <c r="CL728" s="1350"/>
      <c r="CM728" s="1334">
        <f t="shared" si="16"/>
        <v>0</v>
      </c>
      <c r="CN728" s="1336"/>
      <c r="CO728" s="3"/>
      <c r="CP728" s="1331">
        <f t="shared" si="17"/>
        <v>0</v>
      </c>
      <c r="CQ728" s="1332"/>
      <c r="CR728" s="1332"/>
      <c r="CS728" s="1332"/>
      <c r="CT728" s="1333"/>
      <c r="CU728" s="1351">
        <f t="shared" si="18"/>
        <v>0</v>
      </c>
      <c r="CV728" s="1351"/>
      <c r="CW728" s="1351"/>
      <c r="CX728" s="1351"/>
      <c r="CY728" s="1351"/>
      <c r="CZ728" s="1351">
        <f t="shared" si="19"/>
        <v>0</v>
      </c>
      <c r="DA728" s="1351"/>
      <c r="DB728" s="1351"/>
      <c r="DC728" s="1351"/>
      <c r="DD728" s="1351"/>
      <c r="DE728" s="1351">
        <f t="shared" si="20"/>
        <v>0</v>
      </c>
      <c r="DF728" s="1351"/>
      <c r="DG728" s="1351"/>
      <c r="DH728" s="1351"/>
      <c r="DI728" s="1351"/>
      <c r="DJ728" s="1351">
        <f t="shared" si="21"/>
        <v>0</v>
      </c>
      <c r="DK728" s="1351"/>
      <c r="DL728" s="1351"/>
      <c r="DM728" s="1351"/>
      <c r="DN728" s="1351"/>
      <c r="DO728" s="1351">
        <f t="shared" si="22"/>
        <v>0</v>
      </c>
      <c r="DP728" s="1351"/>
      <c r="DQ728" s="1351"/>
      <c r="DR728" s="1351"/>
      <c r="DS728" s="1351"/>
      <c r="DT728" s="6"/>
      <c r="DU728" s="1368">
        <f t="shared" si="23"/>
        <v>0</v>
      </c>
      <c r="DV728" s="1368"/>
      <c r="DW728" s="1368"/>
      <c r="DX728" s="1368"/>
      <c r="DY728" s="1368"/>
      <c r="DZ728" s="1368">
        <f t="shared" si="24"/>
        <v>0</v>
      </c>
      <c r="EA728" s="1368"/>
      <c r="EB728" s="1368"/>
      <c r="EC728" s="1368"/>
      <c r="ED728" s="1368"/>
      <c r="EE728" s="1368">
        <f t="shared" si="25"/>
        <v>0</v>
      </c>
      <c r="EF728" s="1368"/>
      <c r="EG728" s="1368"/>
      <c r="EH728" s="1368"/>
      <c r="EI728" s="1368"/>
      <c r="EJ728" s="1368">
        <f t="shared" si="26"/>
        <v>0</v>
      </c>
      <c r="EK728" s="1368"/>
      <c r="EL728" s="1368"/>
      <c r="EM728" s="1368"/>
      <c r="EN728" s="1368"/>
      <c r="EO728" s="1368">
        <f t="shared" si="27"/>
        <v>0</v>
      </c>
      <c r="EP728" s="1368"/>
      <c r="EQ728" s="1368"/>
      <c r="ER728" s="1368"/>
      <c r="ES728" s="1368"/>
      <c r="ET728" s="1368">
        <f t="shared" si="28"/>
        <v>0</v>
      </c>
      <c r="EU728" s="1368"/>
      <c r="EV728" s="1368"/>
      <c r="EW728" s="1368"/>
      <c r="EX728" s="1368"/>
      <c r="EY728" s="4"/>
      <c r="EZ728" s="1348" t="str">
        <f t="shared" si="29"/>
        <v/>
      </c>
      <c r="FA728" s="1349"/>
      <c r="FB728" s="1349"/>
      <c r="FC728" s="1349"/>
      <c r="FD728" s="1350"/>
      <c r="FE728" s="1348" t="str">
        <f t="shared" si="30"/>
        <v/>
      </c>
      <c r="FF728" s="1349"/>
      <c r="FG728" s="1349"/>
      <c r="FH728" s="1349"/>
      <c r="FI728" s="1350"/>
      <c r="FJ728" s="1348" t="str">
        <f t="shared" si="31"/>
        <v/>
      </c>
      <c r="FK728" s="1349"/>
      <c r="FL728" s="1349"/>
      <c r="FM728" s="1349"/>
      <c r="FN728" s="1350"/>
      <c r="FO728" s="1348" t="str">
        <f t="shared" si="32"/>
        <v/>
      </c>
      <c r="FP728" s="1349"/>
      <c r="FQ728" s="1349"/>
      <c r="FR728" s="1349"/>
      <c r="FS728" s="1350"/>
      <c r="FT728" s="1348" t="str">
        <f t="shared" si="33"/>
        <v/>
      </c>
      <c r="FU728" s="1349"/>
      <c r="FV728" s="1349"/>
      <c r="FW728" s="1349"/>
      <c r="FX728" s="1350"/>
      <c r="FY728" s="1348" t="str">
        <f t="shared" si="34"/>
        <v/>
      </c>
      <c r="FZ728" s="1349"/>
      <c r="GA728" s="1349"/>
      <c r="GB728" s="1349"/>
      <c r="GC728" s="1350"/>
    </row>
    <row r="729" spans="1:185" ht="13" customHeight="1">
      <c r="A729" s="4"/>
      <c r="B729" s="1352"/>
      <c r="C729" s="1353"/>
      <c r="D729" s="1353"/>
      <c r="E729" s="1353"/>
      <c r="F729" s="1354"/>
      <c r="G729" s="1364"/>
      <c r="H729" s="1365"/>
      <c r="I729" s="1365"/>
      <c r="J729" s="1366"/>
      <c r="K729" s="1606"/>
      <c r="L729" s="1607"/>
      <c r="M729" s="1607"/>
      <c r="N729" s="1608"/>
      <c r="O729" s="1405"/>
      <c r="P729" s="1406"/>
      <c r="Q729" s="1406"/>
      <c r="R729" s="1406"/>
      <c r="S729" s="1407"/>
      <c r="T729" s="1405"/>
      <c r="U729" s="1406"/>
      <c r="V729" s="1406"/>
      <c r="W729" s="1407"/>
      <c r="X729" s="1355">
        <f t="shared" si="8"/>
        <v>0</v>
      </c>
      <c r="Y729" s="1356"/>
      <c r="Z729" s="1356"/>
      <c r="AA729" s="1356"/>
      <c r="AB729" s="1357"/>
      <c r="AC729" s="1361"/>
      <c r="AD729" s="1362"/>
      <c r="AE729" s="1362"/>
      <c r="AF729" s="1362"/>
      <c r="AG729" s="1363"/>
      <c r="AH729" s="1358" t="str">
        <f t="shared" si="35"/>
        <v/>
      </c>
      <c r="AI729" s="1359"/>
      <c r="AJ729" s="1360"/>
      <c r="AK729" s="1352" t="s">
        <v>592</v>
      </c>
      <c r="AL729" s="1353"/>
      <c r="AM729" s="1353"/>
      <c r="AN729" s="1353"/>
      <c r="AO729" s="1354"/>
      <c r="AP729" s="3"/>
      <c r="AQ729" s="3"/>
      <c r="AR729" s="3"/>
      <c r="AS729" s="3"/>
      <c r="AY729" s="1087"/>
      <c r="AZ729" s="118" t="str">
        <f>IF($G729=0,"N/A",VLOOKUP($T$189,TC_Rent,(MATCH($B729,bedrooms,FALSE)),FALSE))</f>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348">
        <f t="shared" si="36"/>
        <v>0</v>
      </c>
      <c r="CH729" s="1350"/>
      <c r="CI729" s="1334">
        <f t="shared" si="37"/>
        <v>0</v>
      </c>
      <c r="CJ729" s="1336"/>
      <c r="CK729" s="1348">
        <f t="shared" si="15"/>
        <v>0</v>
      </c>
      <c r="CL729" s="1350"/>
      <c r="CM729" s="1334">
        <f t="shared" si="16"/>
        <v>0</v>
      </c>
      <c r="CN729" s="1336"/>
      <c r="CO729" s="3"/>
      <c r="CP729" s="1331">
        <f t="shared" si="17"/>
        <v>0</v>
      </c>
      <c r="CQ729" s="1332"/>
      <c r="CR729" s="1332"/>
      <c r="CS729" s="1332"/>
      <c r="CT729" s="1333"/>
      <c r="CU729" s="1351">
        <f t="shared" si="18"/>
        <v>0</v>
      </c>
      <c r="CV729" s="1351"/>
      <c r="CW729" s="1351"/>
      <c r="CX729" s="1351"/>
      <c r="CY729" s="1351"/>
      <c r="CZ729" s="1351">
        <f t="shared" si="19"/>
        <v>0</v>
      </c>
      <c r="DA729" s="1351"/>
      <c r="DB729" s="1351"/>
      <c r="DC729" s="1351"/>
      <c r="DD729" s="1351"/>
      <c r="DE729" s="1351">
        <f t="shared" si="20"/>
        <v>0</v>
      </c>
      <c r="DF729" s="1351"/>
      <c r="DG729" s="1351"/>
      <c r="DH729" s="1351"/>
      <c r="DI729" s="1351"/>
      <c r="DJ729" s="1351">
        <f t="shared" si="21"/>
        <v>0</v>
      </c>
      <c r="DK729" s="1351"/>
      <c r="DL729" s="1351"/>
      <c r="DM729" s="1351"/>
      <c r="DN729" s="1351"/>
      <c r="DO729" s="1351">
        <f t="shared" si="22"/>
        <v>0</v>
      </c>
      <c r="DP729" s="1351"/>
      <c r="DQ729" s="1351"/>
      <c r="DR729" s="1351"/>
      <c r="DS729" s="1351"/>
      <c r="DT729" s="6"/>
      <c r="DU729" s="1368">
        <f t="shared" si="23"/>
        <v>0</v>
      </c>
      <c r="DV729" s="1368"/>
      <c r="DW729" s="1368"/>
      <c r="DX729" s="1368"/>
      <c r="DY729" s="1368"/>
      <c r="DZ729" s="1368">
        <f t="shared" si="24"/>
        <v>0</v>
      </c>
      <c r="EA729" s="1368"/>
      <c r="EB729" s="1368"/>
      <c r="EC729" s="1368"/>
      <c r="ED729" s="1368"/>
      <c r="EE729" s="1368">
        <f t="shared" si="25"/>
        <v>0</v>
      </c>
      <c r="EF729" s="1368"/>
      <c r="EG729" s="1368"/>
      <c r="EH729" s="1368"/>
      <c r="EI729" s="1368"/>
      <c r="EJ729" s="1368">
        <f t="shared" si="26"/>
        <v>0</v>
      </c>
      <c r="EK729" s="1368"/>
      <c r="EL729" s="1368"/>
      <c r="EM729" s="1368"/>
      <c r="EN729" s="1368"/>
      <c r="EO729" s="1368">
        <f t="shared" si="27"/>
        <v>0</v>
      </c>
      <c r="EP729" s="1368"/>
      <c r="EQ729" s="1368"/>
      <c r="ER729" s="1368"/>
      <c r="ES729" s="1368"/>
      <c r="ET729" s="1368">
        <f t="shared" si="28"/>
        <v>0</v>
      </c>
      <c r="EU729" s="1368"/>
      <c r="EV729" s="1368"/>
      <c r="EW729" s="1368"/>
      <c r="EX729" s="1368"/>
      <c r="EZ729" s="1348" t="str">
        <f t="shared" si="29"/>
        <v/>
      </c>
      <c r="FA729" s="1349"/>
      <c r="FB729" s="1349"/>
      <c r="FC729" s="1349"/>
      <c r="FD729" s="1350"/>
      <c r="FE729" s="1348" t="str">
        <f t="shared" si="30"/>
        <v/>
      </c>
      <c r="FF729" s="1349"/>
      <c r="FG729" s="1349"/>
      <c r="FH729" s="1349"/>
      <c r="FI729" s="1350"/>
      <c r="FJ729" s="1348" t="str">
        <f t="shared" si="31"/>
        <v/>
      </c>
      <c r="FK729" s="1349"/>
      <c r="FL729" s="1349"/>
      <c r="FM729" s="1349"/>
      <c r="FN729" s="1350"/>
      <c r="FO729" s="1348" t="str">
        <f t="shared" si="32"/>
        <v/>
      </c>
      <c r="FP729" s="1349"/>
      <c r="FQ729" s="1349"/>
      <c r="FR729" s="1349"/>
      <c r="FS729" s="1350"/>
      <c r="FT729" s="1348" t="str">
        <f t="shared" si="33"/>
        <v/>
      </c>
      <c r="FU729" s="1349"/>
      <c r="FV729" s="1349"/>
      <c r="FW729" s="1349"/>
      <c r="FX729" s="1350"/>
      <c r="FY729" s="1348" t="str">
        <f t="shared" si="34"/>
        <v/>
      </c>
      <c r="FZ729" s="1349"/>
      <c r="GA729" s="1349"/>
      <c r="GB729" s="1349"/>
      <c r="GC729" s="1350"/>
    </row>
    <row r="730" spans="1:185" ht="13" customHeight="1">
      <c r="B730" s="1352"/>
      <c r="C730" s="1353"/>
      <c r="D730" s="1353"/>
      <c r="E730" s="1353"/>
      <c r="F730" s="1354"/>
      <c r="G730" s="1364"/>
      <c r="H730" s="1365"/>
      <c r="I730" s="1365"/>
      <c r="J730" s="1366"/>
      <c r="K730" s="1606"/>
      <c r="L730" s="1607"/>
      <c r="M730" s="1607"/>
      <c r="N730" s="1608"/>
      <c r="O730" s="1405"/>
      <c r="P730" s="1406"/>
      <c r="Q730" s="1406"/>
      <c r="R730" s="1406"/>
      <c r="S730" s="1407"/>
      <c r="T730" s="1405"/>
      <c r="U730" s="1406"/>
      <c r="V730" s="1406"/>
      <c r="W730" s="1407"/>
      <c r="X730" s="1355">
        <f t="shared" si="8"/>
        <v>0</v>
      </c>
      <c r="Y730" s="1356"/>
      <c r="Z730" s="1356"/>
      <c r="AA730" s="1356"/>
      <c r="AB730" s="1357"/>
      <c r="AC730" s="1361"/>
      <c r="AD730" s="1362"/>
      <c r="AE730" s="1362"/>
      <c r="AF730" s="1362"/>
      <c r="AG730" s="1363"/>
      <c r="AH730" s="1358" t="str">
        <f t="shared" si="35"/>
        <v/>
      </c>
      <c r="AI730" s="1359"/>
      <c r="AJ730" s="1360"/>
      <c r="AK730" s="1352" t="s">
        <v>592</v>
      </c>
      <c r="AL730" s="1353"/>
      <c r="AM730" s="1353"/>
      <c r="AN730" s="1353"/>
      <c r="AO730" s="1354"/>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348">
        <f t="shared" si="36"/>
        <v>0</v>
      </c>
      <c r="CH730" s="1350"/>
      <c r="CI730" s="1334">
        <f t="shared" si="37"/>
        <v>0</v>
      </c>
      <c r="CJ730" s="1336"/>
      <c r="CK730" s="1348">
        <f t="shared" si="15"/>
        <v>0</v>
      </c>
      <c r="CL730" s="1350"/>
      <c r="CM730" s="1334">
        <f t="shared" si="16"/>
        <v>0</v>
      </c>
      <c r="CN730" s="1336"/>
      <c r="CO730" s="3"/>
      <c r="CP730" s="1331">
        <f t="shared" si="17"/>
        <v>0</v>
      </c>
      <c r="CQ730" s="1332"/>
      <c r="CR730" s="1332"/>
      <c r="CS730" s="1332"/>
      <c r="CT730" s="1333"/>
      <c r="CU730" s="1351">
        <f t="shared" si="18"/>
        <v>0</v>
      </c>
      <c r="CV730" s="1351"/>
      <c r="CW730" s="1351"/>
      <c r="CX730" s="1351"/>
      <c r="CY730" s="1351"/>
      <c r="CZ730" s="1351">
        <f t="shared" si="19"/>
        <v>0</v>
      </c>
      <c r="DA730" s="1351"/>
      <c r="DB730" s="1351"/>
      <c r="DC730" s="1351"/>
      <c r="DD730" s="1351"/>
      <c r="DE730" s="1351">
        <f t="shared" si="20"/>
        <v>0</v>
      </c>
      <c r="DF730" s="1351"/>
      <c r="DG730" s="1351"/>
      <c r="DH730" s="1351"/>
      <c r="DI730" s="1351"/>
      <c r="DJ730" s="1351">
        <f t="shared" si="21"/>
        <v>0</v>
      </c>
      <c r="DK730" s="1351"/>
      <c r="DL730" s="1351"/>
      <c r="DM730" s="1351"/>
      <c r="DN730" s="1351"/>
      <c r="DO730" s="1351">
        <f t="shared" si="22"/>
        <v>0</v>
      </c>
      <c r="DP730" s="1351"/>
      <c r="DQ730" s="1351"/>
      <c r="DR730" s="1351"/>
      <c r="DS730" s="1351"/>
      <c r="DT730" s="6"/>
      <c r="DU730" s="1368">
        <f t="shared" si="23"/>
        <v>0</v>
      </c>
      <c r="DV730" s="1368"/>
      <c r="DW730" s="1368"/>
      <c r="DX730" s="1368"/>
      <c r="DY730" s="1368"/>
      <c r="DZ730" s="1368">
        <f t="shared" si="24"/>
        <v>0</v>
      </c>
      <c r="EA730" s="1368"/>
      <c r="EB730" s="1368"/>
      <c r="EC730" s="1368"/>
      <c r="ED730" s="1368"/>
      <c r="EE730" s="1368">
        <f t="shared" si="25"/>
        <v>0</v>
      </c>
      <c r="EF730" s="1368"/>
      <c r="EG730" s="1368"/>
      <c r="EH730" s="1368"/>
      <c r="EI730" s="1368"/>
      <c r="EJ730" s="1368">
        <f t="shared" si="26"/>
        <v>0</v>
      </c>
      <c r="EK730" s="1368"/>
      <c r="EL730" s="1368"/>
      <c r="EM730" s="1368"/>
      <c r="EN730" s="1368"/>
      <c r="EO730" s="1368">
        <f t="shared" si="27"/>
        <v>0</v>
      </c>
      <c r="EP730" s="1368"/>
      <c r="EQ730" s="1368"/>
      <c r="ER730" s="1368"/>
      <c r="ES730" s="1368"/>
      <c r="ET730" s="1368">
        <f t="shared" si="28"/>
        <v>0</v>
      </c>
      <c r="EU730" s="1368"/>
      <c r="EV730" s="1368"/>
      <c r="EW730" s="1368"/>
      <c r="EX730" s="1368"/>
      <c r="EZ730" s="1348" t="str">
        <f t="shared" si="29"/>
        <v/>
      </c>
      <c r="FA730" s="1349"/>
      <c r="FB730" s="1349"/>
      <c r="FC730" s="1349"/>
      <c r="FD730" s="1350"/>
      <c r="FE730" s="1348" t="str">
        <f t="shared" si="30"/>
        <v/>
      </c>
      <c r="FF730" s="1349"/>
      <c r="FG730" s="1349"/>
      <c r="FH730" s="1349"/>
      <c r="FI730" s="1350"/>
      <c r="FJ730" s="1348" t="str">
        <f t="shared" si="31"/>
        <v/>
      </c>
      <c r="FK730" s="1349"/>
      <c r="FL730" s="1349"/>
      <c r="FM730" s="1349"/>
      <c r="FN730" s="1350"/>
      <c r="FO730" s="1348" t="str">
        <f t="shared" si="32"/>
        <v/>
      </c>
      <c r="FP730" s="1349"/>
      <c r="FQ730" s="1349"/>
      <c r="FR730" s="1349"/>
      <c r="FS730" s="1350"/>
      <c r="FT730" s="1348" t="str">
        <f t="shared" si="33"/>
        <v/>
      </c>
      <c r="FU730" s="1349"/>
      <c r="FV730" s="1349"/>
      <c r="FW730" s="1349"/>
      <c r="FX730" s="1350"/>
      <c r="FY730" s="1348" t="str">
        <f t="shared" si="34"/>
        <v/>
      </c>
      <c r="FZ730" s="1349"/>
      <c r="GA730" s="1349"/>
      <c r="GB730" s="1349"/>
      <c r="GC730" s="1350"/>
    </row>
    <row r="731" spans="1:185" ht="13" customHeight="1">
      <c r="B731" s="1352"/>
      <c r="C731" s="1353"/>
      <c r="D731" s="1353"/>
      <c r="E731" s="1353"/>
      <c r="F731" s="1354"/>
      <c r="G731" s="1364"/>
      <c r="H731" s="1365"/>
      <c r="I731" s="1365"/>
      <c r="J731" s="1366"/>
      <c r="K731" s="1606"/>
      <c r="L731" s="1607"/>
      <c r="M731" s="1607"/>
      <c r="N731" s="1608"/>
      <c r="O731" s="1405"/>
      <c r="P731" s="1406"/>
      <c r="Q731" s="1406"/>
      <c r="R731" s="1406"/>
      <c r="S731" s="1407"/>
      <c r="T731" s="1405"/>
      <c r="U731" s="1406"/>
      <c r="V731" s="1406"/>
      <c r="W731" s="1407"/>
      <c r="X731" s="1355">
        <f t="shared" si="8"/>
        <v>0</v>
      </c>
      <c r="Y731" s="1356"/>
      <c r="Z731" s="1356"/>
      <c r="AA731" s="1356"/>
      <c r="AB731" s="1357"/>
      <c r="AC731" s="1361"/>
      <c r="AD731" s="1362"/>
      <c r="AE731" s="1362"/>
      <c r="AF731" s="1362"/>
      <c r="AG731" s="1363"/>
      <c r="AH731" s="1358" t="str">
        <f t="shared" si="35"/>
        <v/>
      </c>
      <c r="AI731" s="1359"/>
      <c r="AJ731" s="1360"/>
      <c r="AK731" s="1352" t="s">
        <v>592</v>
      </c>
      <c r="AL731" s="1353"/>
      <c r="AM731" s="1353"/>
      <c r="AN731" s="1353"/>
      <c r="AO731" s="1354"/>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348">
        <f t="shared" si="36"/>
        <v>0</v>
      </c>
      <c r="CH731" s="1350"/>
      <c r="CI731" s="1334">
        <f t="shared" si="37"/>
        <v>0</v>
      </c>
      <c r="CJ731" s="1336"/>
      <c r="CK731" s="1348">
        <f t="shared" si="15"/>
        <v>0</v>
      </c>
      <c r="CL731" s="1350"/>
      <c r="CM731" s="1334">
        <f t="shared" si="16"/>
        <v>0</v>
      </c>
      <c r="CN731" s="1336"/>
      <c r="CO731" s="3"/>
      <c r="CP731" s="1331">
        <f t="shared" si="17"/>
        <v>0</v>
      </c>
      <c r="CQ731" s="1332"/>
      <c r="CR731" s="1332"/>
      <c r="CS731" s="1332"/>
      <c r="CT731" s="1333"/>
      <c r="CU731" s="1351">
        <f t="shared" si="18"/>
        <v>0</v>
      </c>
      <c r="CV731" s="1351"/>
      <c r="CW731" s="1351"/>
      <c r="CX731" s="1351"/>
      <c r="CY731" s="1351"/>
      <c r="CZ731" s="1351">
        <f t="shared" si="19"/>
        <v>0</v>
      </c>
      <c r="DA731" s="1351"/>
      <c r="DB731" s="1351"/>
      <c r="DC731" s="1351"/>
      <c r="DD731" s="1351"/>
      <c r="DE731" s="1351">
        <f t="shared" si="20"/>
        <v>0</v>
      </c>
      <c r="DF731" s="1351"/>
      <c r="DG731" s="1351"/>
      <c r="DH731" s="1351"/>
      <c r="DI731" s="1351"/>
      <c r="DJ731" s="1351">
        <f t="shared" si="21"/>
        <v>0</v>
      </c>
      <c r="DK731" s="1351"/>
      <c r="DL731" s="1351"/>
      <c r="DM731" s="1351"/>
      <c r="DN731" s="1351"/>
      <c r="DO731" s="1351">
        <f t="shared" si="22"/>
        <v>0</v>
      </c>
      <c r="DP731" s="1351"/>
      <c r="DQ731" s="1351"/>
      <c r="DR731" s="1351"/>
      <c r="DS731" s="1351"/>
      <c r="DT731" s="6"/>
      <c r="DU731" s="1368">
        <f t="shared" si="23"/>
        <v>0</v>
      </c>
      <c r="DV731" s="1368"/>
      <c r="DW731" s="1368"/>
      <c r="DX731" s="1368"/>
      <c r="DY731" s="1368"/>
      <c r="DZ731" s="1368">
        <f t="shared" si="24"/>
        <v>0</v>
      </c>
      <c r="EA731" s="1368"/>
      <c r="EB731" s="1368"/>
      <c r="EC731" s="1368"/>
      <c r="ED731" s="1368"/>
      <c r="EE731" s="1368">
        <f t="shared" si="25"/>
        <v>0</v>
      </c>
      <c r="EF731" s="1368"/>
      <c r="EG731" s="1368"/>
      <c r="EH731" s="1368"/>
      <c r="EI731" s="1368"/>
      <c r="EJ731" s="1368">
        <f t="shared" si="26"/>
        <v>0</v>
      </c>
      <c r="EK731" s="1368"/>
      <c r="EL731" s="1368"/>
      <c r="EM731" s="1368"/>
      <c r="EN731" s="1368"/>
      <c r="EO731" s="1368">
        <f t="shared" si="27"/>
        <v>0</v>
      </c>
      <c r="EP731" s="1368"/>
      <c r="EQ731" s="1368"/>
      <c r="ER731" s="1368"/>
      <c r="ES731" s="1368"/>
      <c r="ET731" s="1368">
        <f t="shared" si="28"/>
        <v>0</v>
      </c>
      <c r="EU731" s="1368"/>
      <c r="EV731" s="1368"/>
      <c r="EW731" s="1368"/>
      <c r="EX731" s="1368"/>
      <c r="EZ731" s="1348" t="str">
        <f t="shared" si="29"/>
        <v/>
      </c>
      <c r="FA731" s="1349"/>
      <c r="FB731" s="1349"/>
      <c r="FC731" s="1349"/>
      <c r="FD731" s="1350"/>
      <c r="FE731" s="1348" t="str">
        <f t="shared" si="30"/>
        <v/>
      </c>
      <c r="FF731" s="1349"/>
      <c r="FG731" s="1349"/>
      <c r="FH731" s="1349"/>
      <c r="FI731" s="1350"/>
      <c r="FJ731" s="1348" t="str">
        <f t="shared" si="31"/>
        <v/>
      </c>
      <c r="FK731" s="1349"/>
      <c r="FL731" s="1349"/>
      <c r="FM731" s="1349"/>
      <c r="FN731" s="1350"/>
      <c r="FO731" s="1348" t="str">
        <f t="shared" si="32"/>
        <v/>
      </c>
      <c r="FP731" s="1349"/>
      <c r="FQ731" s="1349"/>
      <c r="FR731" s="1349"/>
      <c r="FS731" s="1350"/>
      <c r="FT731" s="1348" t="str">
        <f t="shared" si="33"/>
        <v/>
      </c>
      <c r="FU731" s="1349"/>
      <c r="FV731" s="1349"/>
      <c r="FW731" s="1349"/>
      <c r="FX731" s="1350"/>
      <c r="FY731" s="1348" t="str">
        <f t="shared" si="34"/>
        <v/>
      </c>
      <c r="FZ731" s="1349"/>
      <c r="GA731" s="1349"/>
      <c r="GB731" s="1349"/>
      <c r="GC731" s="1350"/>
    </row>
    <row r="732" spans="1:185" ht="13" customHeight="1">
      <c r="B732" s="1352"/>
      <c r="C732" s="1353"/>
      <c r="D732" s="1353"/>
      <c r="E732" s="1353"/>
      <c r="F732" s="1354"/>
      <c r="G732" s="1364"/>
      <c r="H732" s="1365"/>
      <c r="I732" s="1365"/>
      <c r="J732" s="1366"/>
      <c r="K732" s="1606"/>
      <c r="L732" s="1607"/>
      <c r="M732" s="1607"/>
      <c r="N732" s="1608"/>
      <c r="O732" s="1405"/>
      <c r="P732" s="1406"/>
      <c r="Q732" s="1406"/>
      <c r="R732" s="1406"/>
      <c r="S732" s="1407"/>
      <c r="T732" s="1405"/>
      <c r="U732" s="1406"/>
      <c r="V732" s="1406"/>
      <c r="W732" s="1407"/>
      <c r="X732" s="1355">
        <f t="shared" si="8"/>
        <v>0</v>
      </c>
      <c r="Y732" s="1356"/>
      <c r="Z732" s="1356"/>
      <c r="AA732" s="1356"/>
      <c r="AB732" s="1357"/>
      <c r="AC732" s="1361"/>
      <c r="AD732" s="1362"/>
      <c r="AE732" s="1362"/>
      <c r="AF732" s="1362"/>
      <c r="AG732" s="1363"/>
      <c r="AH732" s="1358" t="str">
        <f t="shared" si="35"/>
        <v/>
      </c>
      <c r="AI732" s="1359"/>
      <c r="AJ732" s="1360"/>
      <c r="AK732" s="1352" t="s">
        <v>592</v>
      </c>
      <c r="AL732" s="1353"/>
      <c r="AM732" s="1353"/>
      <c r="AN732" s="1353"/>
      <c r="AO732" s="1354"/>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348">
        <f t="shared" si="36"/>
        <v>0</v>
      </c>
      <c r="CH732" s="1350"/>
      <c r="CI732" s="1334">
        <f t="shared" si="37"/>
        <v>0</v>
      </c>
      <c r="CJ732" s="1336"/>
      <c r="CK732" s="1348">
        <f t="shared" si="15"/>
        <v>0</v>
      </c>
      <c r="CL732" s="1350"/>
      <c r="CM732" s="1334">
        <f t="shared" si="16"/>
        <v>0</v>
      </c>
      <c r="CN732" s="1336"/>
      <c r="CO732" s="3"/>
      <c r="CP732" s="1331">
        <f t="shared" si="17"/>
        <v>0</v>
      </c>
      <c r="CQ732" s="1332"/>
      <c r="CR732" s="1332"/>
      <c r="CS732" s="1332"/>
      <c r="CT732" s="1333"/>
      <c r="CU732" s="1351">
        <f t="shared" si="18"/>
        <v>0</v>
      </c>
      <c r="CV732" s="1351"/>
      <c r="CW732" s="1351"/>
      <c r="CX732" s="1351"/>
      <c r="CY732" s="1351"/>
      <c r="CZ732" s="1351">
        <f t="shared" si="19"/>
        <v>0</v>
      </c>
      <c r="DA732" s="1351"/>
      <c r="DB732" s="1351"/>
      <c r="DC732" s="1351"/>
      <c r="DD732" s="1351"/>
      <c r="DE732" s="1351">
        <f t="shared" si="20"/>
        <v>0</v>
      </c>
      <c r="DF732" s="1351"/>
      <c r="DG732" s="1351"/>
      <c r="DH732" s="1351"/>
      <c r="DI732" s="1351"/>
      <c r="DJ732" s="1351">
        <f t="shared" si="21"/>
        <v>0</v>
      </c>
      <c r="DK732" s="1351"/>
      <c r="DL732" s="1351"/>
      <c r="DM732" s="1351"/>
      <c r="DN732" s="1351"/>
      <c r="DO732" s="1351">
        <f t="shared" si="22"/>
        <v>0</v>
      </c>
      <c r="DP732" s="1351"/>
      <c r="DQ732" s="1351"/>
      <c r="DR732" s="1351"/>
      <c r="DS732" s="1351"/>
      <c r="DT732" s="6"/>
      <c r="DU732" s="1368">
        <f t="shared" si="23"/>
        <v>0</v>
      </c>
      <c r="DV732" s="1368"/>
      <c r="DW732" s="1368"/>
      <c r="DX732" s="1368"/>
      <c r="DY732" s="1368"/>
      <c r="DZ732" s="1368">
        <f t="shared" si="24"/>
        <v>0</v>
      </c>
      <c r="EA732" s="1368"/>
      <c r="EB732" s="1368"/>
      <c r="EC732" s="1368"/>
      <c r="ED732" s="1368"/>
      <c r="EE732" s="1368">
        <f t="shared" si="25"/>
        <v>0</v>
      </c>
      <c r="EF732" s="1368"/>
      <c r="EG732" s="1368"/>
      <c r="EH732" s="1368"/>
      <c r="EI732" s="1368"/>
      <c r="EJ732" s="1368">
        <f t="shared" si="26"/>
        <v>0</v>
      </c>
      <c r="EK732" s="1368"/>
      <c r="EL732" s="1368"/>
      <c r="EM732" s="1368"/>
      <c r="EN732" s="1368"/>
      <c r="EO732" s="1368">
        <f t="shared" si="27"/>
        <v>0</v>
      </c>
      <c r="EP732" s="1368"/>
      <c r="EQ732" s="1368"/>
      <c r="ER732" s="1368"/>
      <c r="ES732" s="1368"/>
      <c r="ET732" s="1368">
        <f t="shared" si="28"/>
        <v>0</v>
      </c>
      <c r="EU732" s="1368"/>
      <c r="EV732" s="1368"/>
      <c r="EW732" s="1368"/>
      <c r="EX732" s="1368"/>
      <c r="EZ732" s="1348" t="str">
        <f t="shared" si="29"/>
        <v/>
      </c>
      <c r="FA732" s="1349"/>
      <c r="FB732" s="1349"/>
      <c r="FC732" s="1349"/>
      <c r="FD732" s="1350"/>
      <c r="FE732" s="1348" t="str">
        <f t="shared" si="30"/>
        <v/>
      </c>
      <c r="FF732" s="1349"/>
      <c r="FG732" s="1349"/>
      <c r="FH732" s="1349"/>
      <c r="FI732" s="1350"/>
      <c r="FJ732" s="1348" t="str">
        <f t="shared" si="31"/>
        <v/>
      </c>
      <c r="FK732" s="1349"/>
      <c r="FL732" s="1349"/>
      <c r="FM732" s="1349"/>
      <c r="FN732" s="1350"/>
      <c r="FO732" s="1348" t="str">
        <f t="shared" si="32"/>
        <v/>
      </c>
      <c r="FP732" s="1349"/>
      <c r="FQ732" s="1349"/>
      <c r="FR732" s="1349"/>
      <c r="FS732" s="1350"/>
      <c r="FT732" s="1348" t="str">
        <f t="shared" si="33"/>
        <v/>
      </c>
      <c r="FU732" s="1349"/>
      <c r="FV732" s="1349"/>
      <c r="FW732" s="1349"/>
      <c r="FX732" s="1350"/>
      <c r="FY732" s="1348" t="str">
        <f t="shared" si="34"/>
        <v/>
      </c>
      <c r="FZ732" s="1349"/>
      <c r="GA732" s="1349"/>
      <c r="GB732" s="1349"/>
      <c r="GC732" s="1350"/>
    </row>
    <row r="733" spans="1:185" ht="13" customHeight="1">
      <c r="B733" s="1352"/>
      <c r="C733" s="1353"/>
      <c r="D733" s="1353"/>
      <c r="E733" s="1353"/>
      <c r="F733" s="1354"/>
      <c r="G733" s="1364"/>
      <c r="H733" s="1365"/>
      <c r="I733" s="1365"/>
      <c r="J733" s="1366"/>
      <c r="K733" s="1606"/>
      <c r="L733" s="1607"/>
      <c r="M733" s="1607"/>
      <c r="N733" s="1608"/>
      <c r="O733" s="1405"/>
      <c r="P733" s="1406"/>
      <c r="Q733" s="1406"/>
      <c r="R733" s="1406"/>
      <c r="S733" s="1407"/>
      <c r="T733" s="1405"/>
      <c r="U733" s="1406"/>
      <c r="V733" s="1406"/>
      <c r="W733" s="1407"/>
      <c r="X733" s="1355">
        <f t="shared" si="8"/>
        <v>0</v>
      </c>
      <c r="Y733" s="1356"/>
      <c r="Z733" s="1356"/>
      <c r="AA733" s="1356"/>
      <c r="AB733" s="1357"/>
      <c r="AC733" s="1361"/>
      <c r="AD733" s="1362"/>
      <c r="AE733" s="1362"/>
      <c r="AF733" s="1362"/>
      <c r="AG733" s="1363"/>
      <c r="AH733" s="1358" t="str">
        <f t="shared" si="35"/>
        <v/>
      </c>
      <c r="AI733" s="1359"/>
      <c r="AJ733" s="1360"/>
      <c r="AK733" s="1352" t="s">
        <v>592</v>
      </c>
      <c r="AL733" s="1353"/>
      <c r="AM733" s="1353"/>
      <c r="AN733" s="1353"/>
      <c r="AO733" s="1354"/>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348">
        <f t="shared" si="36"/>
        <v>0</v>
      </c>
      <c r="CH733" s="1350"/>
      <c r="CI733" s="1334">
        <f t="shared" si="37"/>
        <v>0</v>
      </c>
      <c r="CJ733" s="1336"/>
      <c r="CK733" s="1348">
        <f t="shared" si="15"/>
        <v>0</v>
      </c>
      <c r="CL733" s="1350"/>
      <c r="CM733" s="1334">
        <f t="shared" si="16"/>
        <v>0</v>
      </c>
      <c r="CN733" s="1336"/>
      <c r="CO733" s="3"/>
      <c r="CP733" s="1331">
        <f t="shared" si="17"/>
        <v>0</v>
      </c>
      <c r="CQ733" s="1332"/>
      <c r="CR733" s="1332"/>
      <c r="CS733" s="1332"/>
      <c r="CT733" s="1333"/>
      <c r="CU733" s="1351">
        <f t="shared" si="18"/>
        <v>0</v>
      </c>
      <c r="CV733" s="1351"/>
      <c r="CW733" s="1351"/>
      <c r="CX733" s="1351"/>
      <c r="CY733" s="1351"/>
      <c r="CZ733" s="1351">
        <f t="shared" si="19"/>
        <v>0</v>
      </c>
      <c r="DA733" s="1351"/>
      <c r="DB733" s="1351"/>
      <c r="DC733" s="1351"/>
      <c r="DD733" s="1351"/>
      <c r="DE733" s="1351">
        <f t="shared" si="20"/>
        <v>0</v>
      </c>
      <c r="DF733" s="1351"/>
      <c r="DG733" s="1351"/>
      <c r="DH733" s="1351"/>
      <c r="DI733" s="1351"/>
      <c r="DJ733" s="1351">
        <f t="shared" si="21"/>
        <v>0</v>
      </c>
      <c r="DK733" s="1351"/>
      <c r="DL733" s="1351"/>
      <c r="DM733" s="1351"/>
      <c r="DN733" s="1351"/>
      <c r="DO733" s="1351">
        <f t="shared" si="22"/>
        <v>0</v>
      </c>
      <c r="DP733" s="1351"/>
      <c r="DQ733" s="1351"/>
      <c r="DR733" s="1351"/>
      <c r="DS733" s="1351"/>
      <c r="DT733" s="6"/>
      <c r="DU733" s="1368">
        <f t="shared" si="23"/>
        <v>0</v>
      </c>
      <c r="DV733" s="1368"/>
      <c r="DW733" s="1368"/>
      <c r="DX733" s="1368"/>
      <c r="DY733" s="1368"/>
      <c r="DZ733" s="1368">
        <f t="shared" si="24"/>
        <v>0</v>
      </c>
      <c r="EA733" s="1368"/>
      <c r="EB733" s="1368"/>
      <c r="EC733" s="1368"/>
      <c r="ED733" s="1368"/>
      <c r="EE733" s="1368">
        <f t="shared" si="25"/>
        <v>0</v>
      </c>
      <c r="EF733" s="1368"/>
      <c r="EG733" s="1368"/>
      <c r="EH733" s="1368"/>
      <c r="EI733" s="1368"/>
      <c r="EJ733" s="1368">
        <f t="shared" si="26"/>
        <v>0</v>
      </c>
      <c r="EK733" s="1368"/>
      <c r="EL733" s="1368"/>
      <c r="EM733" s="1368"/>
      <c r="EN733" s="1368"/>
      <c r="EO733" s="1368">
        <f t="shared" si="27"/>
        <v>0</v>
      </c>
      <c r="EP733" s="1368"/>
      <c r="EQ733" s="1368"/>
      <c r="ER733" s="1368"/>
      <c r="ES733" s="1368"/>
      <c r="ET733" s="1368">
        <f t="shared" si="28"/>
        <v>0</v>
      </c>
      <c r="EU733" s="1368"/>
      <c r="EV733" s="1368"/>
      <c r="EW733" s="1368"/>
      <c r="EX733" s="1368"/>
      <c r="EZ733" s="1348" t="str">
        <f t="shared" si="29"/>
        <v/>
      </c>
      <c r="FA733" s="1349"/>
      <c r="FB733" s="1349"/>
      <c r="FC733" s="1349"/>
      <c r="FD733" s="1350"/>
      <c r="FE733" s="1348" t="str">
        <f t="shared" si="30"/>
        <v/>
      </c>
      <c r="FF733" s="1349"/>
      <c r="FG733" s="1349"/>
      <c r="FH733" s="1349"/>
      <c r="FI733" s="1350"/>
      <c r="FJ733" s="1348" t="str">
        <f t="shared" si="31"/>
        <v/>
      </c>
      <c r="FK733" s="1349"/>
      <c r="FL733" s="1349"/>
      <c r="FM733" s="1349"/>
      <c r="FN733" s="1350"/>
      <c r="FO733" s="1348" t="str">
        <f t="shared" si="32"/>
        <v/>
      </c>
      <c r="FP733" s="1349"/>
      <c r="FQ733" s="1349"/>
      <c r="FR733" s="1349"/>
      <c r="FS733" s="1350"/>
      <c r="FT733" s="1348" t="str">
        <f t="shared" si="33"/>
        <v/>
      </c>
      <c r="FU733" s="1349"/>
      <c r="FV733" s="1349"/>
      <c r="FW733" s="1349"/>
      <c r="FX733" s="1350"/>
      <c r="FY733" s="1348" t="str">
        <f t="shared" si="34"/>
        <v/>
      </c>
      <c r="FZ733" s="1349"/>
      <c r="GA733" s="1349"/>
      <c r="GB733" s="1349"/>
      <c r="GC733" s="1350"/>
    </row>
    <row r="734" spans="1:185" ht="13" customHeight="1">
      <c r="B734" s="1352"/>
      <c r="C734" s="1353"/>
      <c r="D734" s="1353"/>
      <c r="E734" s="1353"/>
      <c r="F734" s="1354"/>
      <c r="G734" s="1364"/>
      <c r="H734" s="1365"/>
      <c r="I734" s="1365"/>
      <c r="J734" s="1366"/>
      <c r="K734" s="1606"/>
      <c r="L734" s="1607"/>
      <c r="M734" s="1607"/>
      <c r="N734" s="1608"/>
      <c r="O734" s="1405"/>
      <c r="P734" s="1406"/>
      <c r="Q734" s="1406"/>
      <c r="R734" s="1406"/>
      <c r="S734" s="1407"/>
      <c r="T734" s="1405"/>
      <c r="U734" s="1406"/>
      <c r="V734" s="1406"/>
      <c r="W734" s="1407"/>
      <c r="X734" s="1355">
        <f t="shared" si="8"/>
        <v>0</v>
      </c>
      <c r="Y734" s="1356"/>
      <c r="Z734" s="1356"/>
      <c r="AA734" s="1356"/>
      <c r="AB734" s="1357"/>
      <c r="AC734" s="1361"/>
      <c r="AD734" s="1362"/>
      <c r="AE734" s="1362"/>
      <c r="AF734" s="1362"/>
      <c r="AG734" s="1363"/>
      <c r="AH734" s="1358" t="str">
        <f t="shared" si="35"/>
        <v/>
      </c>
      <c r="AI734" s="1359"/>
      <c r="AJ734" s="1360"/>
      <c r="AK734" s="1352" t="s">
        <v>592</v>
      </c>
      <c r="AL734" s="1353"/>
      <c r="AM734" s="1353"/>
      <c r="AN734" s="1353"/>
      <c r="AO734" s="1354"/>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348">
        <f t="shared" si="36"/>
        <v>0</v>
      </c>
      <c r="CH734" s="1350"/>
      <c r="CI734" s="1334">
        <f t="shared" si="37"/>
        <v>0</v>
      </c>
      <c r="CJ734" s="1336"/>
      <c r="CK734" s="1348">
        <f t="shared" si="15"/>
        <v>0</v>
      </c>
      <c r="CL734" s="1350"/>
      <c r="CM734" s="1334">
        <f t="shared" si="16"/>
        <v>0</v>
      </c>
      <c r="CN734" s="1336"/>
      <c r="CO734" s="3"/>
      <c r="CP734" s="1331">
        <f t="shared" si="17"/>
        <v>0</v>
      </c>
      <c r="CQ734" s="1332"/>
      <c r="CR734" s="1332"/>
      <c r="CS734" s="1332"/>
      <c r="CT734" s="1333"/>
      <c r="CU734" s="1351">
        <f t="shared" si="18"/>
        <v>0</v>
      </c>
      <c r="CV734" s="1351"/>
      <c r="CW734" s="1351"/>
      <c r="CX734" s="1351"/>
      <c r="CY734" s="1351"/>
      <c r="CZ734" s="1351">
        <f t="shared" si="19"/>
        <v>0</v>
      </c>
      <c r="DA734" s="1351"/>
      <c r="DB734" s="1351"/>
      <c r="DC734" s="1351"/>
      <c r="DD734" s="1351"/>
      <c r="DE734" s="1351">
        <f t="shared" si="20"/>
        <v>0</v>
      </c>
      <c r="DF734" s="1351"/>
      <c r="DG734" s="1351"/>
      <c r="DH734" s="1351"/>
      <c r="DI734" s="1351"/>
      <c r="DJ734" s="1351">
        <f t="shared" si="21"/>
        <v>0</v>
      </c>
      <c r="DK734" s="1351"/>
      <c r="DL734" s="1351"/>
      <c r="DM734" s="1351"/>
      <c r="DN734" s="1351"/>
      <c r="DO734" s="1351">
        <f t="shared" si="22"/>
        <v>0</v>
      </c>
      <c r="DP734" s="1351"/>
      <c r="DQ734" s="1351"/>
      <c r="DR734" s="1351"/>
      <c r="DS734" s="1351"/>
      <c r="DT734" s="6"/>
      <c r="DU734" s="1368">
        <f t="shared" si="23"/>
        <v>0</v>
      </c>
      <c r="DV734" s="1368"/>
      <c r="DW734" s="1368"/>
      <c r="DX734" s="1368"/>
      <c r="DY734" s="1368"/>
      <c r="DZ734" s="1368">
        <f t="shared" si="24"/>
        <v>0</v>
      </c>
      <c r="EA734" s="1368"/>
      <c r="EB734" s="1368"/>
      <c r="EC734" s="1368"/>
      <c r="ED734" s="1368"/>
      <c r="EE734" s="1368">
        <f t="shared" si="25"/>
        <v>0</v>
      </c>
      <c r="EF734" s="1368"/>
      <c r="EG734" s="1368"/>
      <c r="EH734" s="1368"/>
      <c r="EI734" s="1368"/>
      <c r="EJ734" s="1368">
        <f t="shared" si="26"/>
        <v>0</v>
      </c>
      <c r="EK734" s="1368"/>
      <c r="EL734" s="1368"/>
      <c r="EM734" s="1368"/>
      <c r="EN734" s="1368"/>
      <c r="EO734" s="1368">
        <f t="shared" si="27"/>
        <v>0</v>
      </c>
      <c r="EP734" s="1368"/>
      <c r="EQ734" s="1368"/>
      <c r="ER734" s="1368"/>
      <c r="ES734" s="1368"/>
      <c r="ET734" s="1368">
        <f t="shared" si="28"/>
        <v>0</v>
      </c>
      <c r="EU734" s="1368"/>
      <c r="EV734" s="1368"/>
      <c r="EW734" s="1368"/>
      <c r="EX734" s="1368"/>
      <c r="EZ734" s="1348" t="str">
        <f t="shared" si="29"/>
        <v/>
      </c>
      <c r="FA734" s="1349"/>
      <c r="FB734" s="1349"/>
      <c r="FC734" s="1349"/>
      <c r="FD734" s="1350"/>
      <c r="FE734" s="1348" t="str">
        <f t="shared" si="30"/>
        <v/>
      </c>
      <c r="FF734" s="1349"/>
      <c r="FG734" s="1349"/>
      <c r="FH734" s="1349"/>
      <c r="FI734" s="1350"/>
      <c r="FJ734" s="1348" t="str">
        <f t="shared" si="31"/>
        <v/>
      </c>
      <c r="FK734" s="1349"/>
      <c r="FL734" s="1349"/>
      <c r="FM734" s="1349"/>
      <c r="FN734" s="1350"/>
      <c r="FO734" s="1348" t="str">
        <f t="shared" si="32"/>
        <v/>
      </c>
      <c r="FP734" s="1349"/>
      <c r="FQ734" s="1349"/>
      <c r="FR734" s="1349"/>
      <c r="FS734" s="1350"/>
      <c r="FT734" s="1348" t="str">
        <f t="shared" si="33"/>
        <v/>
      </c>
      <c r="FU734" s="1349"/>
      <c r="FV734" s="1349"/>
      <c r="FW734" s="1349"/>
      <c r="FX734" s="1350"/>
      <c r="FY734" s="1348" t="str">
        <f t="shared" si="34"/>
        <v/>
      </c>
      <c r="FZ734" s="1349"/>
      <c r="GA734" s="1349"/>
      <c r="GB734" s="1349"/>
      <c r="GC734" s="1350"/>
    </row>
    <row r="735" spans="1:185" ht="13" customHeight="1">
      <c r="B735" s="1352"/>
      <c r="C735" s="1353"/>
      <c r="D735" s="1353"/>
      <c r="E735" s="1353"/>
      <c r="F735" s="1354"/>
      <c r="G735" s="1364"/>
      <c r="H735" s="1365"/>
      <c r="I735" s="1365"/>
      <c r="J735" s="1366"/>
      <c r="K735" s="1606"/>
      <c r="L735" s="1607"/>
      <c r="M735" s="1607"/>
      <c r="N735" s="1608"/>
      <c r="O735" s="1405"/>
      <c r="P735" s="1406"/>
      <c r="Q735" s="1406"/>
      <c r="R735" s="1406"/>
      <c r="S735" s="1407"/>
      <c r="T735" s="1405"/>
      <c r="U735" s="1406"/>
      <c r="V735" s="1406"/>
      <c r="W735" s="1407"/>
      <c r="X735" s="1355">
        <f t="shared" si="8"/>
        <v>0</v>
      </c>
      <c r="Y735" s="1356"/>
      <c r="Z735" s="1356"/>
      <c r="AA735" s="1356"/>
      <c r="AB735" s="1357"/>
      <c r="AC735" s="1361"/>
      <c r="AD735" s="1362"/>
      <c r="AE735" s="1362"/>
      <c r="AF735" s="1362"/>
      <c r="AG735" s="1363"/>
      <c r="AH735" s="1358" t="str">
        <f t="shared" si="35"/>
        <v/>
      </c>
      <c r="AI735" s="1359"/>
      <c r="AJ735" s="1360"/>
      <c r="AK735" s="1352" t="s">
        <v>592</v>
      </c>
      <c r="AL735" s="1353"/>
      <c r="AM735" s="1353"/>
      <c r="AN735" s="1353"/>
      <c r="AO735" s="1354"/>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348">
        <f t="shared" si="36"/>
        <v>0</v>
      </c>
      <c r="CH735" s="1350"/>
      <c r="CI735" s="1334">
        <f t="shared" si="37"/>
        <v>0</v>
      </c>
      <c r="CJ735" s="1336"/>
      <c r="CK735" s="1348">
        <f t="shared" si="15"/>
        <v>0</v>
      </c>
      <c r="CL735" s="1350"/>
      <c r="CM735" s="1334">
        <f t="shared" si="16"/>
        <v>0</v>
      </c>
      <c r="CN735" s="1336"/>
      <c r="CO735" s="3"/>
      <c r="CP735" s="1331">
        <f t="shared" si="17"/>
        <v>0</v>
      </c>
      <c r="CQ735" s="1332"/>
      <c r="CR735" s="1332"/>
      <c r="CS735" s="1332"/>
      <c r="CT735" s="1333"/>
      <c r="CU735" s="1351">
        <f t="shared" si="18"/>
        <v>0</v>
      </c>
      <c r="CV735" s="1351"/>
      <c r="CW735" s="1351"/>
      <c r="CX735" s="1351"/>
      <c r="CY735" s="1351"/>
      <c r="CZ735" s="1351">
        <f t="shared" si="19"/>
        <v>0</v>
      </c>
      <c r="DA735" s="1351"/>
      <c r="DB735" s="1351"/>
      <c r="DC735" s="1351"/>
      <c r="DD735" s="1351"/>
      <c r="DE735" s="1351">
        <f t="shared" si="20"/>
        <v>0</v>
      </c>
      <c r="DF735" s="1351"/>
      <c r="DG735" s="1351"/>
      <c r="DH735" s="1351"/>
      <c r="DI735" s="1351"/>
      <c r="DJ735" s="1351">
        <f t="shared" si="21"/>
        <v>0</v>
      </c>
      <c r="DK735" s="1351"/>
      <c r="DL735" s="1351"/>
      <c r="DM735" s="1351"/>
      <c r="DN735" s="1351"/>
      <c r="DO735" s="1351">
        <f t="shared" si="22"/>
        <v>0</v>
      </c>
      <c r="DP735" s="1351"/>
      <c r="DQ735" s="1351"/>
      <c r="DR735" s="1351"/>
      <c r="DS735" s="1351"/>
      <c r="DT735" s="6"/>
      <c r="DU735" s="1368">
        <f t="shared" si="23"/>
        <v>0</v>
      </c>
      <c r="DV735" s="1368"/>
      <c r="DW735" s="1368"/>
      <c r="DX735" s="1368"/>
      <c r="DY735" s="1368"/>
      <c r="DZ735" s="1368">
        <f t="shared" si="24"/>
        <v>0</v>
      </c>
      <c r="EA735" s="1368"/>
      <c r="EB735" s="1368"/>
      <c r="EC735" s="1368"/>
      <c r="ED735" s="1368"/>
      <c r="EE735" s="1368">
        <f t="shared" si="25"/>
        <v>0</v>
      </c>
      <c r="EF735" s="1368"/>
      <c r="EG735" s="1368"/>
      <c r="EH735" s="1368"/>
      <c r="EI735" s="1368"/>
      <c r="EJ735" s="1368">
        <f t="shared" si="26"/>
        <v>0</v>
      </c>
      <c r="EK735" s="1368"/>
      <c r="EL735" s="1368"/>
      <c r="EM735" s="1368"/>
      <c r="EN735" s="1368"/>
      <c r="EO735" s="1368">
        <f t="shared" si="27"/>
        <v>0</v>
      </c>
      <c r="EP735" s="1368"/>
      <c r="EQ735" s="1368"/>
      <c r="ER735" s="1368"/>
      <c r="ES735" s="1368"/>
      <c r="ET735" s="1368">
        <f t="shared" si="28"/>
        <v>0</v>
      </c>
      <c r="EU735" s="1368"/>
      <c r="EV735" s="1368"/>
      <c r="EW735" s="1368"/>
      <c r="EX735" s="1368"/>
      <c r="EZ735" s="1348" t="str">
        <f t="shared" si="29"/>
        <v/>
      </c>
      <c r="FA735" s="1349"/>
      <c r="FB735" s="1349"/>
      <c r="FC735" s="1349"/>
      <c r="FD735" s="1350"/>
      <c r="FE735" s="1348" t="str">
        <f t="shared" si="30"/>
        <v/>
      </c>
      <c r="FF735" s="1349"/>
      <c r="FG735" s="1349"/>
      <c r="FH735" s="1349"/>
      <c r="FI735" s="1350"/>
      <c r="FJ735" s="1348" t="str">
        <f t="shared" si="31"/>
        <v/>
      </c>
      <c r="FK735" s="1349"/>
      <c r="FL735" s="1349"/>
      <c r="FM735" s="1349"/>
      <c r="FN735" s="1350"/>
      <c r="FO735" s="1348" t="str">
        <f t="shared" si="32"/>
        <v/>
      </c>
      <c r="FP735" s="1349"/>
      <c r="FQ735" s="1349"/>
      <c r="FR735" s="1349"/>
      <c r="FS735" s="1350"/>
      <c r="FT735" s="1348" t="str">
        <f t="shared" si="33"/>
        <v/>
      </c>
      <c r="FU735" s="1349"/>
      <c r="FV735" s="1349"/>
      <c r="FW735" s="1349"/>
      <c r="FX735" s="1350"/>
      <c r="FY735" s="1348" t="str">
        <f t="shared" si="34"/>
        <v/>
      </c>
      <c r="FZ735" s="1349"/>
      <c r="GA735" s="1349"/>
      <c r="GB735" s="1349"/>
      <c r="GC735" s="1350"/>
    </row>
    <row r="736" spans="1:185" ht="13" customHeight="1">
      <c r="B736" s="1352"/>
      <c r="C736" s="1353"/>
      <c r="D736" s="1353"/>
      <c r="E736" s="1353"/>
      <c r="F736" s="1354"/>
      <c r="G736" s="1364"/>
      <c r="H736" s="1365"/>
      <c r="I736" s="1365"/>
      <c r="J736" s="1366"/>
      <c r="K736" s="1606"/>
      <c r="L736" s="1607"/>
      <c r="M736" s="1607"/>
      <c r="N736" s="1608"/>
      <c r="O736" s="1405"/>
      <c r="P736" s="1406"/>
      <c r="Q736" s="1406"/>
      <c r="R736" s="1406"/>
      <c r="S736" s="1407"/>
      <c r="T736" s="1405"/>
      <c r="U736" s="1406"/>
      <c r="V736" s="1406"/>
      <c r="W736" s="1407"/>
      <c r="X736" s="1355">
        <f t="shared" si="8"/>
        <v>0</v>
      </c>
      <c r="Y736" s="1356"/>
      <c r="Z736" s="1356"/>
      <c r="AA736" s="1356"/>
      <c r="AB736" s="1357"/>
      <c r="AC736" s="1361"/>
      <c r="AD736" s="1362"/>
      <c r="AE736" s="1362"/>
      <c r="AF736" s="1362"/>
      <c r="AG736" s="1363"/>
      <c r="AH736" s="1358" t="str">
        <f t="shared" si="35"/>
        <v/>
      </c>
      <c r="AI736" s="1359"/>
      <c r="AJ736" s="1360"/>
      <c r="AK736" s="1352" t="s">
        <v>592</v>
      </c>
      <c r="AL736" s="1353"/>
      <c r="AM736" s="1353"/>
      <c r="AN736" s="1353"/>
      <c r="AO736" s="1354"/>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348">
        <f t="shared" si="36"/>
        <v>0</v>
      </c>
      <c r="CH736" s="1350"/>
      <c r="CI736" s="1334">
        <f t="shared" si="37"/>
        <v>0</v>
      </c>
      <c r="CJ736" s="1336"/>
      <c r="CK736" s="1348">
        <f t="shared" si="15"/>
        <v>0</v>
      </c>
      <c r="CL736" s="1350"/>
      <c r="CM736" s="1334">
        <f t="shared" si="16"/>
        <v>0</v>
      </c>
      <c r="CN736" s="1336"/>
      <c r="CO736" s="3"/>
      <c r="CP736" s="1331">
        <f t="shared" si="17"/>
        <v>0</v>
      </c>
      <c r="CQ736" s="1332"/>
      <c r="CR736" s="1332"/>
      <c r="CS736" s="1332"/>
      <c r="CT736" s="1333"/>
      <c r="CU736" s="1351">
        <f t="shared" si="18"/>
        <v>0</v>
      </c>
      <c r="CV736" s="1351"/>
      <c r="CW736" s="1351"/>
      <c r="CX736" s="1351"/>
      <c r="CY736" s="1351"/>
      <c r="CZ736" s="1351">
        <f t="shared" si="19"/>
        <v>0</v>
      </c>
      <c r="DA736" s="1351"/>
      <c r="DB736" s="1351"/>
      <c r="DC736" s="1351"/>
      <c r="DD736" s="1351"/>
      <c r="DE736" s="1351">
        <f t="shared" si="20"/>
        <v>0</v>
      </c>
      <c r="DF736" s="1351"/>
      <c r="DG736" s="1351"/>
      <c r="DH736" s="1351"/>
      <c r="DI736" s="1351"/>
      <c r="DJ736" s="1351">
        <f t="shared" si="21"/>
        <v>0</v>
      </c>
      <c r="DK736" s="1351"/>
      <c r="DL736" s="1351"/>
      <c r="DM736" s="1351"/>
      <c r="DN736" s="1351"/>
      <c r="DO736" s="1351">
        <f t="shared" si="22"/>
        <v>0</v>
      </c>
      <c r="DP736" s="1351"/>
      <c r="DQ736" s="1351"/>
      <c r="DR736" s="1351"/>
      <c r="DS736" s="1351"/>
      <c r="DT736" s="6"/>
      <c r="DU736" s="1368">
        <f t="shared" si="23"/>
        <v>0</v>
      </c>
      <c r="DV736" s="1368"/>
      <c r="DW736" s="1368"/>
      <c r="DX736" s="1368"/>
      <c r="DY736" s="1368"/>
      <c r="DZ736" s="1368">
        <f t="shared" si="24"/>
        <v>0</v>
      </c>
      <c r="EA736" s="1368"/>
      <c r="EB736" s="1368"/>
      <c r="EC736" s="1368"/>
      <c r="ED736" s="1368"/>
      <c r="EE736" s="1368">
        <f t="shared" si="25"/>
        <v>0</v>
      </c>
      <c r="EF736" s="1368"/>
      <c r="EG736" s="1368"/>
      <c r="EH736" s="1368"/>
      <c r="EI736" s="1368"/>
      <c r="EJ736" s="1368">
        <f t="shared" si="26"/>
        <v>0</v>
      </c>
      <c r="EK736" s="1368"/>
      <c r="EL736" s="1368"/>
      <c r="EM736" s="1368"/>
      <c r="EN736" s="1368"/>
      <c r="EO736" s="1368">
        <f t="shared" si="27"/>
        <v>0</v>
      </c>
      <c r="EP736" s="1368"/>
      <c r="EQ736" s="1368"/>
      <c r="ER736" s="1368"/>
      <c r="ES736" s="1368"/>
      <c r="ET736" s="1368">
        <f t="shared" si="28"/>
        <v>0</v>
      </c>
      <c r="EU736" s="1368"/>
      <c r="EV736" s="1368"/>
      <c r="EW736" s="1368"/>
      <c r="EX736" s="1368"/>
      <c r="EZ736" s="1348" t="str">
        <f t="shared" si="29"/>
        <v/>
      </c>
      <c r="FA736" s="1349"/>
      <c r="FB736" s="1349"/>
      <c r="FC736" s="1349"/>
      <c r="FD736" s="1350"/>
      <c r="FE736" s="1348" t="str">
        <f t="shared" si="30"/>
        <v/>
      </c>
      <c r="FF736" s="1349"/>
      <c r="FG736" s="1349"/>
      <c r="FH736" s="1349"/>
      <c r="FI736" s="1350"/>
      <c r="FJ736" s="1348" t="str">
        <f t="shared" si="31"/>
        <v/>
      </c>
      <c r="FK736" s="1349"/>
      <c r="FL736" s="1349"/>
      <c r="FM736" s="1349"/>
      <c r="FN736" s="1350"/>
      <c r="FO736" s="1348" t="str">
        <f t="shared" si="32"/>
        <v/>
      </c>
      <c r="FP736" s="1349"/>
      <c r="FQ736" s="1349"/>
      <c r="FR736" s="1349"/>
      <c r="FS736" s="1350"/>
      <c r="FT736" s="1348" t="str">
        <f t="shared" si="33"/>
        <v/>
      </c>
      <c r="FU736" s="1349"/>
      <c r="FV736" s="1349"/>
      <c r="FW736" s="1349"/>
      <c r="FX736" s="1350"/>
      <c r="FY736" s="1348" t="str">
        <f t="shared" si="34"/>
        <v/>
      </c>
      <c r="FZ736" s="1349"/>
      <c r="GA736" s="1349"/>
      <c r="GB736" s="1349"/>
      <c r="GC736" s="1350"/>
    </row>
    <row r="737" spans="1:185" ht="13" customHeight="1">
      <c r="B737" s="1352"/>
      <c r="C737" s="1353"/>
      <c r="D737" s="1353"/>
      <c r="E737" s="1353"/>
      <c r="F737" s="1354"/>
      <c r="G737" s="1364"/>
      <c r="H737" s="1365"/>
      <c r="I737" s="1365"/>
      <c r="J737" s="1366"/>
      <c r="K737" s="1606"/>
      <c r="L737" s="1607"/>
      <c r="M737" s="1607"/>
      <c r="N737" s="1608"/>
      <c r="O737" s="1405"/>
      <c r="P737" s="1406"/>
      <c r="Q737" s="1406"/>
      <c r="R737" s="1406"/>
      <c r="S737" s="1407"/>
      <c r="T737" s="1405"/>
      <c r="U737" s="1406"/>
      <c r="V737" s="1406"/>
      <c r="W737" s="1407"/>
      <c r="X737" s="1355">
        <f t="shared" si="8"/>
        <v>0</v>
      </c>
      <c r="Y737" s="1356"/>
      <c r="Z737" s="1356"/>
      <c r="AA737" s="1356"/>
      <c r="AB737" s="1357"/>
      <c r="AC737" s="1361"/>
      <c r="AD737" s="1362"/>
      <c r="AE737" s="1362"/>
      <c r="AF737" s="1362"/>
      <c r="AG737" s="1363"/>
      <c r="AH737" s="1358" t="str">
        <f t="shared" si="35"/>
        <v/>
      </c>
      <c r="AI737" s="1359"/>
      <c r="AJ737" s="1360"/>
      <c r="AK737" s="1352" t="s">
        <v>592</v>
      </c>
      <c r="AL737" s="1353"/>
      <c r="AM737" s="1353"/>
      <c r="AN737" s="1353"/>
      <c r="AO737" s="1354"/>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348">
        <f t="shared" si="36"/>
        <v>0</v>
      </c>
      <c r="CH737" s="1350"/>
      <c r="CI737" s="1334">
        <f t="shared" si="37"/>
        <v>0</v>
      </c>
      <c r="CJ737" s="1336"/>
      <c r="CK737" s="1348">
        <f t="shared" si="15"/>
        <v>0</v>
      </c>
      <c r="CL737" s="1350"/>
      <c r="CM737" s="1334">
        <f t="shared" si="16"/>
        <v>0</v>
      </c>
      <c r="CN737" s="1336"/>
      <c r="CO737" s="3"/>
      <c r="CP737" s="1331">
        <f t="shared" si="17"/>
        <v>0</v>
      </c>
      <c r="CQ737" s="1332"/>
      <c r="CR737" s="1332"/>
      <c r="CS737" s="1332"/>
      <c r="CT737" s="1333"/>
      <c r="CU737" s="1351">
        <f t="shared" si="18"/>
        <v>0</v>
      </c>
      <c r="CV737" s="1351"/>
      <c r="CW737" s="1351"/>
      <c r="CX737" s="1351"/>
      <c r="CY737" s="1351"/>
      <c r="CZ737" s="1351">
        <f t="shared" si="19"/>
        <v>0</v>
      </c>
      <c r="DA737" s="1351"/>
      <c r="DB737" s="1351"/>
      <c r="DC737" s="1351"/>
      <c r="DD737" s="1351"/>
      <c r="DE737" s="1351">
        <f t="shared" si="20"/>
        <v>0</v>
      </c>
      <c r="DF737" s="1351"/>
      <c r="DG737" s="1351"/>
      <c r="DH737" s="1351"/>
      <c r="DI737" s="1351"/>
      <c r="DJ737" s="1351">
        <f t="shared" si="21"/>
        <v>0</v>
      </c>
      <c r="DK737" s="1351"/>
      <c r="DL737" s="1351"/>
      <c r="DM737" s="1351"/>
      <c r="DN737" s="1351"/>
      <c r="DO737" s="1351">
        <f t="shared" si="22"/>
        <v>0</v>
      </c>
      <c r="DP737" s="1351"/>
      <c r="DQ737" s="1351"/>
      <c r="DR737" s="1351"/>
      <c r="DS737" s="1351"/>
      <c r="DT737" s="6"/>
      <c r="DU737" s="1368">
        <f t="shared" si="23"/>
        <v>0</v>
      </c>
      <c r="DV737" s="1368"/>
      <c r="DW737" s="1368"/>
      <c r="DX737" s="1368"/>
      <c r="DY737" s="1368"/>
      <c r="DZ737" s="1368">
        <f t="shared" si="24"/>
        <v>0</v>
      </c>
      <c r="EA737" s="1368"/>
      <c r="EB737" s="1368"/>
      <c r="EC737" s="1368"/>
      <c r="ED737" s="1368"/>
      <c r="EE737" s="1368">
        <f t="shared" si="25"/>
        <v>0</v>
      </c>
      <c r="EF737" s="1368"/>
      <c r="EG737" s="1368"/>
      <c r="EH737" s="1368"/>
      <c r="EI737" s="1368"/>
      <c r="EJ737" s="1368">
        <f t="shared" si="26"/>
        <v>0</v>
      </c>
      <c r="EK737" s="1368"/>
      <c r="EL737" s="1368"/>
      <c r="EM737" s="1368"/>
      <c r="EN737" s="1368"/>
      <c r="EO737" s="1368">
        <f t="shared" si="27"/>
        <v>0</v>
      </c>
      <c r="EP737" s="1368"/>
      <c r="EQ737" s="1368"/>
      <c r="ER737" s="1368"/>
      <c r="ES737" s="1368"/>
      <c r="ET737" s="1368">
        <f t="shared" si="28"/>
        <v>0</v>
      </c>
      <c r="EU737" s="1368"/>
      <c r="EV737" s="1368"/>
      <c r="EW737" s="1368"/>
      <c r="EX737" s="1368"/>
      <c r="EZ737" s="1348" t="str">
        <f t="shared" si="29"/>
        <v/>
      </c>
      <c r="FA737" s="1349"/>
      <c r="FB737" s="1349"/>
      <c r="FC737" s="1349"/>
      <c r="FD737" s="1350"/>
      <c r="FE737" s="1348" t="str">
        <f t="shared" si="30"/>
        <v/>
      </c>
      <c r="FF737" s="1349"/>
      <c r="FG737" s="1349"/>
      <c r="FH737" s="1349"/>
      <c r="FI737" s="1350"/>
      <c r="FJ737" s="1348" t="str">
        <f t="shared" si="31"/>
        <v/>
      </c>
      <c r="FK737" s="1349"/>
      <c r="FL737" s="1349"/>
      <c r="FM737" s="1349"/>
      <c r="FN737" s="1350"/>
      <c r="FO737" s="1348" t="str">
        <f t="shared" si="32"/>
        <v/>
      </c>
      <c r="FP737" s="1349"/>
      <c r="FQ737" s="1349"/>
      <c r="FR737" s="1349"/>
      <c r="FS737" s="1350"/>
      <c r="FT737" s="1348" t="str">
        <f t="shared" si="33"/>
        <v/>
      </c>
      <c r="FU737" s="1349"/>
      <c r="FV737" s="1349"/>
      <c r="FW737" s="1349"/>
      <c r="FX737" s="1350"/>
      <c r="FY737" s="1348" t="str">
        <f t="shared" si="34"/>
        <v/>
      </c>
      <c r="FZ737" s="1349"/>
      <c r="GA737" s="1349"/>
      <c r="GB737" s="1349"/>
      <c r="GC737" s="1350"/>
    </row>
    <row r="738" spans="1:185" ht="13" customHeight="1">
      <c r="B738" s="1352"/>
      <c r="C738" s="1353"/>
      <c r="D738" s="1353"/>
      <c r="E738" s="1353"/>
      <c r="F738" s="1354"/>
      <c r="G738" s="1364"/>
      <c r="H738" s="1365"/>
      <c r="I738" s="1365"/>
      <c r="J738" s="1366"/>
      <c r="K738" s="1606"/>
      <c r="L738" s="1607"/>
      <c r="M738" s="1607"/>
      <c r="N738" s="1608"/>
      <c r="O738" s="1405"/>
      <c r="P738" s="1406"/>
      <c r="Q738" s="1406"/>
      <c r="R738" s="1406"/>
      <c r="S738" s="1407"/>
      <c r="T738" s="1405"/>
      <c r="U738" s="1406"/>
      <c r="V738" s="1406"/>
      <c r="W738" s="1407"/>
      <c r="X738" s="1355">
        <f t="shared" si="8"/>
        <v>0</v>
      </c>
      <c r="Y738" s="1356"/>
      <c r="Z738" s="1356"/>
      <c r="AA738" s="1356"/>
      <c r="AB738" s="1357"/>
      <c r="AC738" s="1361"/>
      <c r="AD738" s="1362"/>
      <c r="AE738" s="1362"/>
      <c r="AF738" s="1362"/>
      <c r="AG738" s="1363"/>
      <c r="AH738" s="1358" t="str">
        <f t="shared" si="35"/>
        <v/>
      </c>
      <c r="AI738" s="1359"/>
      <c r="AJ738" s="1360"/>
      <c r="AK738" s="1352" t="s">
        <v>592</v>
      </c>
      <c r="AL738" s="1353"/>
      <c r="AM738" s="1353"/>
      <c r="AN738" s="1353"/>
      <c r="AO738" s="1354"/>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348">
        <f t="shared" si="36"/>
        <v>0</v>
      </c>
      <c r="CH738" s="1350"/>
      <c r="CI738" s="1334">
        <f t="shared" si="37"/>
        <v>0</v>
      </c>
      <c r="CJ738" s="1336"/>
      <c r="CK738" s="1348">
        <f t="shared" si="15"/>
        <v>0</v>
      </c>
      <c r="CL738" s="1350"/>
      <c r="CM738" s="1334">
        <f t="shared" si="16"/>
        <v>0</v>
      </c>
      <c r="CN738" s="1336"/>
      <c r="CO738" s="3"/>
      <c r="CP738" s="1331">
        <f t="shared" si="17"/>
        <v>0</v>
      </c>
      <c r="CQ738" s="1332"/>
      <c r="CR738" s="1332"/>
      <c r="CS738" s="1332"/>
      <c r="CT738" s="1333"/>
      <c r="CU738" s="1351">
        <f t="shared" si="18"/>
        <v>0</v>
      </c>
      <c r="CV738" s="1351"/>
      <c r="CW738" s="1351"/>
      <c r="CX738" s="1351"/>
      <c r="CY738" s="1351"/>
      <c r="CZ738" s="1351">
        <f t="shared" si="19"/>
        <v>0</v>
      </c>
      <c r="DA738" s="1351"/>
      <c r="DB738" s="1351"/>
      <c r="DC738" s="1351"/>
      <c r="DD738" s="1351"/>
      <c r="DE738" s="1351">
        <f t="shared" si="20"/>
        <v>0</v>
      </c>
      <c r="DF738" s="1351"/>
      <c r="DG738" s="1351"/>
      <c r="DH738" s="1351"/>
      <c r="DI738" s="1351"/>
      <c r="DJ738" s="1351">
        <f t="shared" si="21"/>
        <v>0</v>
      </c>
      <c r="DK738" s="1351"/>
      <c r="DL738" s="1351"/>
      <c r="DM738" s="1351"/>
      <c r="DN738" s="1351"/>
      <c r="DO738" s="1351">
        <f t="shared" si="22"/>
        <v>0</v>
      </c>
      <c r="DP738" s="1351"/>
      <c r="DQ738" s="1351"/>
      <c r="DR738" s="1351"/>
      <c r="DS738" s="1351"/>
      <c r="DT738" s="6"/>
      <c r="DU738" s="1368">
        <f t="shared" si="23"/>
        <v>0</v>
      </c>
      <c r="DV738" s="1368"/>
      <c r="DW738" s="1368"/>
      <c r="DX738" s="1368"/>
      <c r="DY738" s="1368"/>
      <c r="DZ738" s="1368">
        <f t="shared" si="24"/>
        <v>0</v>
      </c>
      <c r="EA738" s="1368"/>
      <c r="EB738" s="1368"/>
      <c r="EC738" s="1368"/>
      <c r="ED738" s="1368"/>
      <c r="EE738" s="1368">
        <f t="shared" si="25"/>
        <v>0</v>
      </c>
      <c r="EF738" s="1368"/>
      <c r="EG738" s="1368"/>
      <c r="EH738" s="1368"/>
      <c r="EI738" s="1368"/>
      <c r="EJ738" s="1368">
        <f t="shared" si="26"/>
        <v>0</v>
      </c>
      <c r="EK738" s="1368"/>
      <c r="EL738" s="1368"/>
      <c r="EM738" s="1368"/>
      <c r="EN738" s="1368"/>
      <c r="EO738" s="1368">
        <f t="shared" si="27"/>
        <v>0</v>
      </c>
      <c r="EP738" s="1368"/>
      <c r="EQ738" s="1368"/>
      <c r="ER738" s="1368"/>
      <c r="ES738" s="1368"/>
      <c r="ET738" s="1368">
        <f t="shared" si="28"/>
        <v>0</v>
      </c>
      <c r="EU738" s="1368"/>
      <c r="EV738" s="1368"/>
      <c r="EW738" s="1368"/>
      <c r="EX738" s="1368"/>
      <c r="EZ738" s="1348" t="str">
        <f t="shared" si="29"/>
        <v/>
      </c>
      <c r="FA738" s="1349"/>
      <c r="FB738" s="1349"/>
      <c r="FC738" s="1349"/>
      <c r="FD738" s="1350"/>
      <c r="FE738" s="1348" t="str">
        <f t="shared" si="30"/>
        <v/>
      </c>
      <c r="FF738" s="1349"/>
      <c r="FG738" s="1349"/>
      <c r="FH738" s="1349"/>
      <c r="FI738" s="1350"/>
      <c r="FJ738" s="1348" t="str">
        <f t="shared" si="31"/>
        <v/>
      </c>
      <c r="FK738" s="1349"/>
      <c r="FL738" s="1349"/>
      <c r="FM738" s="1349"/>
      <c r="FN738" s="1350"/>
      <c r="FO738" s="1348" t="str">
        <f t="shared" si="32"/>
        <v/>
      </c>
      <c r="FP738" s="1349"/>
      <c r="FQ738" s="1349"/>
      <c r="FR738" s="1349"/>
      <c r="FS738" s="1350"/>
      <c r="FT738" s="1348" t="str">
        <f t="shared" si="33"/>
        <v/>
      </c>
      <c r="FU738" s="1349"/>
      <c r="FV738" s="1349"/>
      <c r="FW738" s="1349"/>
      <c r="FX738" s="1350"/>
      <c r="FY738" s="1348" t="str">
        <f t="shared" si="34"/>
        <v/>
      </c>
      <c r="FZ738" s="1349"/>
      <c r="GA738" s="1349"/>
      <c r="GB738" s="1349"/>
      <c r="GC738" s="1350"/>
    </row>
    <row r="739" spans="1:185" ht="13" customHeight="1">
      <c r="B739" s="1352"/>
      <c r="C739" s="1353"/>
      <c r="D739" s="1353"/>
      <c r="E739" s="1353"/>
      <c r="F739" s="1354"/>
      <c r="G739" s="1364"/>
      <c r="H739" s="1365"/>
      <c r="I739" s="1365"/>
      <c r="J739" s="1366"/>
      <c r="K739" s="1606"/>
      <c r="L739" s="1607"/>
      <c r="M739" s="1607"/>
      <c r="N739" s="1608"/>
      <c r="O739" s="1405"/>
      <c r="P739" s="1406"/>
      <c r="Q739" s="1406"/>
      <c r="R739" s="1406"/>
      <c r="S739" s="1407"/>
      <c r="T739" s="1405"/>
      <c r="U739" s="1406"/>
      <c r="V739" s="1406"/>
      <c r="W739" s="1407"/>
      <c r="X739" s="1355">
        <f t="shared" si="8"/>
        <v>0</v>
      </c>
      <c r="Y739" s="1356"/>
      <c r="Z739" s="1356"/>
      <c r="AA739" s="1356"/>
      <c r="AB739" s="1357"/>
      <c r="AC739" s="1361"/>
      <c r="AD739" s="1362"/>
      <c r="AE739" s="1362"/>
      <c r="AF739" s="1362"/>
      <c r="AG739" s="1363"/>
      <c r="AH739" s="1358" t="str">
        <f t="shared" si="35"/>
        <v/>
      </c>
      <c r="AI739" s="1359"/>
      <c r="AJ739" s="1360"/>
      <c r="AK739" s="1352" t="s">
        <v>592</v>
      </c>
      <c r="AL739" s="1353"/>
      <c r="AM739" s="1353"/>
      <c r="AN739" s="1353"/>
      <c r="AO739" s="1354"/>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348">
        <f t="shared" si="36"/>
        <v>0</v>
      </c>
      <c r="CH739" s="1350"/>
      <c r="CI739" s="1334">
        <f t="shared" si="37"/>
        <v>0</v>
      </c>
      <c r="CJ739" s="1336"/>
      <c r="CK739" s="1348">
        <f t="shared" si="15"/>
        <v>0</v>
      </c>
      <c r="CL739" s="1350"/>
      <c r="CM739" s="1334">
        <f t="shared" si="16"/>
        <v>0</v>
      </c>
      <c r="CN739" s="1336"/>
      <c r="CO739" s="3"/>
      <c r="CP739" s="1331">
        <f t="shared" si="17"/>
        <v>0</v>
      </c>
      <c r="CQ739" s="1332"/>
      <c r="CR739" s="1332"/>
      <c r="CS739" s="1332"/>
      <c r="CT739" s="1333"/>
      <c r="CU739" s="1351">
        <f t="shared" si="18"/>
        <v>0</v>
      </c>
      <c r="CV739" s="1351"/>
      <c r="CW739" s="1351"/>
      <c r="CX739" s="1351"/>
      <c r="CY739" s="1351"/>
      <c r="CZ739" s="1351">
        <f t="shared" si="19"/>
        <v>0</v>
      </c>
      <c r="DA739" s="1351"/>
      <c r="DB739" s="1351"/>
      <c r="DC739" s="1351"/>
      <c r="DD739" s="1351"/>
      <c r="DE739" s="1351">
        <f t="shared" si="20"/>
        <v>0</v>
      </c>
      <c r="DF739" s="1351"/>
      <c r="DG739" s="1351"/>
      <c r="DH739" s="1351"/>
      <c r="DI739" s="1351"/>
      <c r="DJ739" s="1351">
        <f t="shared" si="21"/>
        <v>0</v>
      </c>
      <c r="DK739" s="1351"/>
      <c r="DL739" s="1351"/>
      <c r="DM739" s="1351"/>
      <c r="DN739" s="1351"/>
      <c r="DO739" s="1351">
        <f t="shared" si="22"/>
        <v>0</v>
      </c>
      <c r="DP739" s="1351"/>
      <c r="DQ739" s="1351"/>
      <c r="DR739" s="1351"/>
      <c r="DS739" s="1351"/>
      <c r="DT739" s="6"/>
      <c r="DU739" s="1368">
        <f t="shared" si="23"/>
        <v>0</v>
      </c>
      <c r="DV739" s="1368"/>
      <c r="DW739" s="1368"/>
      <c r="DX739" s="1368"/>
      <c r="DY739" s="1368"/>
      <c r="DZ739" s="1368">
        <f t="shared" si="24"/>
        <v>0</v>
      </c>
      <c r="EA739" s="1368"/>
      <c r="EB739" s="1368"/>
      <c r="EC739" s="1368"/>
      <c r="ED739" s="1368"/>
      <c r="EE739" s="1368">
        <f t="shared" si="25"/>
        <v>0</v>
      </c>
      <c r="EF739" s="1368"/>
      <c r="EG739" s="1368"/>
      <c r="EH739" s="1368"/>
      <c r="EI739" s="1368"/>
      <c r="EJ739" s="1368">
        <f t="shared" si="26"/>
        <v>0</v>
      </c>
      <c r="EK739" s="1368"/>
      <c r="EL739" s="1368"/>
      <c r="EM739" s="1368"/>
      <c r="EN739" s="1368"/>
      <c r="EO739" s="1368">
        <f t="shared" si="27"/>
        <v>0</v>
      </c>
      <c r="EP739" s="1368"/>
      <c r="EQ739" s="1368"/>
      <c r="ER739" s="1368"/>
      <c r="ES739" s="1368"/>
      <c r="ET739" s="1368">
        <f t="shared" si="28"/>
        <v>0</v>
      </c>
      <c r="EU739" s="1368"/>
      <c r="EV739" s="1368"/>
      <c r="EW739" s="1368"/>
      <c r="EX739" s="1368"/>
      <c r="EZ739" s="1348" t="str">
        <f t="shared" si="29"/>
        <v/>
      </c>
      <c r="FA739" s="1349"/>
      <c r="FB739" s="1349"/>
      <c r="FC739" s="1349"/>
      <c r="FD739" s="1350"/>
      <c r="FE739" s="1348" t="str">
        <f t="shared" si="30"/>
        <v/>
      </c>
      <c r="FF739" s="1349"/>
      <c r="FG739" s="1349"/>
      <c r="FH739" s="1349"/>
      <c r="FI739" s="1350"/>
      <c r="FJ739" s="1348" t="str">
        <f t="shared" si="31"/>
        <v/>
      </c>
      <c r="FK739" s="1349"/>
      <c r="FL739" s="1349"/>
      <c r="FM739" s="1349"/>
      <c r="FN739" s="1350"/>
      <c r="FO739" s="1348" t="str">
        <f t="shared" si="32"/>
        <v/>
      </c>
      <c r="FP739" s="1349"/>
      <c r="FQ739" s="1349"/>
      <c r="FR739" s="1349"/>
      <c r="FS739" s="1350"/>
      <c r="FT739" s="1348" t="str">
        <f t="shared" si="33"/>
        <v/>
      </c>
      <c r="FU739" s="1349"/>
      <c r="FV739" s="1349"/>
      <c r="FW739" s="1349"/>
      <c r="FX739" s="1350"/>
      <c r="FY739" s="1348" t="str">
        <f t="shared" si="34"/>
        <v/>
      </c>
      <c r="FZ739" s="1349"/>
      <c r="GA739" s="1349"/>
      <c r="GB739" s="1349"/>
      <c r="GC739" s="1350"/>
    </row>
    <row r="740" spans="1:185" ht="13" customHeight="1">
      <c r="B740" s="1352"/>
      <c r="C740" s="1353"/>
      <c r="D740" s="1353"/>
      <c r="E740" s="1353"/>
      <c r="F740" s="1354"/>
      <c r="G740" s="1364"/>
      <c r="H740" s="1365"/>
      <c r="I740" s="1365"/>
      <c r="J740" s="1366"/>
      <c r="K740" s="1606"/>
      <c r="L740" s="1607"/>
      <c r="M740" s="1607"/>
      <c r="N740" s="1608"/>
      <c r="O740" s="1405"/>
      <c r="P740" s="1406"/>
      <c r="Q740" s="1406"/>
      <c r="R740" s="1406"/>
      <c r="S740" s="1407"/>
      <c r="T740" s="1405"/>
      <c r="U740" s="1406"/>
      <c r="V740" s="1406"/>
      <c r="W740" s="1407"/>
      <c r="X740" s="1355">
        <f t="shared" si="8"/>
        <v>0</v>
      </c>
      <c r="Y740" s="1356"/>
      <c r="Z740" s="1356"/>
      <c r="AA740" s="1356"/>
      <c r="AB740" s="1357"/>
      <c r="AC740" s="1361"/>
      <c r="AD740" s="1362"/>
      <c r="AE740" s="1362"/>
      <c r="AF740" s="1362"/>
      <c r="AG740" s="1363"/>
      <c r="AH740" s="1358" t="str">
        <f t="shared" si="35"/>
        <v/>
      </c>
      <c r="AI740" s="1359"/>
      <c r="AJ740" s="1360"/>
      <c r="AK740" s="1352" t="s">
        <v>592</v>
      </c>
      <c r="AL740" s="1353"/>
      <c r="AM740" s="1353"/>
      <c r="AN740" s="1353"/>
      <c r="AO740" s="1354"/>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348">
        <f t="shared" si="36"/>
        <v>0</v>
      </c>
      <c r="CH740" s="1350"/>
      <c r="CI740" s="1334">
        <f t="shared" si="37"/>
        <v>0</v>
      </c>
      <c r="CJ740" s="1336"/>
      <c r="CK740" s="1348">
        <f t="shared" si="15"/>
        <v>0</v>
      </c>
      <c r="CL740" s="1350"/>
      <c r="CM740" s="1334">
        <f t="shared" si="16"/>
        <v>0</v>
      </c>
      <c r="CN740" s="1336"/>
      <c r="CO740" s="3"/>
      <c r="CP740" s="1331">
        <f t="shared" si="17"/>
        <v>0</v>
      </c>
      <c r="CQ740" s="1332"/>
      <c r="CR740" s="1332"/>
      <c r="CS740" s="1332"/>
      <c r="CT740" s="1333"/>
      <c r="CU740" s="1351">
        <f t="shared" si="18"/>
        <v>0</v>
      </c>
      <c r="CV740" s="1351"/>
      <c r="CW740" s="1351"/>
      <c r="CX740" s="1351"/>
      <c r="CY740" s="1351"/>
      <c r="CZ740" s="1351">
        <f t="shared" si="19"/>
        <v>0</v>
      </c>
      <c r="DA740" s="1351"/>
      <c r="DB740" s="1351"/>
      <c r="DC740" s="1351"/>
      <c r="DD740" s="1351"/>
      <c r="DE740" s="1351">
        <f t="shared" si="20"/>
        <v>0</v>
      </c>
      <c r="DF740" s="1351"/>
      <c r="DG740" s="1351"/>
      <c r="DH740" s="1351"/>
      <c r="DI740" s="1351"/>
      <c r="DJ740" s="1351">
        <f t="shared" si="21"/>
        <v>0</v>
      </c>
      <c r="DK740" s="1351"/>
      <c r="DL740" s="1351"/>
      <c r="DM740" s="1351"/>
      <c r="DN740" s="1351"/>
      <c r="DO740" s="1351">
        <f t="shared" si="22"/>
        <v>0</v>
      </c>
      <c r="DP740" s="1351"/>
      <c r="DQ740" s="1351"/>
      <c r="DR740" s="1351"/>
      <c r="DS740" s="1351"/>
      <c r="DT740" s="6"/>
      <c r="DU740" s="1368">
        <f t="shared" si="23"/>
        <v>0</v>
      </c>
      <c r="DV740" s="1368"/>
      <c r="DW740" s="1368"/>
      <c r="DX740" s="1368"/>
      <c r="DY740" s="1368"/>
      <c r="DZ740" s="1368">
        <f t="shared" si="24"/>
        <v>0</v>
      </c>
      <c r="EA740" s="1368"/>
      <c r="EB740" s="1368"/>
      <c r="EC740" s="1368"/>
      <c r="ED740" s="1368"/>
      <c r="EE740" s="1368">
        <f t="shared" si="25"/>
        <v>0</v>
      </c>
      <c r="EF740" s="1368"/>
      <c r="EG740" s="1368"/>
      <c r="EH740" s="1368"/>
      <c r="EI740" s="1368"/>
      <c r="EJ740" s="1368">
        <f t="shared" si="26"/>
        <v>0</v>
      </c>
      <c r="EK740" s="1368"/>
      <c r="EL740" s="1368"/>
      <c r="EM740" s="1368"/>
      <c r="EN740" s="1368"/>
      <c r="EO740" s="1368">
        <f t="shared" si="27"/>
        <v>0</v>
      </c>
      <c r="EP740" s="1368"/>
      <c r="EQ740" s="1368"/>
      <c r="ER740" s="1368"/>
      <c r="ES740" s="1368"/>
      <c r="ET740" s="1368">
        <f t="shared" si="28"/>
        <v>0</v>
      </c>
      <c r="EU740" s="1368"/>
      <c r="EV740" s="1368"/>
      <c r="EW740" s="1368"/>
      <c r="EX740" s="1368"/>
      <c r="EZ740" s="1348" t="str">
        <f t="shared" si="29"/>
        <v/>
      </c>
      <c r="FA740" s="1349"/>
      <c r="FB740" s="1349"/>
      <c r="FC740" s="1349"/>
      <c r="FD740" s="1350"/>
      <c r="FE740" s="1348" t="str">
        <f t="shared" si="30"/>
        <v/>
      </c>
      <c r="FF740" s="1349"/>
      <c r="FG740" s="1349"/>
      <c r="FH740" s="1349"/>
      <c r="FI740" s="1350"/>
      <c r="FJ740" s="1348" t="str">
        <f t="shared" si="31"/>
        <v/>
      </c>
      <c r="FK740" s="1349"/>
      <c r="FL740" s="1349"/>
      <c r="FM740" s="1349"/>
      <c r="FN740" s="1350"/>
      <c r="FO740" s="1348" t="str">
        <f t="shared" si="32"/>
        <v/>
      </c>
      <c r="FP740" s="1349"/>
      <c r="FQ740" s="1349"/>
      <c r="FR740" s="1349"/>
      <c r="FS740" s="1350"/>
      <c r="FT740" s="1348" t="str">
        <f t="shared" si="33"/>
        <v/>
      </c>
      <c r="FU740" s="1349"/>
      <c r="FV740" s="1349"/>
      <c r="FW740" s="1349"/>
      <c r="FX740" s="1350"/>
      <c r="FY740" s="1348" t="str">
        <f t="shared" si="34"/>
        <v/>
      </c>
      <c r="FZ740" s="1349"/>
      <c r="GA740" s="1349"/>
      <c r="GB740" s="1349"/>
      <c r="GC740" s="1350"/>
    </row>
    <row r="741" spans="1:185" ht="13" customHeight="1">
      <c r="B741" s="1352"/>
      <c r="C741" s="1353"/>
      <c r="D741" s="1353"/>
      <c r="E741" s="1353"/>
      <c r="F741" s="1354"/>
      <c r="G741" s="1364"/>
      <c r="H741" s="1365"/>
      <c r="I741" s="1365"/>
      <c r="J741" s="1366"/>
      <c r="K741" s="1606"/>
      <c r="L741" s="1607"/>
      <c r="M741" s="1607"/>
      <c r="N741" s="1608"/>
      <c r="O741" s="1405"/>
      <c r="P741" s="1406"/>
      <c r="Q741" s="1406"/>
      <c r="R741" s="1406"/>
      <c r="S741" s="1407"/>
      <c r="T741" s="1405"/>
      <c r="U741" s="1406"/>
      <c r="V741" s="1406"/>
      <c r="W741" s="1407"/>
      <c r="X741" s="1355">
        <f t="shared" si="8"/>
        <v>0</v>
      </c>
      <c r="Y741" s="1356"/>
      <c r="Z741" s="1356"/>
      <c r="AA741" s="1356"/>
      <c r="AB741" s="1357"/>
      <c r="AC741" s="1361"/>
      <c r="AD741" s="1362"/>
      <c r="AE741" s="1362"/>
      <c r="AF741" s="1362"/>
      <c r="AG741" s="1363"/>
      <c r="AH741" s="1358" t="str">
        <f t="shared" si="35"/>
        <v/>
      </c>
      <c r="AI741" s="1359"/>
      <c r="AJ741" s="1360"/>
      <c r="AK741" s="1352" t="s">
        <v>592</v>
      </c>
      <c r="AL741" s="1353"/>
      <c r="AM741" s="1353"/>
      <c r="AN741" s="1353"/>
      <c r="AO741" s="1354"/>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348">
        <f t="shared" si="36"/>
        <v>0</v>
      </c>
      <c r="CH741" s="1350"/>
      <c r="CI741" s="1334">
        <f t="shared" si="37"/>
        <v>0</v>
      </c>
      <c r="CJ741" s="1336"/>
      <c r="CK741" s="1348">
        <f t="shared" si="15"/>
        <v>0</v>
      </c>
      <c r="CL741" s="1350"/>
      <c r="CM741" s="1334">
        <f t="shared" si="16"/>
        <v>0</v>
      </c>
      <c r="CN741" s="1336"/>
      <c r="CO741" s="3"/>
      <c r="CP741" s="1331">
        <f t="shared" si="17"/>
        <v>0</v>
      </c>
      <c r="CQ741" s="1332"/>
      <c r="CR741" s="1332"/>
      <c r="CS741" s="1332"/>
      <c r="CT741" s="1333"/>
      <c r="CU741" s="1351">
        <f t="shared" si="18"/>
        <v>0</v>
      </c>
      <c r="CV741" s="1351"/>
      <c r="CW741" s="1351"/>
      <c r="CX741" s="1351"/>
      <c r="CY741" s="1351"/>
      <c r="CZ741" s="1351">
        <f t="shared" si="19"/>
        <v>0</v>
      </c>
      <c r="DA741" s="1351"/>
      <c r="DB741" s="1351"/>
      <c r="DC741" s="1351"/>
      <c r="DD741" s="1351"/>
      <c r="DE741" s="1351">
        <f t="shared" si="20"/>
        <v>0</v>
      </c>
      <c r="DF741" s="1351"/>
      <c r="DG741" s="1351"/>
      <c r="DH741" s="1351"/>
      <c r="DI741" s="1351"/>
      <c r="DJ741" s="1351">
        <f t="shared" si="21"/>
        <v>0</v>
      </c>
      <c r="DK741" s="1351"/>
      <c r="DL741" s="1351"/>
      <c r="DM741" s="1351"/>
      <c r="DN741" s="1351"/>
      <c r="DO741" s="1351">
        <f t="shared" si="22"/>
        <v>0</v>
      </c>
      <c r="DP741" s="1351"/>
      <c r="DQ741" s="1351"/>
      <c r="DR741" s="1351"/>
      <c r="DS741" s="1351"/>
      <c r="DT741" s="6"/>
      <c r="DU741" s="1368">
        <f t="shared" si="23"/>
        <v>0</v>
      </c>
      <c r="DV741" s="1368"/>
      <c r="DW741" s="1368"/>
      <c r="DX741" s="1368"/>
      <c r="DY741" s="1368"/>
      <c r="DZ741" s="1368">
        <f t="shared" si="24"/>
        <v>0</v>
      </c>
      <c r="EA741" s="1368"/>
      <c r="EB741" s="1368"/>
      <c r="EC741" s="1368"/>
      <c r="ED741" s="1368"/>
      <c r="EE741" s="1368">
        <f t="shared" si="25"/>
        <v>0</v>
      </c>
      <c r="EF741" s="1368"/>
      <c r="EG741" s="1368"/>
      <c r="EH741" s="1368"/>
      <c r="EI741" s="1368"/>
      <c r="EJ741" s="1368">
        <f t="shared" si="26"/>
        <v>0</v>
      </c>
      <c r="EK741" s="1368"/>
      <c r="EL741" s="1368"/>
      <c r="EM741" s="1368"/>
      <c r="EN741" s="1368"/>
      <c r="EO741" s="1368">
        <f t="shared" si="27"/>
        <v>0</v>
      </c>
      <c r="EP741" s="1368"/>
      <c r="EQ741" s="1368"/>
      <c r="ER741" s="1368"/>
      <c r="ES741" s="1368"/>
      <c r="ET741" s="1368">
        <f t="shared" si="28"/>
        <v>0</v>
      </c>
      <c r="EU741" s="1368"/>
      <c r="EV741" s="1368"/>
      <c r="EW741" s="1368"/>
      <c r="EX741" s="1368"/>
      <c r="EZ741" s="1348" t="str">
        <f t="shared" si="29"/>
        <v/>
      </c>
      <c r="FA741" s="1349"/>
      <c r="FB741" s="1349"/>
      <c r="FC741" s="1349"/>
      <c r="FD741" s="1350"/>
      <c r="FE741" s="1348" t="str">
        <f t="shared" si="30"/>
        <v/>
      </c>
      <c r="FF741" s="1349"/>
      <c r="FG741" s="1349"/>
      <c r="FH741" s="1349"/>
      <c r="FI741" s="1350"/>
      <c r="FJ741" s="1348" t="str">
        <f t="shared" si="31"/>
        <v/>
      </c>
      <c r="FK741" s="1349"/>
      <c r="FL741" s="1349"/>
      <c r="FM741" s="1349"/>
      <c r="FN741" s="1350"/>
      <c r="FO741" s="1348" t="str">
        <f t="shared" si="32"/>
        <v/>
      </c>
      <c r="FP741" s="1349"/>
      <c r="FQ741" s="1349"/>
      <c r="FR741" s="1349"/>
      <c r="FS741" s="1350"/>
      <c r="FT741" s="1348" t="str">
        <f t="shared" si="33"/>
        <v/>
      </c>
      <c r="FU741" s="1349"/>
      <c r="FV741" s="1349"/>
      <c r="FW741" s="1349"/>
      <c r="FX741" s="1350"/>
      <c r="FY741" s="1348" t="str">
        <f t="shared" si="34"/>
        <v/>
      </c>
      <c r="FZ741" s="1349"/>
      <c r="GA741" s="1349"/>
      <c r="GB741" s="1349"/>
      <c r="GC741" s="1350"/>
    </row>
    <row r="742" spans="1:185" ht="13" customHeight="1">
      <c r="B742" s="1352"/>
      <c r="C742" s="1353"/>
      <c r="D742" s="1353"/>
      <c r="E742" s="1353"/>
      <c r="F742" s="1354"/>
      <c r="G742" s="1364"/>
      <c r="H742" s="1365"/>
      <c r="I742" s="1365"/>
      <c r="J742" s="1366"/>
      <c r="K742" s="1606"/>
      <c r="L742" s="1607"/>
      <c r="M742" s="1607"/>
      <c r="N742" s="1608"/>
      <c r="O742" s="1405"/>
      <c r="P742" s="1406"/>
      <c r="Q742" s="1406"/>
      <c r="R742" s="1406"/>
      <c r="S742" s="1407"/>
      <c r="T742" s="1405"/>
      <c r="U742" s="1406"/>
      <c r="V742" s="1406"/>
      <c r="W742" s="1407"/>
      <c r="X742" s="1355">
        <f t="shared" ref="X742:X751" si="38">O742+T742</f>
        <v>0</v>
      </c>
      <c r="Y742" s="1356"/>
      <c r="Z742" s="1356"/>
      <c r="AA742" s="1356"/>
      <c r="AB742" s="1357"/>
      <c r="AC742" s="1361"/>
      <c r="AD742" s="1362"/>
      <c r="AE742" s="1362"/>
      <c r="AF742" s="1362"/>
      <c r="AG742" s="1363"/>
      <c r="AH742" s="1358" t="str">
        <f t="shared" si="35"/>
        <v/>
      </c>
      <c r="AI742" s="1359"/>
      <c r="AJ742" s="1360"/>
      <c r="AK742" s="1352" t="s">
        <v>592</v>
      </c>
      <c r="AL742" s="1353"/>
      <c r="AM742" s="1353"/>
      <c r="AN742" s="1353"/>
      <c r="AO742" s="1354"/>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348">
        <f t="shared" si="36"/>
        <v>0</v>
      </c>
      <c r="CH742" s="1350"/>
      <c r="CI742" s="1334">
        <f t="shared" si="37"/>
        <v>0</v>
      </c>
      <c r="CJ742" s="1336"/>
      <c r="CK742" s="1348">
        <f t="shared" si="15"/>
        <v>0</v>
      </c>
      <c r="CL742" s="1350"/>
      <c r="CM742" s="1334">
        <f t="shared" si="16"/>
        <v>0</v>
      </c>
      <c r="CN742" s="1336"/>
      <c r="CO742" s="3"/>
      <c r="CP742" s="1331">
        <f t="shared" si="17"/>
        <v>0</v>
      </c>
      <c r="CQ742" s="1332"/>
      <c r="CR742" s="1332"/>
      <c r="CS742" s="1332"/>
      <c r="CT742" s="1333"/>
      <c r="CU742" s="1351">
        <f t="shared" si="18"/>
        <v>0</v>
      </c>
      <c r="CV742" s="1351"/>
      <c r="CW742" s="1351"/>
      <c r="CX742" s="1351"/>
      <c r="CY742" s="1351"/>
      <c r="CZ742" s="1351">
        <f t="shared" si="19"/>
        <v>0</v>
      </c>
      <c r="DA742" s="1351"/>
      <c r="DB742" s="1351"/>
      <c r="DC742" s="1351"/>
      <c r="DD742" s="1351"/>
      <c r="DE742" s="1351">
        <f t="shared" si="20"/>
        <v>0</v>
      </c>
      <c r="DF742" s="1351"/>
      <c r="DG742" s="1351"/>
      <c r="DH742" s="1351"/>
      <c r="DI742" s="1351"/>
      <c r="DJ742" s="1351">
        <f t="shared" si="21"/>
        <v>0</v>
      </c>
      <c r="DK742" s="1351"/>
      <c r="DL742" s="1351"/>
      <c r="DM742" s="1351"/>
      <c r="DN742" s="1351"/>
      <c r="DO742" s="1351">
        <f t="shared" si="22"/>
        <v>0</v>
      </c>
      <c r="DP742" s="1351"/>
      <c r="DQ742" s="1351"/>
      <c r="DR742" s="1351"/>
      <c r="DS742" s="1351"/>
      <c r="DT742" s="6"/>
      <c r="DU742" s="1368">
        <f t="shared" si="23"/>
        <v>0</v>
      </c>
      <c r="DV742" s="1368"/>
      <c r="DW742" s="1368"/>
      <c r="DX742" s="1368"/>
      <c r="DY742" s="1368"/>
      <c r="DZ742" s="1368">
        <f t="shared" si="24"/>
        <v>0</v>
      </c>
      <c r="EA742" s="1368"/>
      <c r="EB742" s="1368"/>
      <c r="EC742" s="1368"/>
      <c r="ED742" s="1368"/>
      <c r="EE742" s="1368">
        <f t="shared" si="25"/>
        <v>0</v>
      </c>
      <c r="EF742" s="1368"/>
      <c r="EG742" s="1368"/>
      <c r="EH742" s="1368"/>
      <c r="EI742" s="1368"/>
      <c r="EJ742" s="1368">
        <f t="shared" si="26"/>
        <v>0</v>
      </c>
      <c r="EK742" s="1368"/>
      <c r="EL742" s="1368"/>
      <c r="EM742" s="1368"/>
      <c r="EN742" s="1368"/>
      <c r="EO742" s="1368">
        <f t="shared" si="27"/>
        <v>0</v>
      </c>
      <c r="EP742" s="1368"/>
      <c r="EQ742" s="1368"/>
      <c r="ER742" s="1368"/>
      <c r="ES742" s="1368"/>
      <c r="ET742" s="1368">
        <f t="shared" si="28"/>
        <v>0</v>
      </c>
      <c r="EU742" s="1368"/>
      <c r="EV742" s="1368"/>
      <c r="EW742" s="1368"/>
      <c r="EX742" s="1368"/>
      <c r="EZ742" s="1348" t="str">
        <f t="shared" si="29"/>
        <v/>
      </c>
      <c r="FA742" s="1349"/>
      <c r="FB742" s="1349"/>
      <c r="FC742" s="1349"/>
      <c r="FD742" s="1350"/>
      <c r="FE742" s="1348" t="str">
        <f t="shared" si="30"/>
        <v/>
      </c>
      <c r="FF742" s="1349"/>
      <c r="FG742" s="1349"/>
      <c r="FH742" s="1349"/>
      <c r="FI742" s="1350"/>
      <c r="FJ742" s="1348" t="str">
        <f t="shared" si="31"/>
        <v/>
      </c>
      <c r="FK742" s="1349"/>
      <c r="FL742" s="1349"/>
      <c r="FM742" s="1349"/>
      <c r="FN742" s="1350"/>
      <c r="FO742" s="1348" t="str">
        <f t="shared" si="32"/>
        <v/>
      </c>
      <c r="FP742" s="1349"/>
      <c r="FQ742" s="1349"/>
      <c r="FR742" s="1349"/>
      <c r="FS742" s="1350"/>
      <c r="FT742" s="1348" t="str">
        <f t="shared" si="33"/>
        <v/>
      </c>
      <c r="FU742" s="1349"/>
      <c r="FV742" s="1349"/>
      <c r="FW742" s="1349"/>
      <c r="FX742" s="1350"/>
      <c r="FY742" s="1348" t="str">
        <f t="shared" si="34"/>
        <v/>
      </c>
      <c r="FZ742" s="1349"/>
      <c r="GA742" s="1349"/>
      <c r="GB742" s="1349"/>
      <c r="GC742" s="1350"/>
    </row>
    <row r="743" spans="1:185" s="3" customFormat="1" ht="13" customHeight="1">
      <c r="A743"/>
      <c r="B743" s="1352"/>
      <c r="C743" s="1353"/>
      <c r="D743" s="1353"/>
      <c r="E743" s="1353"/>
      <c r="F743" s="1354"/>
      <c r="G743" s="1364"/>
      <c r="H743" s="1365"/>
      <c r="I743" s="1365"/>
      <c r="J743" s="1366"/>
      <c r="K743" s="1606"/>
      <c r="L743" s="1607"/>
      <c r="M743" s="1607"/>
      <c r="N743" s="1608"/>
      <c r="O743" s="1405"/>
      <c r="P743" s="1406"/>
      <c r="Q743" s="1406"/>
      <c r="R743" s="1406"/>
      <c r="S743" s="1407"/>
      <c r="T743" s="1405"/>
      <c r="U743" s="1406"/>
      <c r="V743" s="1406"/>
      <c r="W743" s="1407"/>
      <c r="X743" s="1355">
        <f t="shared" si="38"/>
        <v>0</v>
      </c>
      <c r="Y743" s="1356"/>
      <c r="Z743" s="1356"/>
      <c r="AA743" s="1356"/>
      <c r="AB743" s="1357"/>
      <c r="AC743" s="1361"/>
      <c r="AD743" s="1362"/>
      <c r="AE743" s="1362"/>
      <c r="AF743" s="1362"/>
      <c r="AG743" s="1363"/>
      <c r="AH743" s="1358" t="str">
        <f t="shared" si="35"/>
        <v/>
      </c>
      <c r="AI743" s="1359"/>
      <c r="AJ743" s="1360"/>
      <c r="AK743" s="1352" t="s">
        <v>592</v>
      </c>
      <c r="AL743" s="1353"/>
      <c r="AM743" s="1353"/>
      <c r="AN743" s="1353"/>
      <c r="AO743" s="1354"/>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348">
        <f t="shared" si="36"/>
        <v>0</v>
      </c>
      <c r="CH743" s="1350"/>
      <c r="CI743" s="1334">
        <f t="shared" si="37"/>
        <v>0</v>
      </c>
      <c r="CJ743" s="1336"/>
      <c r="CK743" s="1348">
        <f t="shared" si="15"/>
        <v>0</v>
      </c>
      <c r="CL743" s="1350"/>
      <c r="CM743" s="1334">
        <f t="shared" si="16"/>
        <v>0</v>
      </c>
      <c r="CN743" s="1336"/>
      <c r="CP743" s="1331">
        <f t="shared" si="17"/>
        <v>0</v>
      </c>
      <c r="CQ743" s="1332"/>
      <c r="CR743" s="1332"/>
      <c r="CS743" s="1332"/>
      <c r="CT743" s="1333"/>
      <c r="CU743" s="1351">
        <f t="shared" si="18"/>
        <v>0</v>
      </c>
      <c r="CV743" s="1351"/>
      <c r="CW743" s="1351"/>
      <c r="CX743" s="1351"/>
      <c r="CY743" s="1351"/>
      <c r="CZ743" s="1351">
        <f t="shared" si="19"/>
        <v>0</v>
      </c>
      <c r="DA743" s="1351"/>
      <c r="DB743" s="1351"/>
      <c r="DC743" s="1351"/>
      <c r="DD743" s="1351"/>
      <c r="DE743" s="1351">
        <f t="shared" si="20"/>
        <v>0</v>
      </c>
      <c r="DF743" s="1351"/>
      <c r="DG743" s="1351"/>
      <c r="DH743" s="1351"/>
      <c r="DI743" s="1351"/>
      <c r="DJ743" s="1351">
        <f t="shared" si="21"/>
        <v>0</v>
      </c>
      <c r="DK743" s="1351"/>
      <c r="DL743" s="1351"/>
      <c r="DM743" s="1351"/>
      <c r="DN743" s="1351"/>
      <c r="DO743" s="1351">
        <f t="shared" si="22"/>
        <v>0</v>
      </c>
      <c r="DP743" s="1351"/>
      <c r="DQ743" s="1351"/>
      <c r="DR743" s="1351"/>
      <c r="DS743" s="1351"/>
      <c r="DT743" s="6"/>
      <c r="DU743" s="1368">
        <f t="shared" si="23"/>
        <v>0</v>
      </c>
      <c r="DV743" s="1368"/>
      <c r="DW743" s="1368"/>
      <c r="DX743" s="1368"/>
      <c r="DY743" s="1368"/>
      <c r="DZ743" s="1368">
        <f t="shared" si="24"/>
        <v>0</v>
      </c>
      <c r="EA743" s="1368"/>
      <c r="EB743" s="1368"/>
      <c r="EC743" s="1368"/>
      <c r="ED743" s="1368"/>
      <c r="EE743" s="1368">
        <f t="shared" si="25"/>
        <v>0</v>
      </c>
      <c r="EF743" s="1368"/>
      <c r="EG743" s="1368"/>
      <c r="EH743" s="1368"/>
      <c r="EI743" s="1368"/>
      <c r="EJ743" s="1368">
        <f t="shared" si="26"/>
        <v>0</v>
      </c>
      <c r="EK743" s="1368"/>
      <c r="EL743" s="1368"/>
      <c r="EM743" s="1368"/>
      <c r="EN743" s="1368"/>
      <c r="EO743" s="1368">
        <f t="shared" si="27"/>
        <v>0</v>
      </c>
      <c r="EP743" s="1368"/>
      <c r="EQ743" s="1368"/>
      <c r="ER743" s="1368"/>
      <c r="ES743" s="1368"/>
      <c r="ET743" s="1368">
        <f t="shared" si="28"/>
        <v>0</v>
      </c>
      <c r="EU743" s="1368"/>
      <c r="EV743" s="1368"/>
      <c r="EW743" s="1368"/>
      <c r="EX743" s="1368"/>
      <c r="EY743"/>
      <c r="EZ743" s="1348" t="str">
        <f t="shared" si="29"/>
        <v/>
      </c>
      <c r="FA743" s="1349"/>
      <c r="FB743" s="1349"/>
      <c r="FC743" s="1349"/>
      <c r="FD743" s="1350"/>
      <c r="FE743" s="1348" t="str">
        <f t="shared" si="30"/>
        <v/>
      </c>
      <c r="FF743" s="1349"/>
      <c r="FG743" s="1349"/>
      <c r="FH743" s="1349"/>
      <c r="FI743" s="1350"/>
      <c r="FJ743" s="1348" t="str">
        <f t="shared" si="31"/>
        <v/>
      </c>
      <c r="FK743" s="1349"/>
      <c r="FL743" s="1349"/>
      <c r="FM743" s="1349"/>
      <c r="FN743" s="1350"/>
      <c r="FO743" s="1348" t="str">
        <f t="shared" si="32"/>
        <v/>
      </c>
      <c r="FP743" s="1349"/>
      <c r="FQ743" s="1349"/>
      <c r="FR743" s="1349"/>
      <c r="FS743" s="1350"/>
      <c r="FT743" s="1348" t="str">
        <f t="shared" si="33"/>
        <v/>
      </c>
      <c r="FU743" s="1349"/>
      <c r="FV743" s="1349"/>
      <c r="FW743" s="1349"/>
      <c r="FX743" s="1350"/>
      <c r="FY743" s="1348" t="str">
        <f t="shared" si="34"/>
        <v/>
      </c>
      <c r="FZ743" s="1349"/>
      <c r="GA743" s="1349"/>
      <c r="GB743" s="1349"/>
      <c r="GC743" s="1350"/>
    </row>
    <row r="744" spans="1:185" ht="13" customHeight="1">
      <c r="B744" s="1352"/>
      <c r="C744" s="1353"/>
      <c r="D744" s="1353"/>
      <c r="E744" s="1353"/>
      <c r="F744" s="1354"/>
      <c r="G744" s="1364"/>
      <c r="H744" s="1365"/>
      <c r="I744" s="1365"/>
      <c r="J744" s="1366"/>
      <c r="K744" s="1606"/>
      <c r="L744" s="1607"/>
      <c r="M744" s="1607"/>
      <c r="N744" s="1608"/>
      <c r="O744" s="1405"/>
      <c r="P744" s="1406"/>
      <c r="Q744" s="1406"/>
      <c r="R744" s="1406"/>
      <c r="S744" s="1407"/>
      <c r="T744" s="1405"/>
      <c r="U744" s="1406"/>
      <c r="V744" s="1406"/>
      <c r="W744" s="1407"/>
      <c r="X744" s="1355">
        <f t="shared" si="38"/>
        <v>0</v>
      </c>
      <c r="Y744" s="1356"/>
      <c r="Z744" s="1356"/>
      <c r="AA744" s="1356"/>
      <c r="AB744" s="1357"/>
      <c r="AC744" s="1361"/>
      <c r="AD744" s="1362"/>
      <c r="AE744" s="1362"/>
      <c r="AF744" s="1362"/>
      <c r="AG744" s="1363"/>
      <c r="AH744" s="1358" t="str">
        <f t="shared" si="35"/>
        <v/>
      </c>
      <c r="AI744" s="1359"/>
      <c r="AJ744" s="1360"/>
      <c r="AK744" s="1352" t="s">
        <v>592</v>
      </c>
      <c r="AL744" s="1353"/>
      <c r="AM744" s="1353"/>
      <c r="AN744" s="1353"/>
      <c r="AO744" s="1354"/>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348">
        <f t="shared" si="36"/>
        <v>0</v>
      </c>
      <c r="CH744" s="1350"/>
      <c r="CI744" s="1334">
        <f t="shared" si="37"/>
        <v>0</v>
      </c>
      <c r="CJ744" s="1336"/>
      <c r="CK744" s="1348">
        <f t="shared" si="15"/>
        <v>0</v>
      </c>
      <c r="CL744" s="1350"/>
      <c r="CM744" s="1334">
        <f t="shared" si="16"/>
        <v>0</v>
      </c>
      <c r="CN744" s="1336"/>
      <c r="CO744" s="3"/>
      <c r="CP744" s="1331">
        <f t="shared" si="17"/>
        <v>0</v>
      </c>
      <c r="CQ744" s="1332"/>
      <c r="CR744" s="1332"/>
      <c r="CS744" s="1332"/>
      <c r="CT744" s="1333"/>
      <c r="CU744" s="1351">
        <f t="shared" si="18"/>
        <v>0</v>
      </c>
      <c r="CV744" s="1351"/>
      <c r="CW744" s="1351"/>
      <c r="CX744" s="1351"/>
      <c r="CY744" s="1351"/>
      <c r="CZ744" s="1351">
        <f t="shared" si="19"/>
        <v>0</v>
      </c>
      <c r="DA744" s="1351"/>
      <c r="DB744" s="1351"/>
      <c r="DC744" s="1351"/>
      <c r="DD744" s="1351"/>
      <c r="DE744" s="1351">
        <f t="shared" si="20"/>
        <v>0</v>
      </c>
      <c r="DF744" s="1351"/>
      <c r="DG744" s="1351"/>
      <c r="DH744" s="1351"/>
      <c r="DI744" s="1351"/>
      <c r="DJ744" s="1351">
        <f t="shared" si="21"/>
        <v>0</v>
      </c>
      <c r="DK744" s="1351"/>
      <c r="DL744" s="1351"/>
      <c r="DM744" s="1351"/>
      <c r="DN744" s="1351"/>
      <c r="DO744" s="1351">
        <f t="shared" si="22"/>
        <v>0</v>
      </c>
      <c r="DP744" s="1351"/>
      <c r="DQ744" s="1351"/>
      <c r="DR744" s="1351"/>
      <c r="DS744" s="1351"/>
      <c r="DT744" s="6"/>
      <c r="DU744" s="1368">
        <f t="shared" si="23"/>
        <v>0</v>
      </c>
      <c r="DV744" s="1368"/>
      <c r="DW744" s="1368"/>
      <c r="DX744" s="1368"/>
      <c r="DY744" s="1368"/>
      <c r="DZ744" s="1368">
        <f t="shared" si="24"/>
        <v>0</v>
      </c>
      <c r="EA744" s="1368"/>
      <c r="EB744" s="1368"/>
      <c r="EC744" s="1368"/>
      <c r="ED744" s="1368"/>
      <c r="EE744" s="1368">
        <f t="shared" si="25"/>
        <v>0</v>
      </c>
      <c r="EF744" s="1368"/>
      <c r="EG744" s="1368"/>
      <c r="EH744" s="1368"/>
      <c r="EI744" s="1368"/>
      <c r="EJ744" s="1368">
        <f t="shared" si="26"/>
        <v>0</v>
      </c>
      <c r="EK744" s="1368"/>
      <c r="EL744" s="1368"/>
      <c r="EM744" s="1368"/>
      <c r="EN744" s="1368"/>
      <c r="EO744" s="1368">
        <f t="shared" si="27"/>
        <v>0</v>
      </c>
      <c r="EP744" s="1368"/>
      <c r="EQ744" s="1368"/>
      <c r="ER744" s="1368"/>
      <c r="ES744" s="1368"/>
      <c r="ET744" s="1368">
        <f t="shared" si="28"/>
        <v>0</v>
      </c>
      <c r="EU744" s="1368"/>
      <c r="EV744" s="1368"/>
      <c r="EW744" s="1368"/>
      <c r="EX744" s="1368"/>
      <c r="EZ744" s="1348" t="str">
        <f t="shared" si="29"/>
        <v/>
      </c>
      <c r="FA744" s="1349"/>
      <c r="FB744" s="1349"/>
      <c r="FC744" s="1349"/>
      <c r="FD744" s="1350"/>
      <c r="FE744" s="1348" t="str">
        <f t="shared" si="30"/>
        <v/>
      </c>
      <c r="FF744" s="1349"/>
      <c r="FG744" s="1349"/>
      <c r="FH744" s="1349"/>
      <c r="FI744" s="1350"/>
      <c r="FJ744" s="1348" t="str">
        <f t="shared" si="31"/>
        <v/>
      </c>
      <c r="FK744" s="1349"/>
      <c r="FL744" s="1349"/>
      <c r="FM744" s="1349"/>
      <c r="FN744" s="1350"/>
      <c r="FO744" s="1348" t="str">
        <f t="shared" si="32"/>
        <v/>
      </c>
      <c r="FP744" s="1349"/>
      <c r="FQ744" s="1349"/>
      <c r="FR744" s="1349"/>
      <c r="FS744" s="1350"/>
      <c r="FT744" s="1348" t="str">
        <f t="shared" si="33"/>
        <v/>
      </c>
      <c r="FU744" s="1349"/>
      <c r="FV744" s="1349"/>
      <c r="FW744" s="1349"/>
      <c r="FX744" s="1350"/>
      <c r="FY744" s="1348" t="str">
        <f t="shared" si="34"/>
        <v/>
      </c>
      <c r="FZ744" s="1349"/>
      <c r="GA744" s="1349"/>
      <c r="GB744" s="1349"/>
      <c r="GC744" s="1350"/>
    </row>
    <row r="745" spans="1:185" ht="13" customHeight="1">
      <c r="B745" s="1352"/>
      <c r="C745" s="1353"/>
      <c r="D745" s="1353"/>
      <c r="E745" s="1353"/>
      <c r="F745" s="1354"/>
      <c r="G745" s="1364"/>
      <c r="H745" s="1365"/>
      <c r="I745" s="1365"/>
      <c r="J745" s="1366"/>
      <c r="K745" s="1606"/>
      <c r="L745" s="1607"/>
      <c r="M745" s="1607"/>
      <c r="N745" s="1608"/>
      <c r="O745" s="1405"/>
      <c r="P745" s="1406"/>
      <c r="Q745" s="1406"/>
      <c r="R745" s="1406"/>
      <c r="S745" s="1407"/>
      <c r="T745" s="1405"/>
      <c r="U745" s="1406"/>
      <c r="V745" s="1406"/>
      <c r="W745" s="1407"/>
      <c r="X745" s="1355">
        <f t="shared" si="38"/>
        <v>0</v>
      </c>
      <c r="Y745" s="1356"/>
      <c r="Z745" s="1356"/>
      <c r="AA745" s="1356"/>
      <c r="AB745" s="1357"/>
      <c r="AC745" s="1361"/>
      <c r="AD745" s="1362"/>
      <c r="AE745" s="1362"/>
      <c r="AF745" s="1362"/>
      <c r="AG745" s="1363"/>
      <c r="AH745" s="1358" t="str">
        <f t="shared" si="35"/>
        <v/>
      </c>
      <c r="AI745" s="1359"/>
      <c r="AJ745" s="1360"/>
      <c r="AK745" s="1352" t="s">
        <v>592</v>
      </c>
      <c r="AL745" s="1353"/>
      <c r="AM745" s="1353"/>
      <c r="AN745" s="1353"/>
      <c r="AO745" s="1354"/>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348">
        <f t="shared" si="36"/>
        <v>0</v>
      </c>
      <c r="CH745" s="1350"/>
      <c r="CI745" s="1334">
        <f t="shared" si="37"/>
        <v>0</v>
      </c>
      <c r="CJ745" s="1336"/>
      <c r="CK745" s="1348">
        <f t="shared" si="15"/>
        <v>0</v>
      </c>
      <c r="CL745" s="1350"/>
      <c r="CM745" s="1334">
        <f t="shared" si="16"/>
        <v>0</v>
      </c>
      <c r="CN745" s="1336"/>
      <c r="CO745" s="3"/>
      <c r="CP745" s="1331">
        <f t="shared" si="17"/>
        <v>0</v>
      </c>
      <c r="CQ745" s="1332"/>
      <c r="CR745" s="1332"/>
      <c r="CS745" s="1332"/>
      <c r="CT745" s="1333"/>
      <c r="CU745" s="1351">
        <f t="shared" si="18"/>
        <v>0</v>
      </c>
      <c r="CV745" s="1351"/>
      <c r="CW745" s="1351"/>
      <c r="CX745" s="1351"/>
      <c r="CY745" s="1351"/>
      <c r="CZ745" s="1351">
        <f t="shared" si="19"/>
        <v>0</v>
      </c>
      <c r="DA745" s="1351"/>
      <c r="DB745" s="1351"/>
      <c r="DC745" s="1351"/>
      <c r="DD745" s="1351"/>
      <c r="DE745" s="1351">
        <f t="shared" si="20"/>
        <v>0</v>
      </c>
      <c r="DF745" s="1351"/>
      <c r="DG745" s="1351"/>
      <c r="DH745" s="1351"/>
      <c r="DI745" s="1351"/>
      <c r="DJ745" s="1351">
        <f t="shared" si="21"/>
        <v>0</v>
      </c>
      <c r="DK745" s="1351"/>
      <c r="DL745" s="1351"/>
      <c r="DM745" s="1351"/>
      <c r="DN745" s="1351"/>
      <c r="DO745" s="1351">
        <f t="shared" si="22"/>
        <v>0</v>
      </c>
      <c r="DP745" s="1351"/>
      <c r="DQ745" s="1351"/>
      <c r="DR745" s="1351"/>
      <c r="DS745" s="1351"/>
      <c r="DT745" s="6"/>
      <c r="DU745" s="1368">
        <f t="shared" si="23"/>
        <v>0</v>
      </c>
      <c r="DV745" s="1368"/>
      <c r="DW745" s="1368"/>
      <c r="DX745" s="1368"/>
      <c r="DY745" s="1368"/>
      <c r="DZ745" s="1368">
        <f t="shared" si="24"/>
        <v>0</v>
      </c>
      <c r="EA745" s="1368"/>
      <c r="EB745" s="1368"/>
      <c r="EC745" s="1368"/>
      <c r="ED745" s="1368"/>
      <c r="EE745" s="1368">
        <f t="shared" si="25"/>
        <v>0</v>
      </c>
      <c r="EF745" s="1368"/>
      <c r="EG745" s="1368"/>
      <c r="EH745" s="1368"/>
      <c r="EI745" s="1368"/>
      <c r="EJ745" s="1368">
        <f t="shared" si="26"/>
        <v>0</v>
      </c>
      <c r="EK745" s="1368"/>
      <c r="EL745" s="1368"/>
      <c r="EM745" s="1368"/>
      <c r="EN745" s="1368"/>
      <c r="EO745" s="1368">
        <f t="shared" si="27"/>
        <v>0</v>
      </c>
      <c r="EP745" s="1368"/>
      <c r="EQ745" s="1368"/>
      <c r="ER745" s="1368"/>
      <c r="ES745" s="1368"/>
      <c r="ET745" s="1368">
        <f t="shared" si="28"/>
        <v>0</v>
      </c>
      <c r="EU745" s="1368"/>
      <c r="EV745" s="1368"/>
      <c r="EW745" s="1368"/>
      <c r="EX745" s="1368"/>
      <c r="EZ745" s="1348" t="str">
        <f t="shared" si="29"/>
        <v/>
      </c>
      <c r="FA745" s="1349"/>
      <c r="FB745" s="1349"/>
      <c r="FC745" s="1349"/>
      <c r="FD745" s="1350"/>
      <c r="FE745" s="1348" t="str">
        <f t="shared" si="30"/>
        <v/>
      </c>
      <c r="FF745" s="1349"/>
      <c r="FG745" s="1349"/>
      <c r="FH745" s="1349"/>
      <c r="FI745" s="1350"/>
      <c r="FJ745" s="1348" t="str">
        <f t="shared" si="31"/>
        <v/>
      </c>
      <c r="FK745" s="1349"/>
      <c r="FL745" s="1349"/>
      <c r="FM745" s="1349"/>
      <c r="FN745" s="1350"/>
      <c r="FO745" s="1348" t="str">
        <f t="shared" si="32"/>
        <v/>
      </c>
      <c r="FP745" s="1349"/>
      <c r="FQ745" s="1349"/>
      <c r="FR745" s="1349"/>
      <c r="FS745" s="1350"/>
      <c r="FT745" s="1348" t="str">
        <f t="shared" si="33"/>
        <v/>
      </c>
      <c r="FU745" s="1349"/>
      <c r="FV745" s="1349"/>
      <c r="FW745" s="1349"/>
      <c r="FX745" s="1350"/>
      <c r="FY745" s="1348" t="str">
        <f t="shared" si="34"/>
        <v/>
      </c>
      <c r="FZ745" s="1349"/>
      <c r="GA745" s="1349"/>
      <c r="GB745" s="1349"/>
      <c r="GC745" s="1350"/>
    </row>
    <row r="746" spans="1:185" ht="13" customHeight="1">
      <c r="B746" s="1352"/>
      <c r="C746" s="1353"/>
      <c r="D746" s="1353"/>
      <c r="E746" s="1353"/>
      <c r="F746" s="1354"/>
      <c r="G746" s="1364"/>
      <c r="H746" s="1365"/>
      <c r="I746" s="1365"/>
      <c r="J746" s="1366"/>
      <c r="K746" s="1606"/>
      <c r="L746" s="1607"/>
      <c r="M746" s="1607"/>
      <c r="N746" s="1608"/>
      <c r="O746" s="1405"/>
      <c r="P746" s="1406"/>
      <c r="Q746" s="1406"/>
      <c r="R746" s="1406"/>
      <c r="S746" s="1407"/>
      <c r="T746" s="1405"/>
      <c r="U746" s="1406"/>
      <c r="V746" s="1406"/>
      <c r="W746" s="1407"/>
      <c r="X746" s="1355">
        <f t="shared" si="38"/>
        <v>0</v>
      </c>
      <c r="Y746" s="1356"/>
      <c r="Z746" s="1356"/>
      <c r="AA746" s="1356"/>
      <c r="AB746" s="1357"/>
      <c r="AC746" s="1361"/>
      <c r="AD746" s="1362"/>
      <c r="AE746" s="1362"/>
      <c r="AF746" s="1362"/>
      <c r="AG746" s="1363"/>
      <c r="AH746" s="1358" t="str">
        <f t="shared" si="35"/>
        <v/>
      </c>
      <c r="AI746" s="1359"/>
      <c r="AJ746" s="1360"/>
      <c r="AK746" s="1352" t="s">
        <v>592</v>
      </c>
      <c r="AL746" s="1353"/>
      <c r="AM746" s="1353"/>
      <c r="AN746" s="1353"/>
      <c r="AO746" s="1354"/>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348">
        <f t="shared" si="36"/>
        <v>0</v>
      </c>
      <c r="CH746" s="1350"/>
      <c r="CI746" s="1334">
        <f t="shared" si="37"/>
        <v>0</v>
      </c>
      <c r="CJ746" s="1336"/>
      <c r="CK746" s="1348">
        <f t="shared" si="15"/>
        <v>0</v>
      </c>
      <c r="CL746" s="1350"/>
      <c r="CM746" s="1334">
        <f t="shared" si="16"/>
        <v>0</v>
      </c>
      <c r="CN746" s="1336"/>
      <c r="CO746" s="3"/>
      <c r="CP746" s="1331">
        <f t="shared" si="17"/>
        <v>0</v>
      </c>
      <c r="CQ746" s="1332"/>
      <c r="CR746" s="1332"/>
      <c r="CS746" s="1332"/>
      <c r="CT746" s="1333"/>
      <c r="CU746" s="1351">
        <f t="shared" si="18"/>
        <v>0</v>
      </c>
      <c r="CV746" s="1351"/>
      <c r="CW746" s="1351"/>
      <c r="CX746" s="1351"/>
      <c r="CY746" s="1351"/>
      <c r="CZ746" s="1351">
        <f t="shared" si="19"/>
        <v>0</v>
      </c>
      <c r="DA746" s="1351"/>
      <c r="DB746" s="1351"/>
      <c r="DC746" s="1351"/>
      <c r="DD746" s="1351"/>
      <c r="DE746" s="1351">
        <f t="shared" si="20"/>
        <v>0</v>
      </c>
      <c r="DF746" s="1351"/>
      <c r="DG746" s="1351"/>
      <c r="DH746" s="1351"/>
      <c r="DI746" s="1351"/>
      <c r="DJ746" s="1351">
        <f t="shared" si="21"/>
        <v>0</v>
      </c>
      <c r="DK746" s="1351"/>
      <c r="DL746" s="1351"/>
      <c r="DM746" s="1351"/>
      <c r="DN746" s="1351"/>
      <c r="DO746" s="1351">
        <f t="shared" si="22"/>
        <v>0</v>
      </c>
      <c r="DP746" s="1351"/>
      <c r="DQ746" s="1351"/>
      <c r="DR746" s="1351"/>
      <c r="DS746" s="1351"/>
      <c r="DT746" s="6"/>
      <c r="DU746" s="1368">
        <f t="shared" si="23"/>
        <v>0</v>
      </c>
      <c r="DV746" s="1368"/>
      <c r="DW746" s="1368"/>
      <c r="DX746" s="1368"/>
      <c r="DY746" s="1368"/>
      <c r="DZ746" s="1368">
        <f t="shared" si="24"/>
        <v>0</v>
      </c>
      <c r="EA746" s="1368"/>
      <c r="EB746" s="1368"/>
      <c r="EC746" s="1368"/>
      <c r="ED746" s="1368"/>
      <c r="EE746" s="1368">
        <f t="shared" si="25"/>
        <v>0</v>
      </c>
      <c r="EF746" s="1368"/>
      <c r="EG746" s="1368"/>
      <c r="EH746" s="1368"/>
      <c r="EI746" s="1368"/>
      <c r="EJ746" s="1368">
        <f t="shared" si="26"/>
        <v>0</v>
      </c>
      <c r="EK746" s="1368"/>
      <c r="EL746" s="1368"/>
      <c r="EM746" s="1368"/>
      <c r="EN746" s="1368"/>
      <c r="EO746" s="1368">
        <f t="shared" si="27"/>
        <v>0</v>
      </c>
      <c r="EP746" s="1368"/>
      <c r="EQ746" s="1368"/>
      <c r="ER746" s="1368"/>
      <c r="ES746" s="1368"/>
      <c r="ET746" s="1368">
        <f t="shared" si="28"/>
        <v>0</v>
      </c>
      <c r="EU746" s="1368"/>
      <c r="EV746" s="1368"/>
      <c r="EW746" s="1368"/>
      <c r="EX746" s="1368"/>
      <c r="EZ746" s="1348" t="str">
        <f t="shared" si="29"/>
        <v/>
      </c>
      <c r="FA746" s="1349"/>
      <c r="FB746" s="1349"/>
      <c r="FC746" s="1349"/>
      <c r="FD746" s="1350"/>
      <c r="FE746" s="1348" t="str">
        <f t="shared" si="30"/>
        <v/>
      </c>
      <c r="FF746" s="1349"/>
      <c r="FG746" s="1349"/>
      <c r="FH746" s="1349"/>
      <c r="FI746" s="1350"/>
      <c r="FJ746" s="1348" t="str">
        <f t="shared" si="31"/>
        <v/>
      </c>
      <c r="FK746" s="1349"/>
      <c r="FL746" s="1349"/>
      <c r="FM746" s="1349"/>
      <c r="FN746" s="1350"/>
      <c r="FO746" s="1348" t="str">
        <f t="shared" si="32"/>
        <v/>
      </c>
      <c r="FP746" s="1349"/>
      <c r="FQ746" s="1349"/>
      <c r="FR746" s="1349"/>
      <c r="FS746" s="1350"/>
      <c r="FT746" s="1348" t="str">
        <f t="shared" si="33"/>
        <v/>
      </c>
      <c r="FU746" s="1349"/>
      <c r="FV746" s="1349"/>
      <c r="FW746" s="1349"/>
      <c r="FX746" s="1350"/>
      <c r="FY746" s="1348" t="str">
        <f t="shared" si="34"/>
        <v/>
      </c>
      <c r="FZ746" s="1349"/>
      <c r="GA746" s="1349"/>
      <c r="GB746" s="1349"/>
      <c r="GC746" s="1350"/>
    </row>
    <row r="747" spans="1:185" ht="13" customHeight="1">
      <c r="B747" s="1352"/>
      <c r="C747" s="1353"/>
      <c r="D747" s="1353"/>
      <c r="E747" s="1353"/>
      <c r="F747" s="1354"/>
      <c r="G747" s="1364"/>
      <c r="H747" s="1365"/>
      <c r="I747" s="1365"/>
      <c r="J747" s="1366"/>
      <c r="K747" s="1606"/>
      <c r="L747" s="1607"/>
      <c r="M747" s="1607"/>
      <c r="N747" s="1608"/>
      <c r="O747" s="1405"/>
      <c r="P747" s="1406"/>
      <c r="Q747" s="1406"/>
      <c r="R747" s="1406"/>
      <c r="S747" s="1407"/>
      <c r="T747" s="1405"/>
      <c r="U747" s="1406"/>
      <c r="V747" s="1406"/>
      <c r="W747" s="1407"/>
      <c r="X747" s="1355">
        <f t="shared" si="38"/>
        <v>0</v>
      </c>
      <c r="Y747" s="1356"/>
      <c r="Z747" s="1356"/>
      <c r="AA747" s="1356"/>
      <c r="AB747" s="1357"/>
      <c r="AC747" s="1361"/>
      <c r="AD747" s="1362"/>
      <c r="AE747" s="1362"/>
      <c r="AF747" s="1362"/>
      <c r="AG747" s="1363"/>
      <c r="AH747" s="1358" t="str">
        <f t="shared" si="35"/>
        <v/>
      </c>
      <c r="AI747" s="1359"/>
      <c r="AJ747" s="1360"/>
      <c r="AK747" s="1352" t="s">
        <v>592</v>
      </c>
      <c r="AL747" s="1353"/>
      <c r="AM747" s="1353"/>
      <c r="AN747" s="1353"/>
      <c r="AO747" s="1354"/>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348">
        <f t="shared" si="36"/>
        <v>0</v>
      </c>
      <c r="CH747" s="1350"/>
      <c r="CI747" s="1334">
        <f t="shared" si="37"/>
        <v>0</v>
      </c>
      <c r="CJ747" s="1336"/>
      <c r="CK747" s="1348">
        <f t="shared" si="15"/>
        <v>0</v>
      </c>
      <c r="CL747" s="1350"/>
      <c r="CM747" s="1334">
        <f t="shared" si="16"/>
        <v>0</v>
      </c>
      <c r="CN747" s="1336"/>
      <c r="CO747" s="3"/>
      <c r="CP747" s="1331">
        <f t="shared" si="17"/>
        <v>0</v>
      </c>
      <c r="CQ747" s="1332"/>
      <c r="CR747" s="1332"/>
      <c r="CS747" s="1332"/>
      <c r="CT747" s="1333"/>
      <c r="CU747" s="1351">
        <f t="shared" si="18"/>
        <v>0</v>
      </c>
      <c r="CV747" s="1351"/>
      <c r="CW747" s="1351"/>
      <c r="CX747" s="1351"/>
      <c r="CY747" s="1351"/>
      <c r="CZ747" s="1351">
        <f t="shared" si="19"/>
        <v>0</v>
      </c>
      <c r="DA747" s="1351"/>
      <c r="DB747" s="1351"/>
      <c r="DC747" s="1351"/>
      <c r="DD747" s="1351"/>
      <c r="DE747" s="1351">
        <f t="shared" si="20"/>
        <v>0</v>
      </c>
      <c r="DF747" s="1351"/>
      <c r="DG747" s="1351"/>
      <c r="DH747" s="1351"/>
      <c r="DI747" s="1351"/>
      <c r="DJ747" s="1351">
        <f t="shared" si="21"/>
        <v>0</v>
      </c>
      <c r="DK747" s="1351"/>
      <c r="DL747" s="1351"/>
      <c r="DM747" s="1351"/>
      <c r="DN747" s="1351"/>
      <c r="DO747" s="1351">
        <f t="shared" si="22"/>
        <v>0</v>
      </c>
      <c r="DP747" s="1351"/>
      <c r="DQ747" s="1351"/>
      <c r="DR747" s="1351"/>
      <c r="DS747" s="1351"/>
      <c r="DT747" s="6"/>
      <c r="DU747" s="1368">
        <f t="shared" si="23"/>
        <v>0</v>
      </c>
      <c r="DV747" s="1368"/>
      <c r="DW747" s="1368"/>
      <c r="DX747" s="1368"/>
      <c r="DY747" s="1368"/>
      <c r="DZ747" s="1368">
        <f t="shared" si="24"/>
        <v>0</v>
      </c>
      <c r="EA747" s="1368"/>
      <c r="EB747" s="1368"/>
      <c r="EC747" s="1368"/>
      <c r="ED747" s="1368"/>
      <c r="EE747" s="1368">
        <f t="shared" si="25"/>
        <v>0</v>
      </c>
      <c r="EF747" s="1368"/>
      <c r="EG747" s="1368"/>
      <c r="EH747" s="1368"/>
      <c r="EI747" s="1368"/>
      <c r="EJ747" s="1368">
        <f t="shared" si="26"/>
        <v>0</v>
      </c>
      <c r="EK747" s="1368"/>
      <c r="EL747" s="1368"/>
      <c r="EM747" s="1368"/>
      <c r="EN747" s="1368"/>
      <c r="EO747" s="1368">
        <f t="shared" si="27"/>
        <v>0</v>
      </c>
      <c r="EP747" s="1368"/>
      <c r="EQ747" s="1368"/>
      <c r="ER747" s="1368"/>
      <c r="ES747" s="1368"/>
      <c r="ET747" s="1368">
        <f t="shared" si="28"/>
        <v>0</v>
      </c>
      <c r="EU747" s="1368"/>
      <c r="EV747" s="1368"/>
      <c r="EW747" s="1368"/>
      <c r="EX747" s="1368"/>
      <c r="EZ747" s="1348" t="str">
        <f t="shared" si="29"/>
        <v/>
      </c>
      <c r="FA747" s="1349"/>
      <c r="FB747" s="1349"/>
      <c r="FC747" s="1349"/>
      <c r="FD747" s="1350"/>
      <c r="FE747" s="1348" t="str">
        <f t="shared" si="30"/>
        <v/>
      </c>
      <c r="FF747" s="1349"/>
      <c r="FG747" s="1349"/>
      <c r="FH747" s="1349"/>
      <c r="FI747" s="1350"/>
      <c r="FJ747" s="1348" t="str">
        <f t="shared" si="31"/>
        <v/>
      </c>
      <c r="FK747" s="1349"/>
      <c r="FL747" s="1349"/>
      <c r="FM747" s="1349"/>
      <c r="FN747" s="1350"/>
      <c r="FO747" s="1348" t="str">
        <f t="shared" si="32"/>
        <v/>
      </c>
      <c r="FP747" s="1349"/>
      <c r="FQ747" s="1349"/>
      <c r="FR747" s="1349"/>
      <c r="FS747" s="1350"/>
      <c r="FT747" s="1348" t="str">
        <f t="shared" si="33"/>
        <v/>
      </c>
      <c r="FU747" s="1349"/>
      <c r="FV747" s="1349"/>
      <c r="FW747" s="1349"/>
      <c r="FX747" s="1350"/>
      <c r="FY747" s="1348" t="str">
        <f t="shared" si="34"/>
        <v/>
      </c>
      <c r="FZ747" s="1349"/>
      <c r="GA747" s="1349"/>
      <c r="GB747" s="1349"/>
      <c r="GC747" s="1350"/>
    </row>
    <row r="748" spans="1:185" s="3" customFormat="1" ht="13" customHeight="1">
      <c r="A748"/>
      <c r="B748" s="1352"/>
      <c r="C748" s="1353"/>
      <c r="D748" s="1353"/>
      <c r="E748" s="1353"/>
      <c r="F748" s="1354"/>
      <c r="G748" s="1364"/>
      <c r="H748" s="1365"/>
      <c r="I748" s="1365"/>
      <c r="J748" s="1366"/>
      <c r="K748" s="1606"/>
      <c r="L748" s="1607"/>
      <c r="M748" s="1607"/>
      <c r="N748" s="1608"/>
      <c r="O748" s="1405"/>
      <c r="P748" s="1406"/>
      <c r="Q748" s="1406"/>
      <c r="R748" s="1406"/>
      <c r="S748" s="1407"/>
      <c r="T748" s="1405"/>
      <c r="U748" s="1406"/>
      <c r="V748" s="1406"/>
      <c r="W748" s="1407"/>
      <c r="X748" s="1355">
        <f t="shared" si="38"/>
        <v>0</v>
      </c>
      <c r="Y748" s="1356"/>
      <c r="Z748" s="1356"/>
      <c r="AA748" s="1356"/>
      <c r="AB748" s="1357"/>
      <c r="AC748" s="1361"/>
      <c r="AD748" s="1362"/>
      <c r="AE748" s="1362"/>
      <c r="AF748" s="1362"/>
      <c r="AG748" s="1363"/>
      <c r="AH748" s="1358" t="str">
        <f t="shared" si="35"/>
        <v/>
      </c>
      <c r="AI748" s="1359"/>
      <c r="AJ748" s="1360"/>
      <c r="AK748" s="1352" t="s">
        <v>592</v>
      </c>
      <c r="AL748" s="1353"/>
      <c r="AM748" s="1353"/>
      <c r="AN748" s="1353"/>
      <c r="AO748" s="1354"/>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348">
        <f t="shared" si="36"/>
        <v>0</v>
      </c>
      <c r="CH748" s="1350"/>
      <c r="CI748" s="1334">
        <f t="shared" si="37"/>
        <v>0</v>
      </c>
      <c r="CJ748" s="1336"/>
      <c r="CK748" s="1348">
        <f t="shared" si="15"/>
        <v>0</v>
      </c>
      <c r="CL748" s="1350"/>
      <c r="CM748" s="1334">
        <f t="shared" si="16"/>
        <v>0</v>
      </c>
      <c r="CN748" s="1336"/>
      <c r="CP748" s="1331">
        <f t="shared" si="17"/>
        <v>0</v>
      </c>
      <c r="CQ748" s="1332"/>
      <c r="CR748" s="1332"/>
      <c r="CS748" s="1332"/>
      <c r="CT748" s="1333"/>
      <c r="CU748" s="1351">
        <f t="shared" si="18"/>
        <v>0</v>
      </c>
      <c r="CV748" s="1351"/>
      <c r="CW748" s="1351"/>
      <c r="CX748" s="1351"/>
      <c r="CY748" s="1351"/>
      <c r="CZ748" s="1351">
        <f t="shared" si="19"/>
        <v>0</v>
      </c>
      <c r="DA748" s="1351"/>
      <c r="DB748" s="1351"/>
      <c r="DC748" s="1351"/>
      <c r="DD748" s="1351"/>
      <c r="DE748" s="1351">
        <f t="shared" si="20"/>
        <v>0</v>
      </c>
      <c r="DF748" s="1351"/>
      <c r="DG748" s="1351"/>
      <c r="DH748" s="1351"/>
      <c r="DI748" s="1351"/>
      <c r="DJ748" s="1351">
        <f t="shared" si="21"/>
        <v>0</v>
      </c>
      <c r="DK748" s="1351"/>
      <c r="DL748" s="1351"/>
      <c r="DM748" s="1351"/>
      <c r="DN748" s="1351"/>
      <c r="DO748" s="1351">
        <f t="shared" si="22"/>
        <v>0</v>
      </c>
      <c r="DP748" s="1351"/>
      <c r="DQ748" s="1351"/>
      <c r="DR748" s="1351"/>
      <c r="DS748" s="1351"/>
      <c r="DT748" s="6"/>
      <c r="DU748" s="1368">
        <f t="shared" si="23"/>
        <v>0</v>
      </c>
      <c r="DV748" s="1368"/>
      <c r="DW748" s="1368"/>
      <c r="DX748" s="1368"/>
      <c r="DY748" s="1368"/>
      <c r="DZ748" s="1368">
        <f t="shared" si="24"/>
        <v>0</v>
      </c>
      <c r="EA748" s="1368"/>
      <c r="EB748" s="1368"/>
      <c r="EC748" s="1368"/>
      <c r="ED748" s="1368"/>
      <c r="EE748" s="1368">
        <f t="shared" si="25"/>
        <v>0</v>
      </c>
      <c r="EF748" s="1368"/>
      <c r="EG748" s="1368"/>
      <c r="EH748" s="1368"/>
      <c r="EI748" s="1368"/>
      <c r="EJ748" s="1368">
        <f t="shared" si="26"/>
        <v>0</v>
      </c>
      <c r="EK748" s="1368"/>
      <c r="EL748" s="1368"/>
      <c r="EM748" s="1368"/>
      <c r="EN748" s="1368"/>
      <c r="EO748" s="1368">
        <f t="shared" si="27"/>
        <v>0</v>
      </c>
      <c r="EP748" s="1368"/>
      <c r="EQ748" s="1368"/>
      <c r="ER748" s="1368"/>
      <c r="ES748" s="1368"/>
      <c r="ET748" s="1368">
        <f t="shared" si="28"/>
        <v>0</v>
      </c>
      <c r="EU748" s="1368"/>
      <c r="EV748" s="1368"/>
      <c r="EW748" s="1368"/>
      <c r="EX748" s="1368"/>
      <c r="EY748"/>
      <c r="EZ748" s="1348" t="str">
        <f t="shared" si="29"/>
        <v/>
      </c>
      <c r="FA748" s="1349"/>
      <c r="FB748" s="1349"/>
      <c r="FC748" s="1349"/>
      <c r="FD748" s="1350"/>
      <c r="FE748" s="1348" t="str">
        <f t="shared" si="30"/>
        <v/>
      </c>
      <c r="FF748" s="1349"/>
      <c r="FG748" s="1349"/>
      <c r="FH748" s="1349"/>
      <c r="FI748" s="1350"/>
      <c r="FJ748" s="1348" t="str">
        <f t="shared" si="31"/>
        <v/>
      </c>
      <c r="FK748" s="1349"/>
      <c r="FL748" s="1349"/>
      <c r="FM748" s="1349"/>
      <c r="FN748" s="1350"/>
      <c r="FO748" s="1348" t="str">
        <f t="shared" si="32"/>
        <v/>
      </c>
      <c r="FP748" s="1349"/>
      <c r="FQ748" s="1349"/>
      <c r="FR748" s="1349"/>
      <c r="FS748" s="1350"/>
      <c r="FT748" s="1348" t="str">
        <f t="shared" si="33"/>
        <v/>
      </c>
      <c r="FU748" s="1349"/>
      <c r="FV748" s="1349"/>
      <c r="FW748" s="1349"/>
      <c r="FX748" s="1350"/>
      <c r="FY748" s="1348" t="str">
        <f t="shared" si="34"/>
        <v/>
      </c>
      <c r="FZ748" s="1349"/>
      <c r="GA748" s="1349"/>
      <c r="GB748" s="1349"/>
      <c r="GC748" s="1350"/>
    </row>
    <row r="749" spans="1:185" s="3" customFormat="1" ht="13" customHeight="1">
      <c r="A749"/>
      <c r="B749" s="1352"/>
      <c r="C749" s="1353"/>
      <c r="D749" s="1353"/>
      <c r="E749" s="1353"/>
      <c r="F749" s="1354"/>
      <c r="G749" s="1364"/>
      <c r="H749" s="1365"/>
      <c r="I749" s="1365"/>
      <c r="J749" s="1366"/>
      <c r="K749" s="1606"/>
      <c r="L749" s="1607"/>
      <c r="M749" s="1607"/>
      <c r="N749" s="1608"/>
      <c r="O749" s="1405"/>
      <c r="P749" s="1406"/>
      <c r="Q749" s="1406"/>
      <c r="R749" s="1406"/>
      <c r="S749" s="1407"/>
      <c r="T749" s="1405"/>
      <c r="U749" s="1406"/>
      <c r="V749" s="1406"/>
      <c r="W749" s="1407"/>
      <c r="X749" s="1355">
        <f t="shared" si="38"/>
        <v>0</v>
      </c>
      <c r="Y749" s="1356"/>
      <c r="Z749" s="1356"/>
      <c r="AA749" s="1356"/>
      <c r="AB749" s="1357"/>
      <c r="AC749" s="1361"/>
      <c r="AD749" s="1362"/>
      <c r="AE749" s="1362"/>
      <c r="AF749" s="1362"/>
      <c r="AG749" s="1363"/>
      <c r="AH749" s="1358" t="str">
        <f t="shared" si="35"/>
        <v/>
      </c>
      <c r="AI749" s="1359"/>
      <c r="AJ749" s="1360"/>
      <c r="AK749" s="1352" t="s">
        <v>592</v>
      </c>
      <c r="AL749" s="1353"/>
      <c r="AM749" s="1353"/>
      <c r="AN749" s="1353"/>
      <c r="AO749" s="1354"/>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348">
        <f t="shared" si="36"/>
        <v>0</v>
      </c>
      <c r="CH749" s="1350"/>
      <c r="CI749" s="1334">
        <f t="shared" si="37"/>
        <v>0</v>
      </c>
      <c r="CJ749" s="1336"/>
      <c r="CK749" s="1348">
        <f t="shared" si="15"/>
        <v>0</v>
      </c>
      <c r="CL749" s="1350"/>
      <c r="CM749" s="1334">
        <f t="shared" si="16"/>
        <v>0</v>
      </c>
      <c r="CN749" s="1336"/>
      <c r="CP749" s="1331">
        <f t="shared" si="17"/>
        <v>0</v>
      </c>
      <c r="CQ749" s="1332"/>
      <c r="CR749" s="1332"/>
      <c r="CS749" s="1332"/>
      <c r="CT749" s="1333"/>
      <c r="CU749" s="1351">
        <f t="shared" si="18"/>
        <v>0</v>
      </c>
      <c r="CV749" s="1351"/>
      <c r="CW749" s="1351"/>
      <c r="CX749" s="1351"/>
      <c r="CY749" s="1351"/>
      <c r="CZ749" s="1351">
        <f t="shared" si="19"/>
        <v>0</v>
      </c>
      <c r="DA749" s="1351"/>
      <c r="DB749" s="1351"/>
      <c r="DC749" s="1351"/>
      <c r="DD749" s="1351"/>
      <c r="DE749" s="1351">
        <f t="shared" si="20"/>
        <v>0</v>
      </c>
      <c r="DF749" s="1351"/>
      <c r="DG749" s="1351"/>
      <c r="DH749" s="1351"/>
      <c r="DI749" s="1351"/>
      <c r="DJ749" s="1351">
        <f t="shared" si="21"/>
        <v>0</v>
      </c>
      <c r="DK749" s="1351"/>
      <c r="DL749" s="1351"/>
      <c r="DM749" s="1351"/>
      <c r="DN749" s="1351"/>
      <c r="DO749" s="1351">
        <f t="shared" si="22"/>
        <v>0</v>
      </c>
      <c r="DP749" s="1351"/>
      <c r="DQ749" s="1351"/>
      <c r="DR749" s="1351"/>
      <c r="DS749" s="1351"/>
      <c r="DT749" s="6"/>
      <c r="DU749" s="1368">
        <f t="shared" si="23"/>
        <v>0</v>
      </c>
      <c r="DV749" s="1368"/>
      <c r="DW749" s="1368"/>
      <c r="DX749" s="1368"/>
      <c r="DY749" s="1368"/>
      <c r="DZ749" s="1368">
        <f t="shared" si="24"/>
        <v>0</v>
      </c>
      <c r="EA749" s="1368"/>
      <c r="EB749" s="1368"/>
      <c r="EC749" s="1368"/>
      <c r="ED749" s="1368"/>
      <c r="EE749" s="1368">
        <f t="shared" si="25"/>
        <v>0</v>
      </c>
      <c r="EF749" s="1368"/>
      <c r="EG749" s="1368"/>
      <c r="EH749" s="1368"/>
      <c r="EI749" s="1368"/>
      <c r="EJ749" s="1368">
        <f t="shared" si="26"/>
        <v>0</v>
      </c>
      <c r="EK749" s="1368"/>
      <c r="EL749" s="1368"/>
      <c r="EM749" s="1368"/>
      <c r="EN749" s="1368"/>
      <c r="EO749" s="1368">
        <f t="shared" si="27"/>
        <v>0</v>
      </c>
      <c r="EP749" s="1368"/>
      <c r="EQ749" s="1368"/>
      <c r="ER749" s="1368"/>
      <c r="ES749" s="1368"/>
      <c r="ET749" s="1368">
        <f t="shared" si="28"/>
        <v>0</v>
      </c>
      <c r="EU749" s="1368"/>
      <c r="EV749" s="1368"/>
      <c r="EW749" s="1368"/>
      <c r="EX749" s="1368"/>
      <c r="EY749"/>
      <c r="EZ749" s="1348" t="str">
        <f t="shared" si="29"/>
        <v/>
      </c>
      <c r="FA749" s="1349"/>
      <c r="FB749" s="1349"/>
      <c r="FC749" s="1349"/>
      <c r="FD749" s="1350"/>
      <c r="FE749" s="1348" t="str">
        <f t="shared" si="30"/>
        <v/>
      </c>
      <c r="FF749" s="1349"/>
      <c r="FG749" s="1349"/>
      <c r="FH749" s="1349"/>
      <c r="FI749" s="1350"/>
      <c r="FJ749" s="1348" t="str">
        <f t="shared" si="31"/>
        <v/>
      </c>
      <c r="FK749" s="1349"/>
      <c r="FL749" s="1349"/>
      <c r="FM749" s="1349"/>
      <c r="FN749" s="1350"/>
      <c r="FO749" s="1348" t="str">
        <f t="shared" si="32"/>
        <v/>
      </c>
      <c r="FP749" s="1349"/>
      <c r="FQ749" s="1349"/>
      <c r="FR749" s="1349"/>
      <c r="FS749" s="1350"/>
      <c r="FT749" s="1348" t="str">
        <f t="shared" si="33"/>
        <v/>
      </c>
      <c r="FU749" s="1349"/>
      <c r="FV749" s="1349"/>
      <c r="FW749" s="1349"/>
      <c r="FX749" s="1350"/>
      <c r="FY749" s="1348" t="str">
        <f t="shared" si="34"/>
        <v/>
      </c>
      <c r="FZ749" s="1349"/>
      <c r="GA749" s="1349"/>
      <c r="GB749" s="1349"/>
      <c r="GC749" s="1350"/>
    </row>
    <row r="750" spans="1:185" s="3" customFormat="1" ht="13" customHeight="1">
      <c r="A750"/>
      <c r="B750" s="1352"/>
      <c r="C750" s="1353"/>
      <c r="D750" s="1353"/>
      <c r="E750" s="1353"/>
      <c r="F750" s="1354"/>
      <c r="G750" s="1364"/>
      <c r="H750" s="1365"/>
      <c r="I750" s="1365"/>
      <c r="J750" s="1366"/>
      <c r="K750" s="1606"/>
      <c r="L750" s="1607"/>
      <c r="M750" s="1607"/>
      <c r="N750" s="1608"/>
      <c r="O750" s="1405"/>
      <c r="P750" s="1406"/>
      <c r="Q750" s="1406"/>
      <c r="R750" s="1406"/>
      <c r="S750" s="1407"/>
      <c r="T750" s="1405"/>
      <c r="U750" s="1406"/>
      <c r="V750" s="1406"/>
      <c r="W750" s="1407"/>
      <c r="X750" s="1355">
        <f t="shared" si="38"/>
        <v>0</v>
      </c>
      <c r="Y750" s="1356"/>
      <c r="Z750" s="1356"/>
      <c r="AA750" s="1356"/>
      <c r="AB750" s="1357"/>
      <c r="AC750" s="1361"/>
      <c r="AD750" s="1362"/>
      <c r="AE750" s="1362"/>
      <c r="AF750" s="1362"/>
      <c r="AG750" s="1363"/>
      <c r="AH750" s="1358" t="str">
        <f t="shared" si="35"/>
        <v/>
      </c>
      <c r="AI750" s="1359"/>
      <c r="AJ750" s="1360"/>
      <c r="AK750" s="1352" t="s">
        <v>592</v>
      </c>
      <c r="AL750" s="1353"/>
      <c r="AM750" s="1353"/>
      <c r="AN750" s="1353"/>
      <c r="AO750" s="1354"/>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348">
        <f t="shared" si="36"/>
        <v>0</v>
      </c>
      <c r="CH750" s="1350"/>
      <c r="CI750" s="1334">
        <f t="shared" si="37"/>
        <v>0</v>
      </c>
      <c r="CJ750" s="1336"/>
      <c r="CK750" s="1348">
        <f t="shared" si="15"/>
        <v>0</v>
      </c>
      <c r="CL750" s="1350"/>
      <c r="CM750" s="1334">
        <f t="shared" si="16"/>
        <v>0</v>
      </c>
      <c r="CN750" s="1336"/>
      <c r="CP750" s="1331">
        <f t="shared" si="17"/>
        <v>0</v>
      </c>
      <c r="CQ750" s="1332"/>
      <c r="CR750" s="1332"/>
      <c r="CS750" s="1332"/>
      <c r="CT750" s="1333"/>
      <c r="CU750" s="1351">
        <f t="shared" si="18"/>
        <v>0</v>
      </c>
      <c r="CV750" s="1351"/>
      <c r="CW750" s="1351"/>
      <c r="CX750" s="1351"/>
      <c r="CY750" s="1351"/>
      <c r="CZ750" s="1351">
        <f t="shared" si="19"/>
        <v>0</v>
      </c>
      <c r="DA750" s="1351"/>
      <c r="DB750" s="1351"/>
      <c r="DC750" s="1351"/>
      <c r="DD750" s="1351"/>
      <c r="DE750" s="1351">
        <f t="shared" si="20"/>
        <v>0</v>
      </c>
      <c r="DF750" s="1351"/>
      <c r="DG750" s="1351"/>
      <c r="DH750" s="1351"/>
      <c r="DI750" s="1351"/>
      <c r="DJ750" s="1351">
        <f t="shared" si="21"/>
        <v>0</v>
      </c>
      <c r="DK750" s="1351"/>
      <c r="DL750" s="1351"/>
      <c r="DM750" s="1351"/>
      <c r="DN750" s="1351"/>
      <c r="DO750" s="1351">
        <f t="shared" si="22"/>
        <v>0</v>
      </c>
      <c r="DP750" s="1351"/>
      <c r="DQ750" s="1351"/>
      <c r="DR750" s="1351"/>
      <c r="DS750" s="1351"/>
      <c r="DT750" s="6"/>
      <c r="DU750" s="1368">
        <f t="shared" si="23"/>
        <v>0</v>
      </c>
      <c r="DV750" s="1368"/>
      <c r="DW750" s="1368"/>
      <c r="DX750" s="1368"/>
      <c r="DY750" s="1368"/>
      <c r="DZ750" s="1368">
        <f t="shared" si="24"/>
        <v>0</v>
      </c>
      <c r="EA750" s="1368"/>
      <c r="EB750" s="1368"/>
      <c r="EC750" s="1368"/>
      <c r="ED750" s="1368"/>
      <c r="EE750" s="1368">
        <f t="shared" si="25"/>
        <v>0</v>
      </c>
      <c r="EF750" s="1368"/>
      <c r="EG750" s="1368"/>
      <c r="EH750" s="1368"/>
      <c r="EI750" s="1368"/>
      <c r="EJ750" s="1368">
        <f t="shared" si="26"/>
        <v>0</v>
      </c>
      <c r="EK750" s="1368"/>
      <c r="EL750" s="1368"/>
      <c r="EM750" s="1368"/>
      <c r="EN750" s="1368"/>
      <c r="EO750" s="1368">
        <f t="shared" si="27"/>
        <v>0</v>
      </c>
      <c r="EP750" s="1368"/>
      <c r="EQ750" s="1368"/>
      <c r="ER750" s="1368"/>
      <c r="ES750" s="1368"/>
      <c r="ET750" s="1368">
        <f t="shared" si="28"/>
        <v>0</v>
      </c>
      <c r="EU750" s="1368"/>
      <c r="EV750" s="1368"/>
      <c r="EW750" s="1368"/>
      <c r="EX750" s="1368"/>
      <c r="EY750"/>
      <c r="EZ750" s="1348" t="str">
        <f t="shared" si="29"/>
        <v/>
      </c>
      <c r="FA750" s="1349"/>
      <c r="FB750" s="1349"/>
      <c r="FC750" s="1349"/>
      <c r="FD750" s="1350"/>
      <c r="FE750" s="1348" t="str">
        <f t="shared" si="30"/>
        <v/>
      </c>
      <c r="FF750" s="1349"/>
      <c r="FG750" s="1349"/>
      <c r="FH750" s="1349"/>
      <c r="FI750" s="1350"/>
      <c r="FJ750" s="1348" t="str">
        <f t="shared" si="31"/>
        <v/>
      </c>
      <c r="FK750" s="1349"/>
      <c r="FL750" s="1349"/>
      <c r="FM750" s="1349"/>
      <c r="FN750" s="1350"/>
      <c r="FO750" s="1348" t="str">
        <f t="shared" si="32"/>
        <v/>
      </c>
      <c r="FP750" s="1349"/>
      <c r="FQ750" s="1349"/>
      <c r="FR750" s="1349"/>
      <c r="FS750" s="1350"/>
      <c r="FT750" s="1348" t="str">
        <f t="shared" si="33"/>
        <v/>
      </c>
      <c r="FU750" s="1349"/>
      <c r="FV750" s="1349"/>
      <c r="FW750" s="1349"/>
      <c r="FX750" s="1350"/>
      <c r="FY750" s="1348" t="str">
        <f t="shared" si="34"/>
        <v/>
      </c>
      <c r="FZ750" s="1349"/>
      <c r="GA750" s="1349"/>
      <c r="GB750" s="1349"/>
      <c r="GC750" s="1350"/>
    </row>
    <row r="751" spans="1:185" s="3" customFormat="1" ht="13" customHeight="1">
      <c r="A751"/>
      <c r="B751" s="1352"/>
      <c r="C751" s="1353"/>
      <c r="D751" s="1353"/>
      <c r="E751" s="1353"/>
      <c r="F751" s="1354"/>
      <c r="G751" s="1364"/>
      <c r="H751" s="1365"/>
      <c r="I751" s="1365"/>
      <c r="J751" s="1366"/>
      <c r="K751" s="1606"/>
      <c r="L751" s="1607"/>
      <c r="M751" s="1607"/>
      <c r="N751" s="1608"/>
      <c r="O751" s="1405"/>
      <c r="P751" s="1406"/>
      <c r="Q751" s="1406"/>
      <c r="R751" s="1406"/>
      <c r="S751" s="1407"/>
      <c r="T751" s="1405"/>
      <c r="U751" s="1406"/>
      <c r="V751" s="1406"/>
      <c r="W751" s="1407"/>
      <c r="X751" s="1355">
        <f t="shared" si="38"/>
        <v>0</v>
      </c>
      <c r="Y751" s="1356"/>
      <c r="Z751" s="1356"/>
      <c r="AA751" s="1356"/>
      <c r="AB751" s="1357"/>
      <c r="AC751" s="1361"/>
      <c r="AD751" s="1362"/>
      <c r="AE751" s="1362"/>
      <c r="AF751" s="1362"/>
      <c r="AG751" s="1363"/>
      <c r="AH751" s="1358" t="str">
        <f t="shared" si="35"/>
        <v/>
      </c>
      <c r="AI751" s="1359"/>
      <c r="AJ751" s="1360"/>
      <c r="AK751" s="1352" t="s">
        <v>592</v>
      </c>
      <c r="AL751" s="1353"/>
      <c r="AM751" s="1353"/>
      <c r="AN751" s="1353"/>
      <c r="AO751" s="1354"/>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348">
        <f t="shared" si="36"/>
        <v>0</v>
      </c>
      <c r="CH751" s="1350"/>
      <c r="CI751" s="1334">
        <f t="shared" si="37"/>
        <v>0</v>
      </c>
      <c r="CJ751" s="1336"/>
      <c r="CK751" s="1348">
        <f t="shared" si="15"/>
        <v>0</v>
      </c>
      <c r="CL751" s="1350"/>
      <c r="CM751" s="1334">
        <f t="shared" si="16"/>
        <v>0</v>
      </c>
      <c r="CN751" s="1336"/>
      <c r="CP751" s="1331">
        <f t="shared" si="17"/>
        <v>0</v>
      </c>
      <c r="CQ751" s="1332"/>
      <c r="CR751" s="1332"/>
      <c r="CS751" s="1332"/>
      <c r="CT751" s="1333"/>
      <c r="CU751" s="1351">
        <f t="shared" si="18"/>
        <v>0</v>
      </c>
      <c r="CV751" s="1351"/>
      <c r="CW751" s="1351"/>
      <c r="CX751" s="1351"/>
      <c r="CY751" s="1351"/>
      <c r="CZ751" s="1351">
        <f t="shared" si="19"/>
        <v>0</v>
      </c>
      <c r="DA751" s="1351"/>
      <c r="DB751" s="1351"/>
      <c r="DC751" s="1351"/>
      <c r="DD751" s="1351"/>
      <c r="DE751" s="1351">
        <f t="shared" si="20"/>
        <v>0</v>
      </c>
      <c r="DF751" s="1351"/>
      <c r="DG751" s="1351"/>
      <c r="DH751" s="1351"/>
      <c r="DI751" s="1351"/>
      <c r="DJ751" s="1351">
        <f t="shared" si="21"/>
        <v>0</v>
      </c>
      <c r="DK751" s="1351"/>
      <c r="DL751" s="1351"/>
      <c r="DM751" s="1351"/>
      <c r="DN751" s="1351"/>
      <c r="DO751" s="1351">
        <f t="shared" si="22"/>
        <v>0</v>
      </c>
      <c r="DP751" s="1351"/>
      <c r="DQ751" s="1351"/>
      <c r="DR751" s="1351"/>
      <c r="DS751" s="1351"/>
      <c r="DT751" s="6"/>
      <c r="DU751" s="1368">
        <f t="shared" si="23"/>
        <v>0</v>
      </c>
      <c r="DV751" s="1368"/>
      <c r="DW751" s="1368"/>
      <c r="DX751" s="1368"/>
      <c r="DY751" s="1368"/>
      <c r="DZ751" s="1368">
        <f t="shared" si="24"/>
        <v>0</v>
      </c>
      <c r="EA751" s="1368"/>
      <c r="EB751" s="1368"/>
      <c r="EC751" s="1368"/>
      <c r="ED751" s="1368"/>
      <c r="EE751" s="1368">
        <f t="shared" si="25"/>
        <v>0</v>
      </c>
      <c r="EF751" s="1368"/>
      <c r="EG751" s="1368"/>
      <c r="EH751" s="1368"/>
      <c r="EI751" s="1368"/>
      <c r="EJ751" s="1368">
        <f t="shared" si="26"/>
        <v>0</v>
      </c>
      <c r="EK751" s="1368"/>
      <c r="EL751" s="1368"/>
      <c r="EM751" s="1368"/>
      <c r="EN751" s="1368"/>
      <c r="EO751" s="1368">
        <f t="shared" si="27"/>
        <v>0</v>
      </c>
      <c r="EP751" s="1368"/>
      <c r="EQ751" s="1368"/>
      <c r="ER751" s="1368"/>
      <c r="ES751" s="1368"/>
      <c r="ET751" s="1368">
        <f t="shared" si="28"/>
        <v>0</v>
      </c>
      <c r="EU751" s="1368"/>
      <c r="EV751" s="1368"/>
      <c r="EW751" s="1368"/>
      <c r="EX751" s="1368"/>
      <c r="EY751"/>
      <c r="EZ751" s="1348" t="str">
        <f t="shared" si="29"/>
        <v/>
      </c>
      <c r="FA751" s="1349"/>
      <c r="FB751" s="1349"/>
      <c r="FC751" s="1349"/>
      <c r="FD751" s="1350"/>
      <c r="FE751" s="1348" t="str">
        <f t="shared" si="30"/>
        <v/>
      </c>
      <c r="FF751" s="1349"/>
      <c r="FG751" s="1349"/>
      <c r="FH751" s="1349"/>
      <c r="FI751" s="1350"/>
      <c r="FJ751" s="1348" t="str">
        <f t="shared" si="31"/>
        <v/>
      </c>
      <c r="FK751" s="1349"/>
      <c r="FL751" s="1349"/>
      <c r="FM751" s="1349"/>
      <c r="FN751" s="1350"/>
      <c r="FO751" s="1348" t="str">
        <f t="shared" si="32"/>
        <v/>
      </c>
      <c r="FP751" s="1349"/>
      <c r="FQ751" s="1349"/>
      <c r="FR751" s="1349"/>
      <c r="FS751" s="1350"/>
      <c r="FT751" s="1348" t="str">
        <f t="shared" si="33"/>
        <v/>
      </c>
      <c r="FU751" s="1349"/>
      <c r="FV751" s="1349"/>
      <c r="FW751" s="1349"/>
      <c r="FX751" s="1350"/>
      <c r="FY751" s="1348" t="str">
        <f t="shared" si="34"/>
        <v/>
      </c>
      <c r="FZ751" s="1349"/>
      <c r="GA751" s="1349"/>
      <c r="GB751" s="1349"/>
      <c r="GC751" s="1350"/>
    </row>
    <row r="752" spans="1:185" s="3" customFormat="1" ht="13" customHeight="1">
      <c r="A752"/>
      <c r="B752" s="1352"/>
      <c r="C752" s="1353"/>
      <c r="D752" s="1353"/>
      <c r="E752" s="1353"/>
      <c r="F752" s="1354"/>
      <c r="G752" s="1364"/>
      <c r="H752" s="1365"/>
      <c r="I752" s="1365"/>
      <c r="J752" s="1366"/>
      <c r="K752" s="1606"/>
      <c r="L752" s="1607"/>
      <c r="M752" s="1607"/>
      <c r="N752" s="1608"/>
      <c r="O752" s="1405"/>
      <c r="P752" s="1406"/>
      <c r="Q752" s="1406"/>
      <c r="R752" s="1406"/>
      <c r="S752" s="1407"/>
      <c r="T752" s="1405"/>
      <c r="U752" s="1406"/>
      <c r="V752" s="1406"/>
      <c r="W752" s="1407"/>
      <c r="X752" s="1355">
        <f>O752+T752</f>
        <v>0</v>
      </c>
      <c r="Y752" s="1356"/>
      <c r="Z752" s="1356"/>
      <c r="AA752" s="1356"/>
      <c r="AB752" s="1357"/>
      <c r="AC752" s="1361"/>
      <c r="AD752" s="1362"/>
      <c r="AE752" s="1362"/>
      <c r="AF752" s="1362"/>
      <c r="AG752" s="1363"/>
      <c r="AH752" s="1358" t="str">
        <f t="shared" si="35"/>
        <v/>
      </c>
      <c r="AI752" s="1359"/>
      <c r="AJ752" s="1360"/>
      <c r="AK752" s="1352" t="s">
        <v>592</v>
      </c>
      <c r="AL752" s="1353"/>
      <c r="AM752" s="1353"/>
      <c r="AN752" s="1353"/>
      <c r="AO752" s="1354"/>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348">
        <f t="shared" si="36"/>
        <v>0</v>
      </c>
      <c r="CH752" s="1350"/>
      <c r="CI752" s="1334">
        <f t="shared" si="37"/>
        <v>0</v>
      </c>
      <c r="CJ752" s="1336"/>
      <c r="CK752" s="1348">
        <f t="shared" si="15"/>
        <v>0</v>
      </c>
      <c r="CL752" s="1350"/>
      <c r="CM752" s="1334">
        <f t="shared" si="16"/>
        <v>0</v>
      </c>
      <c r="CN752" s="1336"/>
      <c r="CP752" s="1331">
        <f t="shared" si="17"/>
        <v>0</v>
      </c>
      <c r="CQ752" s="1332"/>
      <c r="CR752" s="1332"/>
      <c r="CS752" s="1332"/>
      <c r="CT752" s="1333"/>
      <c r="CU752" s="1351">
        <f t="shared" si="18"/>
        <v>0</v>
      </c>
      <c r="CV752" s="1351"/>
      <c r="CW752" s="1351"/>
      <c r="CX752" s="1351"/>
      <c r="CY752" s="1351"/>
      <c r="CZ752" s="1351">
        <f t="shared" si="19"/>
        <v>0</v>
      </c>
      <c r="DA752" s="1351"/>
      <c r="DB752" s="1351"/>
      <c r="DC752" s="1351"/>
      <c r="DD752" s="1351"/>
      <c r="DE752" s="1351">
        <f t="shared" si="20"/>
        <v>0</v>
      </c>
      <c r="DF752" s="1351"/>
      <c r="DG752" s="1351"/>
      <c r="DH752" s="1351"/>
      <c r="DI752" s="1351"/>
      <c r="DJ752" s="1351">
        <f t="shared" si="21"/>
        <v>0</v>
      </c>
      <c r="DK752" s="1351"/>
      <c r="DL752" s="1351"/>
      <c r="DM752" s="1351"/>
      <c r="DN752" s="1351"/>
      <c r="DO752" s="1351">
        <f t="shared" si="22"/>
        <v>0</v>
      </c>
      <c r="DP752" s="1351"/>
      <c r="DQ752" s="1351"/>
      <c r="DR752" s="1351"/>
      <c r="DS752" s="1351"/>
      <c r="DT752" s="6"/>
      <c r="DU752" s="1368">
        <f t="shared" si="23"/>
        <v>0</v>
      </c>
      <c r="DV752" s="1368"/>
      <c r="DW752" s="1368"/>
      <c r="DX752" s="1368"/>
      <c r="DY752" s="1368"/>
      <c r="DZ752" s="1368">
        <f t="shared" si="24"/>
        <v>0</v>
      </c>
      <c r="EA752" s="1368"/>
      <c r="EB752" s="1368"/>
      <c r="EC752" s="1368"/>
      <c r="ED752" s="1368"/>
      <c r="EE752" s="1368">
        <f t="shared" si="25"/>
        <v>0</v>
      </c>
      <c r="EF752" s="1368"/>
      <c r="EG752" s="1368"/>
      <c r="EH752" s="1368"/>
      <c r="EI752" s="1368"/>
      <c r="EJ752" s="1368">
        <f t="shared" si="26"/>
        <v>0</v>
      </c>
      <c r="EK752" s="1368"/>
      <c r="EL752" s="1368"/>
      <c r="EM752" s="1368"/>
      <c r="EN752" s="1368"/>
      <c r="EO752" s="1368">
        <f t="shared" si="27"/>
        <v>0</v>
      </c>
      <c r="EP752" s="1368"/>
      <c r="EQ752" s="1368"/>
      <c r="ER752" s="1368"/>
      <c r="ES752" s="1368"/>
      <c r="ET752" s="1368">
        <f t="shared" si="28"/>
        <v>0</v>
      </c>
      <c r="EU752" s="1368"/>
      <c r="EV752" s="1368"/>
      <c r="EW752" s="1368"/>
      <c r="EX752" s="1368"/>
      <c r="EY752"/>
      <c r="EZ752" s="1348" t="str">
        <f t="shared" si="29"/>
        <v/>
      </c>
      <c r="FA752" s="1349"/>
      <c r="FB752" s="1349"/>
      <c r="FC752" s="1349"/>
      <c r="FD752" s="1350"/>
      <c r="FE752" s="1348" t="str">
        <f t="shared" si="30"/>
        <v/>
      </c>
      <c r="FF752" s="1349"/>
      <c r="FG752" s="1349"/>
      <c r="FH752" s="1349"/>
      <c r="FI752" s="1350"/>
      <c r="FJ752" s="1348" t="str">
        <f t="shared" si="31"/>
        <v/>
      </c>
      <c r="FK752" s="1349"/>
      <c r="FL752" s="1349"/>
      <c r="FM752" s="1349"/>
      <c r="FN752" s="1350"/>
      <c r="FO752" s="1348" t="str">
        <f t="shared" si="32"/>
        <v/>
      </c>
      <c r="FP752" s="1349"/>
      <c r="FQ752" s="1349"/>
      <c r="FR752" s="1349"/>
      <c r="FS752" s="1350"/>
      <c r="FT752" s="1348" t="str">
        <f t="shared" si="33"/>
        <v/>
      </c>
      <c r="FU752" s="1349"/>
      <c r="FV752" s="1349"/>
      <c r="FW752" s="1349"/>
      <c r="FX752" s="1350"/>
      <c r="FY752" s="1348" t="str">
        <f t="shared" si="34"/>
        <v/>
      </c>
      <c r="FZ752" s="1349"/>
      <c r="GA752" s="1349"/>
      <c r="GB752" s="1349"/>
      <c r="GC752" s="1350"/>
    </row>
    <row r="753" spans="1:185" s="3" customFormat="1" ht="13" customHeight="1">
      <c r="A753"/>
      <c r="B753" s="1425" t="s">
        <v>125</v>
      </c>
      <c r="C753" s="1426"/>
      <c r="D753" s="1426"/>
      <c r="E753" s="1426"/>
      <c r="F753" s="1428"/>
      <c r="G753" s="1616">
        <f>SUM(G718:G752)</f>
        <v>239</v>
      </c>
      <c r="H753" s="1617"/>
      <c r="I753" s="1617"/>
      <c r="J753" s="1618"/>
      <c r="K753" s="903" t="s">
        <v>124</v>
      </c>
      <c r="L753" s="5"/>
      <c r="M753" s="5"/>
      <c r="N753" s="46"/>
      <c r="O753" s="1355">
        <f>SUMPRODUCT(G718:G752,O718:O752)</f>
        <v>402954</v>
      </c>
      <c r="P753" s="1356"/>
      <c r="Q753" s="1356"/>
      <c r="R753" s="1356"/>
      <c r="S753" s="1357"/>
      <c r="T753"/>
      <c r="U753"/>
      <c r="V753"/>
      <c r="W753"/>
      <c r="X753" s="905" t="s">
        <v>900</v>
      </c>
      <c r="Y753" s="904"/>
      <c r="Z753" s="904"/>
      <c r="AA753" s="904"/>
      <c r="AB753" s="906"/>
      <c r="AC753" s="1619">
        <f>BH753</f>
        <v>0.6</v>
      </c>
      <c r="AD753" s="1620"/>
      <c r="AE753" s="1620"/>
      <c r="AF753" s="1620"/>
      <c r="AG753" s="1621"/>
      <c r="AH753" s="1619">
        <f>IFERROR(BU753,"")</f>
        <v>0.60002399491928027</v>
      </c>
      <c r="AI753" s="1620"/>
      <c r="AJ753" s="1621"/>
      <c r="AK753"/>
      <c r="AL753"/>
      <c r="AM753"/>
      <c r="AN753"/>
      <c r="AO753"/>
      <c r="AP753" s="206"/>
      <c r="AQ753" s="206"/>
      <c r="AR753" s="206"/>
      <c r="AS753" s="206"/>
      <c r="AT753"/>
      <c r="AU753"/>
      <c r="AV753"/>
      <c r="AW753"/>
      <c r="AX753"/>
      <c r="AY753"/>
      <c r="AZ753" s="34"/>
      <c r="BA753" s="34"/>
      <c r="BB753" s="34"/>
      <c r="BC753" s="34"/>
      <c r="BE753" s="291" t="s">
        <v>899</v>
      </c>
      <c r="BF753" s="300">
        <f>SUM(BF718:BF752)</f>
        <v>239</v>
      </c>
      <c r="BG753" s="301">
        <f>SUM(BG718:BG752)</f>
        <v>0.99999999999999989</v>
      </c>
      <c r="BH753" s="301">
        <f>SUM(BH718:BH752)</f>
        <v>0.6</v>
      </c>
      <c r="BI753"/>
      <c r="BJ753"/>
      <c r="BK753"/>
      <c r="BL753"/>
      <c r="BO753"/>
      <c r="BP753"/>
      <c r="BQ753"/>
      <c r="BR753"/>
      <c r="BS753" s="860">
        <f>SUM(BS718:BS752)</f>
        <v>239</v>
      </c>
      <c r="BT753" s="301">
        <f>SUM(BT718:BT752)</f>
        <v>0.99999999999999989</v>
      </c>
      <c r="BU753" s="301">
        <f>SUM(BU718:BU752)</f>
        <v>0.60002399491928027</v>
      </c>
      <c r="CI753" s="1348">
        <f>SUM(CI718:CJ752)</f>
        <v>1</v>
      </c>
      <c r="CJ753" s="1350"/>
      <c r="CM753" s="1348">
        <f>SUM(CM718:CN752)</f>
        <v>95</v>
      </c>
      <c r="CN753" s="1350"/>
      <c r="CP753" s="1348">
        <f>SUM(CP718:CT752)</f>
        <v>21</v>
      </c>
      <c r="CQ753" s="1349"/>
      <c r="CR753" s="1349"/>
      <c r="CS753" s="1349"/>
      <c r="CT753" s="1350"/>
      <c r="CU753" s="1367">
        <f>SUM(CU718:CY752)</f>
        <v>133</v>
      </c>
      <c r="CV753" s="1367"/>
      <c r="CW753" s="1367"/>
      <c r="CX753" s="1367"/>
      <c r="CY753" s="1367"/>
      <c r="CZ753" s="1367">
        <f>SUM(CZ718:DD752)</f>
        <v>37</v>
      </c>
      <c r="DA753" s="1367"/>
      <c r="DB753" s="1367"/>
      <c r="DC753" s="1367"/>
      <c r="DD753" s="1367"/>
      <c r="DE753" s="1367">
        <f>SUM(DE718:DI752)</f>
        <v>48</v>
      </c>
      <c r="DF753" s="1367"/>
      <c r="DG753" s="1367"/>
      <c r="DH753" s="1367"/>
      <c r="DI753" s="1367"/>
      <c r="DJ753" s="1367">
        <f>SUM(DJ718:DN752)</f>
        <v>0</v>
      </c>
      <c r="DK753" s="1367"/>
      <c r="DL753" s="1367"/>
      <c r="DM753" s="1367"/>
      <c r="DN753" s="1367"/>
      <c r="DO753" s="1367">
        <f>SUM(DO718:DS752)</f>
        <v>0</v>
      </c>
      <c r="DP753" s="1367"/>
      <c r="DQ753" s="1367"/>
      <c r="DR753" s="1367"/>
      <c r="DS753" s="1367"/>
      <c r="DT753" s="355"/>
      <c r="DU753" s="1367">
        <f>SUM(DU718:DY752)</f>
        <v>9</v>
      </c>
      <c r="DV753" s="1367"/>
      <c r="DW753" s="1367"/>
      <c r="DX753" s="1367"/>
      <c r="DY753" s="1367"/>
      <c r="DZ753" s="1367">
        <f>SUM(DZ718:ED752)</f>
        <v>60</v>
      </c>
      <c r="EA753" s="1367"/>
      <c r="EB753" s="1367"/>
      <c r="EC753" s="1367"/>
      <c r="ED753" s="1367"/>
      <c r="EE753" s="1367">
        <f>SUM(EE718:EI752)</f>
        <v>13</v>
      </c>
      <c r="EF753" s="1367"/>
      <c r="EG753" s="1367"/>
      <c r="EH753" s="1367"/>
      <c r="EI753" s="1367"/>
      <c r="EJ753" s="1367">
        <f>SUM(EJ718:EN752)</f>
        <v>13</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2608</v>
      </c>
      <c r="FA753" s="1367"/>
      <c r="FB753" s="1367"/>
      <c r="FC753" s="1367"/>
      <c r="FD753" s="1367"/>
      <c r="FE753" s="1367">
        <f>SUM(FE718:FI752)</f>
        <v>2774</v>
      </c>
      <c r="FF753" s="1367"/>
      <c r="FG753" s="1367"/>
      <c r="FH753" s="1367"/>
      <c r="FI753" s="1367"/>
      <c r="FJ753" s="1367">
        <f>SUM(FJ718:FN752)</f>
        <v>4824</v>
      </c>
      <c r="FK753" s="1367"/>
      <c r="FL753" s="1367"/>
      <c r="FM753" s="1367"/>
      <c r="FN753" s="1367"/>
      <c r="FO753" s="1367">
        <f>SUM(FO718:FS752)</f>
        <v>3830</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3" customHeight="1">
      <c r="A754"/>
      <c r="B754" s="1766" t="s">
        <v>1894</v>
      </c>
      <c r="C754" s="1766"/>
      <c r="D754" s="1766"/>
      <c r="E754" s="1766"/>
      <c r="F754" s="1766"/>
      <c r="G754" s="1766"/>
      <c r="H754" s="1766"/>
      <c r="I754" s="1766"/>
      <c r="J754" s="1766"/>
      <c r="K754" s="1766"/>
      <c r="L754" s="1766"/>
      <c r="M754" s="1766"/>
      <c r="N754" s="1766"/>
      <c r="O754" s="1766"/>
      <c r="P754" s="1766"/>
      <c r="Q754" s="1766"/>
      <c r="R754" s="1766"/>
      <c r="S754" s="1766"/>
      <c r="T754" s="1766"/>
      <c r="U754" s="1766"/>
      <c r="V754" s="1766"/>
      <c r="W754" s="1766"/>
      <c r="X754" s="1766"/>
      <c r="Y754" s="1766"/>
      <c r="Z754" s="1766"/>
      <c r="AA754" s="1766"/>
      <c r="AB754" s="1766"/>
      <c r="AC754" s="1766"/>
      <c r="AD754" s="1766"/>
      <c r="AE754" s="1766"/>
      <c r="AF754" s="1766"/>
      <c r="AG754" s="1766"/>
      <c r="AH754" s="1766"/>
      <c r="AI754"/>
      <c r="AJ754"/>
      <c r="AK754"/>
      <c r="AT754"/>
      <c r="AU754"/>
      <c r="AV754"/>
      <c r="AW754"/>
      <c r="AX754"/>
      <c r="AY754"/>
      <c r="CD754"/>
      <c r="DN754" s="56" t="s">
        <v>1861</v>
      </c>
      <c r="DO754" s="1348">
        <f>CP753+CU753+CZ753+DE753+DJ753+DO753</f>
        <v>239</v>
      </c>
      <c r="DP754" s="1349"/>
      <c r="DQ754" s="1349"/>
      <c r="DR754" s="1349"/>
      <c r="DS754" s="1350"/>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66"/>
      <c r="C755" s="1766"/>
      <c r="D755" s="1766"/>
      <c r="E755" s="1766"/>
      <c r="F755" s="1766"/>
      <c r="G755" s="1766"/>
      <c r="H755" s="1766"/>
      <c r="I755" s="1766"/>
      <c r="J755" s="1766"/>
      <c r="K755" s="1766"/>
      <c r="L755" s="1766"/>
      <c r="M755" s="1766"/>
      <c r="N755" s="1766"/>
      <c r="O755" s="1766"/>
      <c r="P755" s="1766"/>
      <c r="Q755" s="1766"/>
      <c r="R755" s="1766"/>
      <c r="S755" s="1766"/>
      <c r="T755" s="1766"/>
      <c r="U755" s="1766"/>
      <c r="V755" s="1766"/>
      <c r="W755" s="1766"/>
      <c r="X755" s="1766"/>
      <c r="Y755" s="1766"/>
      <c r="Z755" s="1766"/>
      <c r="AA755" s="1766"/>
      <c r="AB755" s="1766"/>
      <c r="AC755" s="1766"/>
      <c r="AD755" s="1766"/>
      <c r="AE755" s="1766"/>
      <c r="AF755" s="1766"/>
      <c r="AG755" s="1766"/>
      <c r="AH755" s="17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21</v>
      </c>
      <c r="CU755" s="3"/>
      <c r="CV755" s="3"/>
      <c r="CW755" s="3"/>
      <c r="CX755" s="3"/>
      <c r="CY755" s="862">
        <f>CU753*1</f>
        <v>133</v>
      </c>
      <c r="CZ755" s="3"/>
      <c r="DA755" s="3"/>
      <c r="DB755" s="3"/>
      <c r="DC755" s="3"/>
      <c r="DD755" s="862">
        <f>CZ753*2</f>
        <v>74</v>
      </c>
      <c r="DE755" s="3"/>
      <c r="DF755" s="3"/>
      <c r="DG755" s="3"/>
      <c r="DH755" s="3"/>
      <c r="DI755" s="862">
        <f>DE753*3</f>
        <v>144</v>
      </c>
      <c r="DJ755" s="3"/>
      <c r="DK755" s="3"/>
      <c r="DL755" s="3"/>
      <c r="DM755" s="3"/>
      <c r="DN755" s="862">
        <f>DJ753*4</f>
        <v>0</v>
      </c>
      <c r="DO755" s="3"/>
      <c r="DP755" s="3"/>
      <c r="DQ755" s="3"/>
      <c r="DR755" s="3"/>
      <c r="DS755" s="862">
        <f>DO753*5</f>
        <v>0</v>
      </c>
      <c r="DU755" s="862">
        <f>CT755+CY755+DD755+DI755+DN755+DS755</f>
        <v>372</v>
      </c>
      <c r="DV755" s="57" t="s">
        <v>1863</v>
      </c>
      <c r="DW755" s="3"/>
      <c r="DX755" s="3"/>
      <c r="DY755" s="3"/>
      <c r="DZ755" s="3"/>
      <c r="EA755" s="3"/>
      <c r="EB755" s="3"/>
      <c r="EC755" s="3"/>
      <c r="ED755" s="3"/>
      <c r="EE755" s="3"/>
      <c r="EF755" s="3"/>
      <c r="EG755" s="3"/>
      <c r="EH755" s="3"/>
    </row>
    <row r="756" spans="1:185" ht="13" customHeight="1">
      <c r="A756" s="3"/>
      <c r="B756" s="3"/>
      <c r="C756" s="118" t="s">
        <v>1892</v>
      </c>
      <c r="D756" s="1033"/>
      <c r="E756" s="1033"/>
      <c r="F756" s="1033"/>
      <c r="G756" s="1034"/>
      <c r="H756" s="1034"/>
      <c r="I756" s="1034"/>
      <c r="J756" s="1034"/>
      <c r="K756" s="1033"/>
      <c r="L756" s="1033"/>
      <c r="M756" s="1033"/>
      <c r="N756" s="1033"/>
      <c r="O756" s="1367">
        <f>DU755</f>
        <v>372</v>
      </c>
      <c r="P756" s="1367"/>
      <c r="Q756" s="1367"/>
      <c r="R756" s="1367"/>
      <c r="S756" s="970"/>
      <c r="T756" s="970"/>
      <c r="U756" s="118" t="s">
        <v>1893</v>
      </c>
      <c r="V756" s="1033"/>
      <c r="W756" s="1033"/>
      <c r="X756" s="1033"/>
      <c r="Y756" s="1034"/>
      <c r="Z756" s="1034"/>
      <c r="AA756" s="1034"/>
      <c r="AB756" s="1034"/>
      <c r="AC756" s="1033"/>
      <c r="AD756" s="1033"/>
      <c r="AE756" s="1033"/>
      <c r="AF756" s="1033"/>
      <c r="AG756" s="1615"/>
      <c r="AH756" s="1615"/>
      <c r="AI756" s="1615"/>
      <c r="AJ756" s="1615"/>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827" t="str">
        <f>IF(G753&lt;&gt;AG440,"! Total Low-Income Units in the Unit Mix Table above does not match the number of Total Low-Income Units on row #"&amp;TEXT(ROW(D440),"#"),"")</f>
        <v/>
      </c>
      <c r="D757" s="1827"/>
      <c r="E757" s="1827"/>
      <c r="F757" s="1827"/>
      <c r="G757" s="1827"/>
      <c r="H757" s="1827"/>
      <c r="I757" s="1827"/>
      <c r="J757" s="1827"/>
      <c r="K757" s="1827"/>
      <c r="L757" s="1827"/>
      <c r="M757" s="1827"/>
      <c r="N757" s="1827"/>
      <c r="O757" s="1827"/>
      <c r="P757" s="1827"/>
      <c r="Q757" s="1827"/>
      <c r="R757" s="1827"/>
      <c r="S757" s="1827"/>
      <c r="T757" s="1827"/>
      <c r="U757" s="1827"/>
      <c r="V757" s="1827"/>
      <c r="W757" s="1827"/>
      <c r="X757" s="1827"/>
      <c r="Y757" s="1827"/>
      <c r="Z757" s="1827"/>
      <c r="AA757" s="1827"/>
      <c r="AB757" s="1827"/>
      <c r="AC757" s="1827"/>
      <c r="AD757" s="1827"/>
      <c r="AE757" s="1827"/>
      <c r="AF757" s="1827"/>
      <c r="AG757" s="1827"/>
      <c r="AH757" s="1827"/>
      <c r="AI757" s="1827"/>
      <c r="AJ757" s="1827"/>
      <c r="AK757" s="1827"/>
      <c r="AL757" s="1827"/>
      <c r="AM757" s="1827"/>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27"/>
      <c r="D758" s="1827"/>
      <c r="E758" s="1827"/>
      <c r="F758" s="1827"/>
      <c r="G758" s="1827"/>
      <c r="H758" s="1827"/>
      <c r="I758" s="1827"/>
      <c r="J758" s="1827"/>
      <c r="K758" s="1827"/>
      <c r="L758" s="1827"/>
      <c r="M758" s="1827"/>
      <c r="N758" s="1827"/>
      <c r="O758" s="1827"/>
      <c r="P758" s="1827"/>
      <c r="Q758" s="1827"/>
      <c r="R758" s="1827"/>
      <c r="S758" s="1827"/>
      <c r="T758" s="1827"/>
      <c r="U758" s="1827"/>
      <c r="V758" s="1827"/>
      <c r="W758" s="1827"/>
      <c r="X758" s="1827"/>
      <c r="Y758" s="1827"/>
      <c r="Z758" s="1827"/>
      <c r="AA758" s="1827"/>
      <c r="AB758" s="1827"/>
      <c r="AC758" s="1827"/>
      <c r="AD758" s="1827"/>
      <c r="AE758" s="1827"/>
      <c r="AF758" s="1827"/>
      <c r="AG758" s="1827"/>
      <c r="AH758" s="1827"/>
      <c r="AI758" s="1827"/>
      <c r="AJ758" s="1827"/>
      <c r="AK758" s="1827"/>
      <c r="AL758" s="1827"/>
      <c r="AM758" s="1827"/>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14" t="s">
        <v>592</v>
      </c>
      <c r="AE759" s="1614"/>
      <c r="AF759" s="1614"/>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5" t="s">
        <v>2091</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5" t="s">
        <v>2092</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624" t="s">
        <v>389</v>
      </c>
      <c r="K769" s="1504"/>
      <c r="L769" s="1504"/>
      <c r="M769" s="1504"/>
      <c r="N769" s="1505"/>
      <c r="O769" s="1622" t="s">
        <v>285</v>
      </c>
      <c r="P769" s="1622"/>
      <c r="Q769" s="1622"/>
      <c r="R769" s="1622"/>
      <c r="S769" s="1622"/>
      <c r="T769" s="1512" t="s">
        <v>1679</v>
      </c>
      <c r="U769" s="1513"/>
      <c r="V769" s="1513"/>
      <c r="W769" s="1514"/>
      <c r="X769" s="1624" t="s">
        <v>448</v>
      </c>
      <c r="Y769" s="1504"/>
      <c r="Z769" s="1504"/>
      <c r="AA769" s="1504"/>
      <c r="AB769" s="1505"/>
      <c r="AC769" s="1624" t="s">
        <v>286</v>
      </c>
      <c r="AD769" s="1504"/>
      <c r="AE769" s="1504"/>
      <c r="AF769" s="1504"/>
      <c r="AG769" s="150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506"/>
      <c r="K770" s="1507"/>
      <c r="L770" s="1507"/>
      <c r="M770" s="1507"/>
      <c r="N770" s="1508"/>
      <c r="O770" s="1622"/>
      <c r="P770" s="1622"/>
      <c r="Q770" s="1622"/>
      <c r="R770" s="1622"/>
      <c r="S770" s="1622"/>
      <c r="T770" s="1515"/>
      <c r="U770" s="1516"/>
      <c r="V770" s="1516"/>
      <c r="W770" s="1517"/>
      <c r="X770" s="1506"/>
      <c r="Y770" s="1507"/>
      <c r="Z770" s="1507"/>
      <c r="AA770" s="1507"/>
      <c r="AB770" s="1508"/>
      <c r="AC770" s="1506"/>
      <c r="AD770" s="1507"/>
      <c r="AE770" s="1507"/>
      <c r="AF770" s="1507"/>
      <c r="AG770" s="150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506"/>
      <c r="K771" s="1507"/>
      <c r="L771" s="1507"/>
      <c r="M771" s="1507"/>
      <c r="N771" s="1508"/>
      <c r="O771" s="1622"/>
      <c r="P771" s="1622"/>
      <c r="Q771" s="1622"/>
      <c r="R771" s="1622"/>
      <c r="S771" s="1622"/>
      <c r="T771" s="1515"/>
      <c r="U771" s="1516"/>
      <c r="V771" s="1516"/>
      <c r="W771" s="1517"/>
      <c r="X771" s="1506"/>
      <c r="Y771" s="1507"/>
      <c r="Z771" s="1507"/>
      <c r="AA771" s="1507"/>
      <c r="AB771" s="1508"/>
      <c r="AC771" s="1506"/>
      <c r="AD771" s="1507"/>
      <c r="AE771" s="1507"/>
      <c r="AF771" s="1507"/>
      <c r="AG771" s="150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9"/>
      <c r="K772" s="1510"/>
      <c r="L772" s="1510"/>
      <c r="M772" s="1510"/>
      <c r="N772" s="1511"/>
      <c r="O772" s="1622"/>
      <c r="P772" s="1622"/>
      <c r="Q772" s="1622"/>
      <c r="R772" s="1622"/>
      <c r="S772" s="1622"/>
      <c r="T772" s="1625"/>
      <c r="U772" s="1626"/>
      <c r="V772" s="1626"/>
      <c r="W772" s="1627"/>
      <c r="X772" s="1509"/>
      <c r="Y772" s="1510"/>
      <c r="Z772" s="1510"/>
      <c r="AA772" s="1510"/>
      <c r="AB772" s="1511"/>
      <c r="AC772" s="1509"/>
      <c r="AD772" s="1510"/>
      <c r="AE772" s="1510"/>
      <c r="AF772" s="1510"/>
      <c r="AG772" s="151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2" t="s">
        <v>163</v>
      </c>
      <c r="K773" s="1353"/>
      <c r="L773" s="1353"/>
      <c r="M773" s="1353"/>
      <c r="N773" s="1354"/>
      <c r="O773" s="1525">
        <v>2</v>
      </c>
      <c r="P773" s="1525"/>
      <c r="Q773" s="1525"/>
      <c r="R773" s="1525"/>
      <c r="S773" s="1525"/>
      <c r="T773" s="1606">
        <v>642</v>
      </c>
      <c r="U773" s="1607"/>
      <c r="V773" s="1607"/>
      <c r="W773" s="1608"/>
      <c r="X773" s="1405">
        <v>1816</v>
      </c>
      <c r="Y773" s="1406"/>
      <c r="Z773" s="1406"/>
      <c r="AA773" s="1406"/>
      <c r="AB773" s="1407"/>
      <c r="AC773" s="1355">
        <f>X773*O773</f>
        <v>3632</v>
      </c>
      <c r="AD773" s="1356"/>
      <c r="AE773" s="1356"/>
      <c r="AF773" s="1356"/>
      <c r="AG773" s="1357"/>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1">
        <f>IF(J773="SRO/Studio",O773,0)</f>
        <v>0</v>
      </c>
      <c r="CQ773" s="1332"/>
      <c r="CR773" s="1332"/>
      <c r="CS773" s="1332"/>
      <c r="CT773" s="1333"/>
      <c r="CU773" s="1351">
        <f>IF(J773="1 Bedroom",O773,0)</f>
        <v>0</v>
      </c>
      <c r="CV773" s="1351"/>
      <c r="CW773" s="1351"/>
      <c r="CX773" s="1351"/>
      <c r="CY773" s="1351"/>
      <c r="CZ773" s="1351">
        <f>IF(J773="2 Bedrooms",O773,0)</f>
        <v>2</v>
      </c>
      <c r="DA773" s="1351"/>
      <c r="DB773" s="1351"/>
      <c r="DC773" s="1351"/>
      <c r="DD773" s="1351"/>
      <c r="DE773" s="1351">
        <f>IF(J773="3 Bedrooms",O773,0)</f>
        <v>0</v>
      </c>
      <c r="DF773" s="1351"/>
      <c r="DG773" s="1351"/>
      <c r="DH773" s="1351"/>
      <c r="DI773" s="1351"/>
      <c r="DJ773" s="1351">
        <f>IF(J773="4 Bedrooms",O773,0)</f>
        <v>0</v>
      </c>
      <c r="DK773" s="1351"/>
      <c r="DL773" s="1351"/>
      <c r="DM773" s="1351"/>
      <c r="DN773" s="1351"/>
      <c r="DO773" s="1351">
        <f>IF(J773="5 Bedrooms",O773,0)</f>
        <v>0</v>
      </c>
      <c r="DP773" s="1351"/>
      <c r="DQ773" s="1351"/>
      <c r="DR773" s="1351"/>
      <c r="DS773" s="1351"/>
      <c r="DT773" s="6"/>
      <c r="DU773" s="3"/>
      <c r="DV773" s="3"/>
    </row>
    <row r="774" spans="1:126" ht="13" customHeight="1">
      <c r="J774" s="1352"/>
      <c r="K774" s="1353"/>
      <c r="L774" s="1353"/>
      <c r="M774" s="1353"/>
      <c r="N774" s="1354"/>
      <c r="O774" s="1525"/>
      <c r="P774" s="1525"/>
      <c r="Q774" s="1525"/>
      <c r="R774" s="1525"/>
      <c r="S774" s="1525"/>
      <c r="T774" s="1606"/>
      <c r="U774" s="1607"/>
      <c r="V774" s="1607"/>
      <c r="W774" s="1608"/>
      <c r="X774" s="1405"/>
      <c r="Y774" s="1406"/>
      <c r="Z774" s="1406"/>
      <c r="AA774" s="1406"/>
      <c r="AB774" s="1407"/>
      <c r="AC774" s="1355">
        <f>X774*O774</f>
        <v>0</v>
      </c>
      <c r="AD774" s="1356"/>
      <c r="AE774" s="1356"/>
      <c r="AF774" s="1356"/>
      <c r="AG774" s="1357"/>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1">
        <f>IF(J774="SRO/Studio",O774,0)</f>
        <v>0</v>
      </c>
      <c r="CQ774" s="1332"/>
      <c r="CR774" s="1332"/>
      <c r="CS774" s="1332"/>
      <c r="CT774" s="1333"/>
      <c r="CU774" s="1351">
        <f>IF(J774="1 Bedroom",O774,0)</f>
        <v>0</v>
      </c>
      <c r="CV774" s="1351"/>
      <c r="CW774" s="1351"/>
      <c r="CX774" s="1351"/>
      <c r="CY774" s="1351"/>
      <c r="CZ774" s="1351">
        <f>IF(J774="2 Bedrooms",O774,0)</f>
        <v>0</v>
      </c>
      <c r="DA774" s="1351"/>
      <c r="DB774" s="1351"/>
      <c r="DC774" s="1351"/>
      <c r="DD774" s="1351"/>
      <c r="DE774" s="1351">
        <f>IF(J774="3 Bedrooms",O774,0)</f>
        <v>0</v>
      </c>
      <c r="DF774" s="1351"/>
      <c r="DG774" s="1351"/>
      <c r="DH774" s="1351"/>
      <c r="DI774" s="1351"/>
      <c r="DJ774" s="1351">
        <f>IF(J774="4 Bedrooms",O774,0)</f>
        <v>0</v>
      </c>
      <c r="DK774" s="1351"/>
      <c r="DL774" s="1351"/>
      <c r="DM774" s="1351"/>
      <c r="DN774" s="1351"/>
      <c r="DO774" s="1351">
        <f>IF(J774="5 Bedrooms",O774,0)</f>
        <v>0</v>
      </c>
      <c r="DP774" s="1351"/>
      <c r="DQ774" s="1351"/>
      <c r="DR774" s="1351"/>
      <c r="DS774" s="1351"/>
      <c r="DT774" s="6"/>
      <c r="DU774" s="3"/>
      <c r="DV774" s="3"/>
    </row>
    <row r="775" spans="1:126" ht="13" customHeight="1">
      <c r="J775" s="1352"/>
      <c r="K775" s="1353"/>
      <c r="L775" s="1353"/>
      <c r="M775" s="1353"/>
      <c r="N775" s="1354"/>
      <c r="O775" s="1525"/>
      <c r="P775" s="1525"/>
      <c r="Q775" s="1525"/>
      <c r="R775" s="1525"/>
      <c r="S775" s="1525"/>
      <c r="T775" s="1606"/>
      <c r="U775" s="1607"/>
      <c r="V775" s="1607"/>
      <c r="W775" s="1608"/>
      <c r="X775" s="1405"/>
      <c r="Y775" s="1406"/>
      <c r="Z775" s="1406"/>
      <c r="AA775" s="1406"/>
      <c r="AB775" s="1407"/>
      <c r="AC775" s="1355">
        <f>X775*O775</f>
        <v>0</v>
      </c>
      <c r="AD775" s="1356"/>
      <c r="AE775" s="1356"/>
      <c r="AF775" s="1356"/>
      <c r="AG775" s="1357"/>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1">
        <f>IF(J775="SRO/Studio",O775,0)</f>
        <v>0</v>
      </c>
      <c r="CQ775" s="1332"/>
      <c r="CR775" s="1332"/>
      <c r="CS775" s="1332"/>
      <c r="CT775" s="1333"/>
      <c r="CU775" s="1351">
        <f>IF(J775="1 Bedroom",O775,0)</f>
        <v>0</v>
      </c>
      <c r="CV775" s="1351"/>
      <c r="CW775" s="1351"/>
      <c r="CX775" s="1351"/>
      <c r="CY775" s="1351"/>
      <c r="CZ775" s="1351">
        <f>IF(J775="2 Bedrooms",O775,0)</f>
        <v>0</v>
      </c>
      <c r="DA775" s="1351"/>
      <c r="DB775" s="1351"/>
      <c r="DC775" s="1351"/>
      <c r="DD775" s="1351"/>
      <c r="DE775" s="1351">
        <f>IF(J775="3 Bedrooms",O775,0)</f>
        <v>0</v>
      </c>
      <c r="DF775" s="1351"/>
      <c r="DG775" s="1351"/>
      <c r="DH775" s="1351"/>
      <c r="DI775" s="1351"/>
      <c r="DJ775" s="1351">
        <f>IF(J775="4 Bedrooms",O775,0)</f>
        <v>0</v>
      </c>
      <c r="DK775" s="1351"/>
      <c r="DL775" s="1351"/>
      <c r="DM775" s="1351"/>
      <c r="DN775" s="1351"/>
      <c r="DO775" s="1351">
        <f>IF(J775="5 Bedrooms",O775,0)</f>
        <v>0</v>
      </c>
      <c r="DP775" s="1351"/>
      <c r="DQ775" s="1351"/>
      <c r="DR775" s="1351"/>
      <c r="DS775" s="1351"/>
      <c r="DT775" s="1013"/>
    </row>
    <row r="776" spans="1:126" ht="13" customHeight="1">
      <c r="J776" s="1352"/>
      <c r="K776" s="1353"/>
      <c r="L776" s="1353"/>
      <c r="M776" s="1353"/>
      <c r="N776" s="1354"/>
      <c r="O776" s="1525"/>
      <c r="P776" s="1525"/>
      <c r="Q776" s="1525"/>
      <c r="R776" s="1525"/>
      <c r="S776" s="1525"/>
      <c r="T776" s="1606"/>
      <c r="U776" s="1607"/>
      <c r="V776" s="1607"/>
      <c r="W776" s="1608"/>
      <c r="X776" s="1405"/>
      <c r="Y776" s="1406"/>
      <c r="Z776" s="1406"/>
      <c r="AA776" s="1406"/>
      <c r="AB776" s="1407"/>
      <c r="AC776" s="1355">
        <f>X776*O776</f>
        <v>0</v>
      </c>
      <c r="AD776" s="1356"/>
      <c r="AE776" s="1356"/>
      <c r="AF776" s="1356"/>
      <c r="AG776" s="1357"/>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1">
        <f>IF(J776="SRO/Studio",O776,0)</f>
        <v>0</v>
      </c>
      <c r="CQ776" s="1332"/>
      <c r="CR776" s="1332"/>
      <c r="CS776" s="1332"/>
      <c r="CT776" s="1333"/>
      <c r="CU776" s="1351">
        <f>IF(J776="1 Bedroom",O776,0)</f>
        <v>0</v>
      </c>
      <c r="CV776" s="1351"/>
      <c r="CW776" s="1351"/>
      <c r="CX776" s="1351"/>
      <c r="CY776" s="1351"/>
      <c r="CZ776" s="1351">
        <f>IF(J776="2 Bedrooms",O776,0)</f>
        <v>0</v>
      </c>
      <c r="DA776" s="1351"/>
      <c r="DB776" s="1351"/>
      <c r="DC776" s="1351"/>
      <c r="DD776" s="1351"/>
      <c r="DE776" s="1351">
        <f>IF(J776="3 Bedrooms",O776,0)</f>
        <v>0</v>
      </c>
      <c r="DF776" s="1351"/>
      <c r="DG776" s="1351"/>
      <c r="DH776" s="1351"/>
      <c r="DI776" s="1351"/>
      <c r="DJ776" s="1351">
        <f>IF(J776="4 Bedrooms",O776,0)</f>
        <v>0</v>
      </c>
      <c r="DK776" s="1351"/>
      <c r="DL776" s="1351"/>
      <c r="DM776" s="1351"/>
      <c r="DN776" s="1351"/>
      <c r="DO776" s="1351">
        <f>IF(J776="5 Bedrooms",O776,0)</f>
        <v>0</v>
      </c>
      <c r="DP776" s="1351"/>
      <c r="DQ776" s="1351"/>
      <c r="DR776" s="1351"/>
      <c r="DS776" s="1351"/>
    </row>
    <row r="777" spans="1:126" ht="13" customHeight="1">
      <c r="J777" s="1425" t="s">
        <v>125</v>
      </c>
      <c r="K777" s="1426"/>
      <c r="L777" s="1426"/>
      <c r="M777" s="1426"/>
      <c r="N777" s="1428"/>
      <c r="O777" s="1334">
        <f>SUM(O773:S776)</f>
        <v>2</v>
      </c>
      <c r="P777" s="1335"/>
      <c r="Q777" s="1335"/>
      <c r="R777" s="1335"/>
      <c r="S777" s="1336"/>
      <c r="X777" s="1425" t="s">
        <v>124</v>
      </c>
      <c r="Y777" s="1426"/>
      <c r="Z777" s="1426"/>
      <c r="AA777" s="1426"/>
      <c r="AB777" s="1428"/>
      <c r="AC777" s="1355">
        <f>SUM(AC773:AG776)</f>
        <v>3632</v>
      </c>
      <c r="AD777" s="1356"/>
      <c r="AE777" s="1356"/>
      <c r="AF777" s="1356"/>
      <c r="AG777" s="1357"/>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4">
        <f>SUM(CP773:CT776)</f>
        <v>0</v>
      </c>
      <c r="CQ777" s="1335"/>
      <c r="CR777" s="1335"/>
      <c r="CS777" s="1335"/>
      <c r="CT777" s="1336"/>
      <c r="CU777" s="1337">
        <f>SUM(CU773:CY776)</f>
        <v>0</v>
      </c>
      <c r="CV777" s="1338"/>
      <c r="CW777" s="1338"/>
      <c r="CX777" s="1338"/>
      <c r="CY777" s="1339"/>
      <c r="CZ777" s="1337">
        <f>SUM(CZ773:DD776)</f>
        <v>2</v>
      </c>
      <c r="DA777" s="1338"/>
      <c r="DB777" s="1338"/>
      <c r="DC777" s="1338"/>
      <c r="DD777" s="1339"/>
      <c r="DE777" s="1337">
        <f>SUM(DE773:DI776)</f>
        <v>0</v>
      </c>
      <c r="DF777" s="1338"/>
      <c r="DG777" s="1338"/>
      <c r="DH777" s="1338"/>
      <c r="DI777" s="1339"/>
      <c r="DJ777" s="1337">
        <f>SUM(DJ773:DN776)</f>
        <v>0</v>
      </c>
      <c r="DK777" s="1338"/>
      <c r="DL777" s="1338"/>
      <c r="DM777" s="1338"/>
      <c r="DN777" s="1339"/>
      <c r="DO777" s="1337">
        <f>SUM(DO773:DS776)</f>
        <v>0</v>
      </c>
      <c r="DP777" s="1338"/>
      <c r="DQ777" s="1338"/>
      <c r="DR777" s="1338"/>
      <c r="DS777" s="1339"/>
      <c r="DU777" s="862">
        <f>CP777+CU777+CZ777+DE777+DJ777+DO777</f>
        <v>2</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4</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4</v>
      </c>
      <c r="DV778" s="57" t="s">
        <v>1862</v>
      </c>
    </row>
    <row r="779" spans="1:126" ht="13" customHeight="1">
      <c r="B779" s="56"/>
      <c r="C779" s="56"/>
      <c r="D779" s="56"/>
      <c r="E779" s="56"/>
      <c r="F779" s="56"/>
      <c r="G779" s="6"/>
      <c r="H779" s="6"/>
      <c r="I779" s="6"/>
      <c r="J779" s="1371" t="s">
        <v>670</v>
      </c>
      <c r="K779" s="1371"/>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624" t="s">
        <v>389</v>
      </c>
      <c r="K783" s="1504"/>
      <c r="L783" s="1504"/>
      <c r="M783" s="1504"/>
      <c r="N783" s="1505"/>
      <c r="O783" s="1622" t="s">
        <v>285</v>
      </c>
      <c r="P783" s="1622"/>
      <c r="Q783" s="1622"/>
      <c r="R783" s="1622"/>
      <c r="S783" s="1622"/>
      <c r="T783" s="1512" t="s">
        <v>1679</v>
      </c>
      <c r="U783" s="1513"/>
      <c r="V783" s="1513"/>
      <c r="W783" s="1514"/>
      <c r="X783" s="1624" t="s">
        <v>448</v>
      </c>
      <c r="Y783" s="1504"/>
      <c r="Z783" s="1504"/>
      <c r="AA783" s="1504"/>
      <c r="AB783" s="1505"/>
      <c r="AC783" s="1624" t="s">
        <v>286</v>
      </c>
      <c r="AD783" s="1504"/>
      <c r="AE783" s="1504"/>
      <c r="AF783" s="1504"/>
      <c r="AG783" s="150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506"/>
      <c r="K784" s="1507"/>
      <c r="L784" s="1507"/>
      <c r="M784" s="1507"/>
      <c r="N784" s="1508"/>
      <c r="O784" s="1622"/>
      <c r="P784" s="1622"/>
      <c r="Q784" s="1622"/>
      <c r="R784" s="1622"/>
      <c r="S784" s="1622"/>
      <c r="T784" s="1515"/>
      <c r="U784" s="1516"/>
      <c r="V784" s="1516"/>
      <c r="W784" s="1517"/>
      <c r="X784" s="1506"/>
      <c r="Y784" s="1507"/>
      <c r="Z784" s="1507"/>
      <c r="AA784" s="1507"/>
      <c r="AB784" s="1508"/>
      <c r="AC784" s="1506"/>
      <c r="AD784" s="1507"/>
      <c r="AE784" s="1507"/>
      <c r="AF784" s="1507"/>
      <c r="AG784" s="150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506"/>
      <c r="K785" s="1507"/>
      <c r="L785" s="1507"/>
      <c r="M785" s="1507"/>
      <c r="N785" s="1508"/>
      <c r="O785" s="1622"/>
      <c r="P785" s="1622"/>
      <c r="Q785" s="1622"/>
      <c r="R785" s="1622"/>
      <c r="S785" s="1622"/>
      <c r="T785" s="1515"/>
      <c r="U785" s="1516"/>
      <c r="V785" s="1516"/>
      <c r="W785" s="1517"/>
      <c r="X785" s="1506"/>
      <c r="Y785" s="1507"/>
      <c r="Z785" s="1507"/>
      <c r="AA785" s="1507"/>
      <c r="AB785" s="1508"/>
      <c r="AC785" s="1506"/>
      <c r="AD785" s="1507"/>
      <c r="AE785" s="1507"/>
      <c r="AF785" s="1507"/>
      <c r="AG785" s="150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9"/>
      <c r="K786" s="1510"/>
      <c r="L786" s="1510"/>
      <c r="M786" s="1510"/>
      <c r="N786" s="1511"/>
      <c r="O786" s="1622"/>
      <c r="P786" s="1622"/>
      <c r="Q786" s="1622"/>
      <c r="R786" s="1622"/>
      <c r="S786" s="1622"/>
      <c r="T786" s="1625"/>
      <c r="U786" s="1626"/>
      <c r="V786" s="1626"/>
      <c r="W786" s="1627"/>
      <c r="X786" s="1509"/>
      <c r="Y786" s="1510"/>
      <c r="Z786" s="1510"/>
      <c r="AA786" s="1510"/>
      <c r="AB786" s="1511"/>
      <c r="AC786" s="1509"/>
      <c r="AD786" s="1510"/>
      <c r="AE786" s="1510"/>
      <c r="AF786" s="1510"/>
      <c r="AG786" s="151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52"/>
      <c r="K787" s="1353"/>
      <c r="L787" s="1353"/>
      <c r="M787" s="1353"/>
      <c r="N787" s="1354"/>
      <c r="O787" s="1525"/>
      <c r="P787" s="1525"/>
      <c r="Q787" s="1525"/>
      <c r="R787" s="1525"/>
      <c r="S787" s="1525"/>
      <c r="T787" s="1606"/>
      <c r="U787" s="1607"/>
      <c r="V787" s="1607"/>
      <c r="W787" s="1608"/>
      <c r="X787" s="1405"/>
      <c r="Y787" s="1406"/>
      <c r="Z787" s="1406"/>
      <c r="AA787" s="1406"/>
      <c r="AB787" s="1407"/>
      <c r="AC787" s="1355">
        <f t="shared" ref="AC787:AC796" si="39">X787*O787</f>
        <v>0</v>
      </c>
      <c r="AD787" s="1356"/>
      <c r="AE787" s="1356"/>
      <c r="AF787" s="1356"/>
      <c r="AG787" s="13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1">
        <f t="shared" ref="CP787:CP796" si="40">IF(J787="SRO/Studio",O787,0)</f>
        <v>0</v>
      </c>
      <c r="CQ787" s="1332"/>
      <c r="CR787" s="1332"/>
      <c r="CS787" s="1332"/>
      <c r="CT787" s="1333"/>
      <c r="CU787" s="1331">
        <f t="shared" ref="CU787:CU796" si="41">IF(J787="1 Bedroom",O787,0)</f>
        <v>0</v>
      </c>
      <c r="CV787" s="1332"/>
      <c r="CW787" s="1332"/>
      <c r="CX787" s="1332"/>
      <c r="CY787" s="1333"/>
      <c r="CZ787" s="1331">
        <f t="shared" ref="CZ787:CZ796" si="42">IF(J787="2 Bedrooms",O787,0)</f>
        <v>0</v>
      </c>
      <c r="DA787" s="1332"/>
      <c r="DB787" s="1332"/>
      <c r="DC787" s="1332"/>
      <c r="DD787" s="1333"/>
      <c r="DE787" s="1331">
        <f t="shared" ref="DE787:DE796" si="43">IF(J787="3 Bedrooms",O787,0)</f>
        <v>0</v>
      </c>
      <c r="DF787" s="1332"/>
      <c r="DG787" s="1332"/>
      <c r="DH787" s="1332"/>
      <c r="DI787" s="1333"/>
      <c r="DJ787" s="1331">
        <f t="shared" ref="DJ787:DJ796" si="44">IF(J787="4 Bedrooms",O787,0)</f>
        <v>0</v>
      </c>
      <c r="DK787" s="1332"/>
      <c r="DL787" s="1332"/>
      <c r="DM787" s="1332"/>
      <c r="DN787" s="1333"/>
      <c r="DO787" s="1331">
        <f t="shared" ref="DO787:DO796" si="45">IF(J787="5 Bedrooms",O787,0)</f>
        <v>0</v>
      </c>
      <c r="DP787" s="1332"/>
      <c r="DQ787" s="1332"/>
      <c r="DR787" s="1332"/>
      <c r="DS787" s="1333"/>
      <c r="DT787" s="6"/>
      <c r="DU787" s="1331">
        <f t="shared" ref="DU787:DU796" si="46">IF(AND(CP787&gt;=1,AH787&gt;=0.1,AH787&lt;=1),O787,0)</f>
        <v>0</v>
      </c>
      <c r="DV787" s="1332"/>
      <c r="DW787" s="1332"/>
      <c r="DX787" s="1332"/>
      <c r="DY787" s="1333"/>
      <c r="DZ787" s="1331">
        <f t="shared" ref="DZ787:DZ796" si="47">IF(AND(CU787&gt;=1,AH787&gt;=0.1,AH787&lt;=1),O787,0)</f>
        <v>0</v>
      </c>
      <c r="EA787" s="1332"/>
      <c r="EB787" s="1332"/>
      <c r="EC787" s="1332"/>
      <c r="ED787" s="1333"/>
      <c r="EE787" s="1331">
        <f t="shared" ref="EE787:EE796" si="48">IF(AND(CZ787&gt;=1,AH787&gt;=0.1,AH787&lt;=1),O787,0)</f>
        <v>0</v>
      </c>
      <c r="EF787" s="1332"/>
      <c r="EG787" s="1332"/>
      <c r="EH787" s="1332"/>
      <c r="EI787" s="1333"/>
      <c r="EJ787" s="1331">
        <f t="shared" ref="EJ787:EJ796" si="49">IF(AND(DE787&gt;=1,AH787&gt;=0.1,AH787&lt;=1),O787,0)</f>
        <v>0</v>
      </c>
      <c r="EK787" s="1332"/>
      <c r="EL787" s="1332"/>
      <c r="EM787" s="1332"/>
      <c r="EN787" s="1333"/>
      <c r="EO787" s="1331">
        <f t="shared" ref="EO787:EO796" si="50">IF(AND(DJ787&gt;=1,AH787&gt;=0.1,AH787&lt;=1),O787,0)</f>
        <v>0</v>
      </c>
      <c r="EP787" s="1332"/>
      <c r="EQ787" s="1332"/>
      <c r="ER787" s="1332"/>
      <c r="ES787" s="1333"/>
      <c r="ET787" s="1331">
        <f t="shared" ref="ET787:ET796" si="51">IF(AND(DO787&gt;=1,AH787&gt;=0.1,AH787&lt;=1),O787,0)</f>
        <v>0</v>
      </c>
      <c r="EU787" s="1332"/>
      <c r="EV787" s="1332"/>
      <c r="EW787" s="1332"/>
      <c r="EX787" s="1333"/>
    </row>
    <row r="788" spans="1:154" s="14" customFormat="1" ht="13" customHeight="1">
      <c r="A788"/>
      <c r="B788"/>
      <c r="C788"/>
      <c r="D788"/>
      <c r="E788"/>
      <c r="F788"/>
      <c r="G788"/>
      <c r="H788"/>
      <c r="I788"/>
      <c r="J788" s="1352"/>
      <c r="K788" s="1353"/>
      <c r="L788" s="1353"/>
      <c r="M788" s="1353"/>
      <c r="N788" s="1354"/>
      <c r="O788" s="1525"/>
      <c r="P788" s="1525"/>
      <c r="Q788" s="1525"/>
      <c r="R788" s="1525"/>
      <c r="S788" s="1525"/>
      <c r="T788" s="1606"/>
      <c r="U788" s="1607"/>
      <c r="V788" s="1607"/>
      <c r="W788" s="1608"/>
      <c r="X788" s="1405"/>
      <c r="Y788" s="1406"/>
      <c r="Z788" s="1406"/>
      <c r="AA788" s="1406"/>
      <c r="AB788" s="1407"/>
      <c r="AC788" s="1355">
        <f t="shared" si="39"/>
        <v>0</v>
      </c>
      <c r="AD788" s="1356"/>
      <c r="AE788" s="1356"/>
      <c r="AF788" s="1356"/>
      <c r="AG788" s="135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1">
        <f t="shared" si="40"/>
        <v>0</v>
      </c>
      <c r="CQ788" s="1332"/>
      <c r="CR788" s="1332"/>
      <c r="CS788" s="1332"/>
      <c r="CT788" s="1333"/>
      <c r="CU788" s="1331">
        <f t="shared" si="41"/>
        <v>0</v>
      </c>
      <c r="CV788" s="1332"/>
      <c r="CW788" s="1332"/>
      <c r="CX788" s="1332"/>
      <c r="CY788" s="1333"/>
      <c r="CZ788" s="1331">
        <f t="shared" si="42"/>
        <v>0</v>
      </c>
      <c r="DA788" s="1332"/>
      <c r="DB788" s="1332"/>
      <c r="DC788" s="1332"/>
      <c r="DD788" s="1333"/>
      <c r="DE788" s="1331">
        <f t="shared" si="43"/>
        <v>0</v>
      </c>
      <c r="DF788" s="1332"/>
      <c r="DG788" s="1332"/>
      <c r="DH788" s="1332"/>
      <c r="DI788" s="1333"/>
      <c r="DJ788" s="1331">
        <f t="shared" si="44"/>
        <v>0</v>
      </c>
      <c r="DK788" s="1332"/>
      <c r="DL788" s="1332"/>
      <c r="DM788" s="1332"/>
      <c r="DN788" s="1333"/>
      <c r="DO788" s="1331">
        <f t="shared" si="45"/>
        <v>0</v>
      </c>
      <c r="DP788" s="1332"/>
      <c r="DQ788" s="1332"/>
      <c r="DR788" s="1332"/>
      <c r="DS788" s="1333"/>
      <c r="DT788" s="6"/>
      <c r="DU788" s="1331">
        <f t="shared" si="46"/>
        <v>0</v>
      </c>
      <c r="DV788" s="1332"/>
      <c r="DW788" s="1332"/>
      <c r="DX788" s="1332"/>
      <c r="DY788" s="1333"/>
      <c r="DZ788" s="1331">
        <f t="shared" si="47"/>
        <v>0</v>
      </c>
      <c r="EA788" s="1332"/>
      <c r="EB788" s="1332"/>
      <c r="EC788" s="1332"/>
      <c r="ED788" s="1333"/>
      <c r="EE788" s="1331">
        <f t="shared" si="48"/>
        <v>0</v>
      </c>
      <c r="EF788" s="1332"/>
      <c r="EG788" s="1332"/>
      <c r="EH788" s="1332"/>
      <c r="EI788" s="1333"/>
      <c r="EJ788" s="1331">
        <f t="shared" si="49"/>
        <v>0</v>
      </c>
      <c r="EK788" s="1332"/>
      <c r="EL788" s="1332"/>
      <c r="EM788" s="1332"/>
      <c r="EN788" s="1333"/>
      <c r="EO788" s="1331">
        <f t="shared" si="50"/>
        <v>0</v>
      </c>
      <c r="EP788" s="1332"/>
      <c r="EQ788" s="1332"/>
      <c r="ER788" s="1332"/>
      <c r="ES788" s="1333"/>
      <c r="ET788" s="1331">
        <f t="shared" si="51"/>
        <v>0</v>
      </c>
      <c r="EU788" s="1332"/>
      <c r="EV788" s="1332"/>
      <c r="EW788" s="1332"/>
      <c r="EX788" s="1333"/>
    </row>
    <row r="789" spans="1:154" s="14" customFormat="1" ht="13" customHeight="1">
      <c r="A789"/>
      <c r="B789"/>
      <c r="C789"/>
      <c r="D789"/>
      <c r="E789"/>
      <c r="F789"/>
      <c r="G789"/>
      <c r="H789"/>
      <c r="I789"/>
      <c r="J789" s="1352"/>
      <c r="K789" s="1353"/>
      <c r="L789" s="1353"/>
      <c r="M789" s="1353"/>
      <c r="N789" s="1354"/>
      <c r="O789" s="1525"/>
      <c r="P789" s="1525"/>
      <c r="Q789" s="1525"/>
      <c r="R789" s="1525"/>
      <c r="S789" s="1525"/>
      <c r="T789" s="1606"/>
      <c r="U789" s="1607"/>
      <c r="V789" s="1607"/>
      <c r="W789" s="1608"/>
      <c r="X789" s="1405"/>
      <c r="Y789" s="1406"/>
      <c r="Z789" s="1406"/>
      <c r="AA789" s="1406"/>
      <c r="AB789" s="1407"/>
      <c r="AC789" s="1355">
        <f t="shared" si="39"/>
        <v>0</v>
      </c>
      <c r="AD789" s="1356"/>
      <c r="AE789" s="1356"/>
      <c r="AF789" s="1356"/>
      <c r="AG789" s="135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1">
        <f t="shared" si="40"/>
        <v>0</v>
      </c>
      <c r="CQ789" s="1332"/>
      <c r="CR789" s="1332"/>
      <c r="CS789" s="1332"/>
      <c r="CT789" s="1333"/>
      <c r="CU789" s="1331">
        <f t="shared" si="41"/>
        <v>0</v>
      </c>
      <c r="CV789" s="1332"/>
      <c r="CW789" s="1332"/>
      <c r="CX789" s="1332"/>
      <c r="CY789" s="1333"/>
      <c r="CZ789" s="1331">
        <f t="shared" si="42"/>
        <v>0</v>
      </c>
      <c r="DA789" s="1332"/>
      <c r="DB789" s="1332"/>
      <c r="DC789" s="1332"/>
      <c r="DD789" s="1333"/>
      <c r="DE789" s="1331">
        <f t="shared" si="43"/>
        <v>0</v>
      </c>
      <c r="DF789" s="1332"/>
      <c r="DG789" s="1332"/>
      <c r="DH789" s="1332"/>
      <c r="DI789" s="1333"/>
      <c r="DJ789" s="1331">
        <f t="shared" si="44"/>
        <v>0</v>
      </c>
      <c r="DK789" s="1332"/>
      <c r="DL789" s="1332"/>
      <c r="DM789" s="1332"/>
      <c r="DN789" s="1333"/>
      <c r="DO789" s="1331">
        <f t="shared" si="45"/>
        <v>0</v>
      </c>
      <c r="DP789" s="1332"/>
      <c r="DQ789" s="1332"/>
      <c r="DR789" s="1332"/>
      <c r="DS789" s="1333"/>
      <c r="DT789" s="6"/>
      <c r="DU789" s="1331">
        <f t="shared" si="46"/>
        <v>0</v>
      </c>
      <c r="DV789" s="1332"/>
      <c r="DW789" s="1332"/>
      <c r="DX789" s="1332"/>
      <c r="DY789" s="1333"/>
      <c r="DZ789" s="1331">
        <f t="shared" si="47"/>
        <v>0</v>
      </c>
      <c r="EA789" s="1332"/>
      <c r="EB789" s="1332"/>
      <c r="EC789" s="1332"/>
      <c r="ED789" s="1333"/>
      <c r="EE789" s="1331">
        <f t="shared" si="48"/>
        <v>0</v>
      </c>
      <c r="EF789" s="1332"/>
      <c r="EG789" s="1332"/>
      <c r="EH789" s="1332"/>
      <c r="EI789" s="1333"/>
      <c r="EJ789" s="1331">
        <f t="shared" si="49"/>
        <v>0</v>
      </c>
      <c r="EK789" s="1332"/>
      <c r="EL789" s="1332"/>
      <c r="EM789" s="1332"/>
      <c r="EN789" s="1333"/>
      <c r="EO789" s="1331">
        <f t="shared" si="50"/>
        <v>0</v>
      </c>
      <c r="EP789" s="1332"/>
      <c r="EQ789" s="1332"/>
      <c r="ER789" s="1332"/>
      <c r="ES789" s="1333"/>
      <c r="ET789" s="1331">
        <f t="shared" si="51"/>
        <v>0</v>
      </c>
      <c r="EU789" s="1332"/>
      <c r="EV789" s="1332"/>
      <c r="EW789" s="1332"/>
      <c r="EX789" s="1333"/>
    </row>
    <row r="790" spans="1:154" s="14" customFormat="1" ht="13" customHeight="1">
      <c r="A790"/>
      <c r="B790"/>
      <c r="C790"/>
      <c r="D790"/>
      <c r="E790"/>
      <c r="F790"/>
      <c r="G790"/>
      <c r="H790"/>
      <c r="I790"/>
      <c r="J790" s="1352"/>
      <c r="K790" s="1353"/>
      <c r="L790" s="1353"/>
      <c r="M790" s="1353"/>
      <c r="N790" s="1354"/>
      <c r="O790" s="1525"/>
      <c r="P790" s="1525"/>
      <c r="Q790" s="1525"/>
      <c r="R790" s="1525"/>
      <c r="S790" s="1525"/>
      <c r="T790" s="1606"/>
      <c r="U790" s="1607"/>
      <c r="V790" s="1607"/>
      <c r="W790" s="1608"/>
      <c r="X790" s="1405"/>
      <c r="Y790" s="1406"/>
      <c r="Z790" s="1406"/>
      <c r="AA790" s="1406"/>
      <c r="AB790" s="1407"/>
      <c r="AC790" s="1355">
        <f t="shared" si="39"/>
        <v>0</v>
      </c>
      <c r="AD790" s="1356"/>
      <c r="AE790" s="1356"/>
      <c r="AF790" s="1356"/>
      <c r="AG790" s="135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1">
        <f t="shared" si="40"/>
        <v>0</v>
      </c>
      <c r="CQ790" s="1332"/>
      <c r="CR790" s="1332"/>
      <c r="CS790" s="1332"/>
      <c r="CT790" s="1333"/>
      <c r="CU790" s="1331">
        <f t="shared" si="41"/>
        <v>0</v>
      </c>
      <c r="CV790" s="1332"/>
      <c r="CW790" s="1332"/>
      <c r="CX790" s="1332"/>
      <c r="CY790" s="1333"/>
      <c r="CZ790" s="1331">
        <f t="shared" si="42"/>
        <v>0</v>
      </c>
      <c r="DA790" s="1332"/>
      <c r="DB790" s="1332"/>
      <c r="DC790" s="1332"/>
      <c r="DD790" s="1333"/>
      <c r="DE790" s="1331">
        <f t="shared" si="43"/>
        <v>0</v>
      </c>
      <c r="DF790" s="1332"/>
      <c r="DG790" s="1332"/>
      <c r="DH790" s="1332"/>
      <c r="DI790" s="1333"/>
      <c r="DJ790" s="1331">
        <f t="shared" si="44"/>
        <v>0</v>
      </c>
      <c r="DK790" s="1332"/>
      <c r="DL790" s="1332"/>
      <c r="DM790" s="1332"/>
      <c r="DN790" s="1333"/>
      <c r="DO790" s="1331">
        <f t="shared" si="45"/>
        <v>0</v>
      </c>
      <c r="DP790" s="1332"/>
      <c r="DQ790" s="1332"/>
      <c r="DR790" s="1332"/>
      <c r="DS790" s="1333"/>
      <c r="DT790" s="6"/>
      <c r="DU790" s="1331">
        <f t="shared" si="46"/>
        <v>0</v>
      </c>
      <c r="DV790" s="1332"/>
      <c r="DW790" s="1332"/>
      <c r="DX790" s="1332"/>
      <c r="DY790" s="1333"/>
      <c r="DZ790" s="1331">
        <f t="shared" si="47"/>
        <v>0</v>
      </c>
      <c r="EA790" s="1332"/>
      <c r="EB790" s="1332"/>
      <c r="EC790" s="1332"/>
      <c r="ED790" s="1333"/>
      <c r="EE790" s="1331">
        <f t="shared" si="48"/>
        <v>0</v>
      </c>
      <c r="EF790" s="1332"/>
      <c r="EG790" s="1332"/>
      <c r="EH790" s="1332"/>
      <c r="EI790" s="1333"/>
      <c r="EJ790" s="1331">
        <f t="shared" si="49"/>
        <v>0</v>
      </c>
      <c r="EK790" s="1332"/>
      <c r="EL790" s="1332"/>
      <c r="EM790" s="1332"/>
      <c r="EN790" s="1333"/>
      <c r="EO790" s="1331">
        <f t="shared" si="50"/>
        <v>0</v>
      </c>
      <c r="EP790" s="1332"/>
      <c r="EQ790" s="1332"/>
      <c r="ER790" s="1332"/>
      <c r="ES790" s="1333"/>
      <c r="ET790" s="1331">
        <f t="shared" si="51"/>
        <v>0</v>
      </c>
      <c r="EU790" s="1332"/>
      <c r="EV790" s="1332"/>
      <c r="EW790" s="1332"/>
      <c r="EX790" s="1333"/>
    </row>
    <row r="791" spans="1:154" s="14" customFormat="1" ht="13" customHeight="1">
      <c r="A791"/>
      <c r="B791"/>
      <c r="C791"/>
      <c r="D791"/>
      <c r="E791"/>
      <c r="F791"/>
      <c r="G791"/>
      <c r="H791"/>
      <c r="I791"/>
      <c r="J791" s="1352"/>
      <c r="K791" s="1353"/>
      <c r="L791" s="1353"/>
      <c r="M791" s="1353"/>
      <c r="N791" s="1354"/>
      <c r="O791" s="1525"/>
      <c r="P791" s="1525"/>
      <c r="Q791" s="1525"/>
      <c r="R791" s="1525"/>
      <c r="S791" s="1525"/>
      <c r="T791" s="1606"/>
      <c r="U791" s="1607"/>
      <c r="V791" s="1607"/>
      <c r="W791" s="1608"/>
      <c r="X791" s="1405"/>
      <c r="Y791" s="1406"/>
      <c r="Z791" s="1406"/>
      <c r="AA791" s="1406"/>
      <c r="AB791" s="1407"/>
      <c r="AC791" s="1355">
        <f t="shared" si="39"/>
        <v>0</v>
      </c>
      <c r="AD791" s="1356"/>
      <c r="AE791" s="1356"/>
      <c r="AF791" s="1356"/>
      <c r="AG791" s="135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1">
        <f t="shared" si="40"/>
        <v>0</v>
      </c>
      <c r="CQ791" s="1332"/>
      <c r="CR791" s="1332"/>
      <c r="CS791" s="1332"/>
      <c r="CT791" s="1333"/>
      <c r="CU791" s="1331">
        <f t="shared" si="41"/>
        <v>0</v>
      </c>
      <c r="CV791" s="1332"/>
      <c r="CW791" s="1332"/>
      <c r="CX791" s="1332"/>
      <c r="CY791" s="1333"/>
      <c r="CZ791" s="1331">
        <f t="shared" si="42"/>
        <v>0</v>
      </c>
      <c r="DA791" s="1332"/>
      <c r="DB791" s="1332"/>
      <c r="DC791" s="1332"/>
      <c r="DD791" s="1333"/>
      <c r="DE791" s="1331">
        <f t="shared" si="43"/>
        <v>0</v>
      </c>
      <c r="DF791" s="1332"/>
      <c r="DG791" s="1332"/>
      <c r="DH791" s="1332"/>
      <c r="DI791" s="1333"/>
      <c r="DJ791" s="1331">
        <f t="shared" si="44"/>
        <v>0</v>
      </c>
      <c r="DK791" s="1332"/>
      <c r="DL791" s="1332"/>
      <c r="DM791" s="1332"/>
      <c r="DN791" s="1333"/>
      <c r="DO791" s="1331">
        <f t="shared" si="45"/>
        <v>0</v>
      </c>
      <c r="DP791" s="1332"/>
      <c r="DQ791" s="1332"/>
      <c r="DR791" s="1332"/>
      <c r="DS791" s="1333"/>
      <c r="DT791" s="6"/>
      <c r="DU791" s="1331">
        <f t="shared" si="46"/>
        <v>0</v>
      </c>
      <c r="DV791" s="1332"/>
      <c r="DW791" s="1332"/>
      <c r="DX791" s="1332"/>
      <c r="DY791" s="1333"/>
      <c r="DZ791" s="1331">
        <f t="shared" si="47"/>
        <v>0</v>
      </c>
      <c r="EA791" s="1332"/>
      <c r="EB791" s="1332"/>
      <c r="EC791" s="1332"/>
      <c r="ED791" s="1333"/>
      <c r="EE791" s="1331">
        <f t="shared" si="48"/>
        <v>0</v>
      </c>
      <c r="EF791" s="1332"/>
      <c r="EG791" s="1332"/>
      <c r="EH791" s="1332"/>
      <c r="EI791" s="1333"/>
      <c r="EJ791" s="1331">
        <f t="shared" si="49"/>
        <v>0</v>
      </c>
      <c r="EK791" s="1332"/>
      <c r="EL791" s="1332"/>
      <c r="EM791" s="1332"/>
      <c r="EN791" s="1333"/>
      <c r="EO791" s="1331">
        <f t="shared" si="50"/>
        <v>0</v>
      </c>
      <c r="EP791" s="1332"/>
      <c r="EQ791" s="1332"/>
      <c r="ER791" s="1332"/>
      <c r="ES791" s="1333"/>
      <c r="ET791" s="1331">
        <f t="shared" si="51"/>
        <v>0</v>
      </c>
      <c r="EU791" s="1332"/>
      <c r="EV791" s="1332"/>
      <c r="EW791" s="1332"/>
      <c r="EX791" s="1333"/>
    </row>
    <row r="792" spans="1:154" s="14" customFormat="1" ht="13" customHeight="1">
      <c r="A792"/>
      <c r="B792"/>
      <c r="C792"/>
      <c r="D792"/>
      <c r="E792"/>
      <c r="F792"/>
      <c r="G792"/>
      <c r="H792"/>
      <c r="I792"/>
      <c r="J792" s="1352"/>
      <c r="K792" s="1353"/>
      <c r="L792" s="1353"/>
      <c r="M792" s="1353"/>
      <c r="N792" s="1354"/>
      <c r="O792" s="1525"/>
      <c r="P792" s="1525"/>
      <c r="Q792" s="1525"/>
      <c r="R792" s="1525"/>
      <c r="S792" s="1525"/>
      <c r="T792" s="1606"/>
      <c r="U792" s="1607"/>
      <c r="V792" s="1607"/>
      <c r="W792" s="1608"/>
      <c r="X792" s="1405"/>
      <c r="Y792" s="1406"/>
      <c r="Z792" s="1406"/>
      <c r="AA792" s="1406"/>
      <c r="AB792" s="1407"/>
      <c r="AC792" s="1355">
        <f t="shared" si="39"/>
        <v>0</v>
      </c>
      <c r="AD792" s="1356"/>
      <c r="AE792" s="1356"/>
      <c r="AF792" s="1356"/>
      <c r="AG792" s="135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1">
        <f t="shared" si="40"/>
        <v>0</v>
      </c>
      <c r="CQ792" s="1332"/>
      <c r="CR792" s="1332"/>
      <c r="CS792" s="1332"/>
      <c r="CT792" s="1333"/>
      <c r="CU792" s="1331">
        <f t="shared" si="41"/>
        <v>0</v>
      </c>
      <c r="CV792" s="1332"/>
      <c r="CW792" s="1332"/>
      <c r="CX792" s="1332"/>
      <c r="CY792" s="1333"/>
      <c r="CZ792" s="1331">
        <f t="shared" si="42"/>
        <v>0</v>
      </c>
      <c r="DA792" s="1332"/>
      <c r="DB792" s="1332"/>
      <c r="DC792" s="1332"/>
      <c r="DD792" s="1333"/>
      <c r="DE792" s="1331">
        <f t="shared" si="43"/>
        <v>0</v>
      </c>
      <c r="DF792" s="1332"/>
      <c r="DG792" s="1332"/>
      <c r="DH792" s="1332"/>
      <c r="DI792" s="1333"/>
      <c r="DJ792" s="1331">
        <f t="shared" si="44"/>
        <v>0</v>
      </c>
      <c r="DK792" s="1332"/>
      <c r="DL792" s="1332"/>
      <c r="DM792" s="1332"/>
      <c r="DN792" s="1333"/>
      <c r="DO792" s="1331">
        <f t="shared" si="45"/>
        <v>0</v>
      </c>
      <c r="DP792" s="1332"/>
      <c r="DQ792" s="1332"/>
      <c r="DR792" s="1332"/>
      <c r="DS792" s="1333"/>
      <c r="DT792" s="6"/>
      <c r="DU792" s="1331">
        <f t="shared" si="46"/>
        <v>0</v>
      </c>
      <c r="DV792" s="1332"/>
      <c r="DW792" s="1332"/>
      <c r="DX792" s="1332"/>
      <c r="DY792" s="1333"/>
      <c r="DZ792" s="1331">
        <f t="shared" si="47"/>
        <v>0</v>
      </c>
      <c r="EA792" s="1332"/>
      <c r="EB792" s="1332"/>
      <c r="EC792" s="1332"/>
      <c r="ED792" s="1333"/>
      <c r="EE792" s="1331">
        <f t="shared" si="48"/>
        <v>0</v>
      </c>
      <c r="EF792" s="1332"/>
      <c r="EG792" s="1332"/>
      <c r="EH792" s="1332"/>
      <c r="EI792" s="1333"/>
      <c r="EJ792" s="1331">
        <f t="shared" si="49"/>
        <v>0</v>
      </c>
      <c r="EK792" s="1332"/>
      <c r="EL792" s="1332"/>
      <c r="EM792" s="1332"/>
      <c r="EN792" s="1333"/>
      <c r="EO792" s="1331">
        <f t="shared" si="50"/>
        <v>0</v>
      </c>
      <c r="EP792" s="1332"/>
      <c r="EQ792" s="1332"/>
      <c r="ER792" s="1332"/>
      <c r="ES792" s="1333"/>
      <c r="ET792" s="1331">
        <f t="shared" si="51"/>
        <v>0</v>
      </c>
      <c r="EU792" s="1332"/>
      <c r="EV792" s="1332"/>
      <c r="EW792" s="1332"/>
      <c r="EX792" s="1333"/>
    </row>
    <row r="793" spans="1:154" s="14" customFormat="1" ht="13" customHeight="1">
      <c r="A793"/>
      <c r="B793"/>
      <c r="C793"/>
      <c r="D793"/>
      <c r="E793"/>
      <c r="F793"/>
      <c r="G793"/>
      <c r="H793"/>
      <c r="I793"/>
      <c r="J793" s="1352"/>
      <c r="K793" s="1353"/>
      <c r="L793" s="1353"/>
      <c r="M793" s="1353"/>
      <c r="N793" s="1354"/>
      <c r="O793" s="1525"/>
      <c r="P793" s="1525"/>
      <c r="Q793" s="1525"/>
      <c r="R793" s="1525"/>
      <c r="S793" s="1525"/>
      <c r="T793" s="1606"/>
      <c r="U793" s="1607"/>
      <c r="V793" s="1607"/>
      <c r="W793" s="1608"/>
      <c r="X793" s="1405"/>
      <c r="Y793" s="1406"/>
      <c r="Z793" s="1406"/>
      <c r="AA793" s="1406"/>
      <c r="AB793" s="1407"/>
      <c r="AC793" s="1355">
        <f t="shared" si="39"/>
        <v>0</v>
      </c>
      <c r="AD793" s="1356"/>
      <c r="AE793" s="1356"/>
      <c r="AF793" s="1356"/>
      <c r="AG793" s="135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1">
        <f t="shared" si="40"/>
        <v>0</v>
      </c>
      <c r="CQ793" s="1332"/>
      <c r="CR793" s="1332"/>
      <c r="CS793" s="1332"/>
      <c r="CT793" s="1333"/>
      <c r="CU793" s="1331">
        <f t="shared" si="41"/>
        <v>0</v>
      </c>
      <c r="CV793" s="1332"/>
      <c r="CW793" s="1332"/>
      <c r="CX793" s="1332"/>
      <c r="CY793" s="1333"/>
      <c r="CZ793" s="1331">
        <f t="shared" si="42"/>
        <v>0</v>
      </c>
      <c r="DA793" s="1332"/>
      <c r="DB793" s="1332"/>
      <c r="DC793" s="1332"/>
      <c r="DD793" s="1333"/>
      <c r="DE793" s="1331">
        <f t="shared" si="43"/>
        <v>0</v>
      </c>
      <c r="DF793" s="1332"/>
      <c r="DG793" s="1332"/>
      <c r="DH793" s="1332"/>
      <c r="DI793" s="1333"/>
      <c r="DJ793" s="1331">
        <f t="shared" si="44"/>
        <v>0</v>
      </c>
      <c r="DK793" s="1332"/>
      <c r="DL793" s="1332"/>
      <c r="DM793" s="1332"/>
      <c r="DN793" s="1333"/>
      <c r="DO793" s="1331">
        <f t="shared" si="45"/>
        <v>0</v>
      </c>
      <c r="DP793" s="1332"/>
      <c r="DQ793" s="1332"/>
      <c r="DR793" s="1332"/>
      <c r="DS793" s="1333"/>
      <c r="DT793" s="6"/>
      <c r="DU793" s="1331">
        <f t="shared" si="46"/>
        <v>0</v>
      </c>
      <c r="DV793" s="1332"/>
      <c r="DW793" s="1332"/>
      <c r="DX793" s="1332"/>
      <c r="DY793" s="1333"/>
      <c r="DZ793" s="1331">
        <f t="shared" si="47"/>
        <v>0</v>
      </c>
      <c r="EA793" s="1332"/>
      <c r="EB793" s="1332"/>
      <c r="EC793" s="1332"/>
      <c r="ED793" s="1333"/>
      <c r="EE793" s="1331">
        <f t="shared" si="48"/>
        <v>0</v>
      </c>
      <c r="EF793" s="1332"/>
      <c r="EG793" s="1332"/>
      <c r="EH793" s="1332"/>
      <c r="EI793" s="1333"/>
      <c r="EJ793" s="1331">
        <f t="shared" si="49"/>
        <v>0</v>
      </c>
      <c r="EK793" s="1332"/>
      <c r="EL793" s="1332"/>
      <c r="EM793" s="1332"/>
      <c r="EN793" s="1333"/>
      <c r="EO793" s="1331">
        <f t="shared" si="50"/>
        <v>0</v>
      </c>
      <c r="EP793" s="1332"/>
      <c r="EQ793" s="1332"/>
      <c r="ER793" s="1332"/>
      <c r="ES793" s="1333"/>
      <c r="ET793" s="1331">
        <f t="shared" si="51"/>
        <v>0</v>
      </c>
      <c r="EU793" s="1332"/>
      <c r="EV793" s="1332"/>
      <c r="EW793" s="1332"/>
      <c r="EX793" s="1333"/>
    </row>
    <row r="794" spans="1:154" s="14" customFormat="1" ht="13" customHeight="1">
      <c r="A794"/>
      <c r="B794"/>
      <c r="C794"/>
      <c r="D794"/>
      <c r="E794"/>
      <c r="F794"/>
      <c r="G794"/>
      <c r="H794"/>
      <c r="I794"/>
      <c r="J794" s="1352"/>
      <c r="K794" s="1353"/>
      <c r="L794" s="1353"/>
      <c r="M794" s="1353"/>
      <c r="N794" s="1354"/>
      <c r="O794" s="1525"/>
      <c r="P794" s="1525"/>
      <c r="Q794" s="1525"/>
      <c r="R794" s="1525"/>
      <c r="S794" s="1525"/>
      <c r="T794" s="1606"/>
      <c r="U794" s="1607"/>
      <c r="V794" s="1607"/>
      <c r="W794" s="1608"/>
      <c r="X794" s="1405"/>
      <c r="Y794" s="1406"/>
      <c r="Z794" s="1406"/>
      <c r="AA794" s="1406"/>
      <c r="AB794" s="1407"/>
      <c r="AC794" s="1355">
        <f t="shared" si="39"/>
        <v>0</v>
      </c>
      <c r="AD794" s="1356"/>
      <c r="AE794" s="1356"/>
      <c r="AF794" s="1356"/>
      <c r="AG794" s="135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1">
        <f t="shared" si="40"/>
        <v>0</v>
      </c>
      <c r="CQ794" s="1332"/>
      <c r="CR794" s="1332"/>
      <c r="CS794" s="1332"/>
      <c r="CT794" s="1333"/>
      <c r="CU794" s="1331">
        <f t="shared" si="41"/>
        <v>0</v>
      </c>
      <c r="CV794" s="1332"/>
      <c r="CW794" s="1332"/>
      <c r="CX794" s="1332"/>
      <c r="CY794" s="1333"/>
      <c r="CZ794" s="1331">
        <f t="shared" si="42"/>
        <v>0</v>
      </c>
      <c r="DA794" s="1332"/>
      <c r="DB794" s="1332"/>
      <c r="DC794" s="1332"/>
      <c r="DD794" s="1333"/>
      <c r="DE794" s="1331">
        <f t="shared" si="43"/>
        <v>0</v>
      </c>
      <c r="DF794" s="1332"/>
      <c r="DG794" s="1332"/>
      <c r="DH794" s="1332"/>
      <c r="DI794" s="1333"/>
      <c r="DJ794" s="1331">
        <f t="shared" si="44"/>
        <v>0</v>
      </c>
      <c r="DK794" s="1332"/>
      <c r="DL794" s="1332"/>
      <c r="DM794" s="1332"/>
      <c r="DN794" s="1333"/>
      <c r="DO794" s="1331">
        <f t="shared" si="45"/>
        <v>0</v>
      </c>
      <c r="DP794" s="1332"/>
      <c r="DQ794" s="1332"/>
      <c r="DR794" s="1332"/>
      <c r="DS794" s="1333"/>
      <c r="DT794" s="6"/>
      <c r="DU794" s="1331">
        <f t="shared" si="46"/>
        <v>0</v>
      </c>
      <c r="DV794" s="1332"/>
      <c r="DW794" s="1332"/>
      <c r="DX794" s="1332"/>
      <c r="DY794" s="1333"/>
      <c r="DZ794" s="1331">
        <f t="shared" si="47"/>
        <v>0</v>
      </c>
      <c r="EA794" s="1332"/>
      <c r="EB794" s="1332"/>
      <c r="EC794" s="1332"/>
      <c r="ED794" s="1333"/>
      <c r="EE794" s="1331">
        <f t="shared" si="48"/>
        <v>0</v>
      </c>
      <c r="EF794" s="1332"/>
      <c r="EG794" s="1332"/>
      <c r="EH794" s="1332"/>
      <c r="EI794" s="1333"/>
      <c r="EJ794" s="1331">
        <f t="shared" si="49"/>
        <v>0</v>
      </c>
      <c r="EK794" s="1332"/>
      <c r="EL794" s="1332"/>
      <c r="EM794" s="1332"/>
      <c r="EN794" s="1333"/>
      <c r="EO794" s="1331">
        <f t="shared" si="50"/>
        <v>0</v>
      </c>
      <c r="EP794" s="1332"/>
      <c r="EQ794" s="1332"/>
      <c r="ER794" s="1332"/>
      <c r="ES794" s="1333"/>
      <c r="ET794" s="1331">
        <f t="shared" si="51"/>
        <v>0</v>
      </c>
      <c r="EU794" s="1332"/>
      <c r="EV794" s="1332"/>
      <c r="EW794" s="1332"/>
      <c r="EX794" s="1333"/>
    </row>
    <row r="795" spans="1:154" s="14" customFormat="1" ht="13" customHeight="1">
      <c r="A795"/>
      <c r="B795"/>
      <c r="C795"/>
      <c r="D795"/>
      <c r="E795"/>
      <c r="F795"/>
      <c r="G795"/>
      <c r="H795"/>
      <c r="I795"/>
      <c r="J795" s="1352"/>
      <c r="K795" s="1353"/>
      <c r="L795" s="1353"/>
      <c r="M795" s="1353"/>
      <c r="N795" s="1354"/>
      <c r="O795" s="1525"/>
      <c r="P795" s="1525"/>
      <c r="Q795" s="1525"/>
      <c r="R795" s="1525"/>
      <c r="S795" s="1525"/>
      <c r="T795" s="1606"/>
      <c r="U795" s="1607"/>
      <c r="V795" s="1607"/>
      <c r="W795" s="1608"/>
      <c r="X795" s="1405"/>
      <c r="Y795" s="1406"/>
      <c r="Z795" s="1406"/>
      <c r="AA795" s="1406"/>
      <c r="AB795" s="1407"/>
      <c r="AC795" s="1355">
        <f t="shared" si="39"/>
        <v>0</v>
      </c>
      <c r="AD795" s="1356"/>
      <c r="AE795" s="1356"/>
      <c r="AF795" s="1356"/>
      <c r="AG795" s="135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1">
        <f t="shared" si="40"/>
        <v>0</v>
      </c>
      <c r="CQ795" s="1332"/>
      <c r="CR795" s="1332"/>
      <c r="CS795" s="1332"/>
      <c r="CT795" s="1333"/>
      <c r="CU795" s="1331">
        <f t="shared" si="41"/>
        <v>0</v>
      </c>
      <c r="CV795" s="1332"/>
      <c r="CW795" s="1332"/>
      <c r="CX795" s="1332"/>
      <c r="CY795" s="1333"/>
      <c r="CZ795" s="1331">
        <f t="shared" si="42"/>
        <v>0</v>
      </c>
      <c r="DA795" s="1332"/>
      <c r="DB795" s="1332"/>
      <c r="DC795" s="1332"/>
      <c r="DD795" s="1333"/>
      <c r="DE795" s="1331">
        <f t="shared" si="43"/>
        <v>0</v>
      </c>
      <c r="DF795" s="1332"/>
      <c r="DG795" s="1332"/>
      <c r="DH795" s="1332"/>
      <c r="DI795" s="1333"/>
      <c r="DJ795" s="1331">
        <f t="shared" si="44"/>
        <v>0</v>
      </c>
      <c r="DK795" s="1332"/>
      <c r="DL795" s="1332"/>
      <c r="DM795" s="1332"/>
      <c r="DN795" s="1333"/>
      <c r="DO795" s="1331">
        <f t="shared" si="45"/>
        <v>0</v>
      </c>
      <c r="DP795" s="1332"/>
      <c r="DQ795" s="1332"/>
      <c r="DR795" s="1332"/>
      <c r="DS795" s="1333"/>
      <c r="DT795" s="6"/>
      <c r="DU795" s="1331">
        <f t="shared" si="46"/>
        <v>0</v>
      </c>
      <c r="DV795" s="1332"/>
      <c r="DW795" s="1332"/>
      <c r="DX795" s="1332"/>
      <c r="DY795" s="1333"/>
      <c r="DZ795" s="1331">
        <f t="shared" si="47"/>
        <v>0</v>
      </c>
      <c r="EA795" s="1332"/>
      <c r="EB795" s="1332"/>
      <c r="EC795" s="1332"/>
      <c r="ED795" s="1333"/>
      <c r="EE795" s="1331">
        <f t="shared" si="48"/>
        <v>0</v>
      </c>
      <c r="EF795" s="1332"/>
      <c r="EG795" s="1332"/>
      <c r="EH795" s="1332"/>
      <c r="EI795" s="1333"/>
      <c r="EJ795" s="1331">
        <f t="shared" si="49"/>
        <v>0</v>
      </c>
      <c r="EK795" s="1332"/>
      <c r="EL795" s="1332"/>
      <c r="EM795" s="1332"/>
      <c r="EN795" s="1333"/>
      <c r="EO795" s="1331">
        <f t="shared" si="50"/>
        <v>0</v>
      </c>
      <c r="EP795" s="1332"/>
      <c r="EQ795" s="1332"/>
      <c r="ER795" s="1332"/>
      <c r="ES795" s="1333"/>
      <c r="ET795" s="1331">
        <f t="shared" si="51"/>
        <v>0</v>
      </c>
      <c r="EU795" s="1332"/>
      <c r="EV795" s="1332"/>
      <c r="EW795" s="1332"/>
      <c r="EX795" s="1333"/>
    </row>
    <row r="796" spans="1:154" s="4" customFormat="1" ht="13" customHeight="1">
      <c r="A796"/>
      <c r="B796"/>
      <c r="C796"/>
      <c r="D796"/>
      <c r="E796"/>
      <c r="F796"/>
      <c r="G796"/>
      <c r="H796"/>
      <c r="I796"/>
      <c r="J796" s="1352"/>
      <c r="K796" s="1353"/>
      <c r="L796" s="1353"/>
      <c r="M796" s="1353"/>
      <c r="N796" s="1354"/>
      <c r="O796" s="1525"/>
      <c r="P796" s="1525"/>
      <c r="Q796" s="1525"/>
      <c r="R796" s="1525"/>
      <c r="S796" s="1525"/>
      <c r="T796" s="1606"/>
      <c r="U796" s="1607"/>
      <c r="V796" s="1607"/>
      <c r="W796" s="1608"/>
      <c r="X796" s="1405"/>
      <c r="Y796" s="1406"/>
      <c r="Z796" s="1406"/>
      <c r="AA796" s="1406"/>
      <c r="AB796" s="1407"/>
      <c r="AC796" s="1355">
        <f t="shared" si="39"/>
        <v>0</v>
      </c>
      <c r="AD796" s="1356"/>
      <c r="AE796" s="1356"/>
      <c r="AF796" s="1356"/>
      <c r="AG796" s="1357"/>
      <c r="AH796"/>
      <c r="AI796"/>
      <c r="AJ796"/>
      <c r="AK796"/>
      <c r="AL796"/>
      <c r="AM796"/>
      <c r="AN796"/>
      <c r="AO796"/>
      <c r="AP796"/>
      <c r="AQ796"/>
      <c r="AR796"/>
      <c r="AS796"/>
      <c r="AT796"/>
      <c r="AU796"/>
      <c r="AV796"/>
      <c r="AW796"/>
      <c r="AX796"/>
      <c r="AY796"/>
      <c r="AZ796" s="3"/>
      <c r="CP796" s="1331">
        <f t="shared" si="40"/>
        <v>0</v>
      </c>
      <c r="CQ796" s="1332"/>
      <c r="CR796" s="1332"/>
      <c r="CS796" s="1332"/>
      <c r="CT796" s="1333"/>
      <c r="CU796" s="1331">
        <f t="shared" si="41"/>
        <v>0</v>
      </c>
      <c r="CV796" s="1332"/>
      <c r="CW796" s="1332"/>
      <c r="CX796" s="1332"/>
      <c r="CY796" s="1333"/>
      <c r="CZ796" s="1331">
        <f t="shared" si="42"/>
        <v>0</v>
      </c>
      <c r="DA796" s="1332"/>
      <c r="DB796" s="1332"/>
      <c r="DC796" s="1332"/>
      <c r="DD796" s="1333"/>
      <c r="DE796" s="1331">
        <f t="shared" si="43"/>
        <v>0</v>
      </c>
      <c r="DF796" s="1332"/>
      <c r="DG796" s="1332"/>
      <c r="DH796" s="1332"/>
      <c r="DI796" s="1333"/>
      <c r="DJ796" s="1331">
        <f t="shared" si="44"/>
        <v>0</v>
      </c>
      <c r="DK796" s="1332"/>
      <c r="DL796" s="1332"/>
      <c r="DM796" s="1332"/>
      <c r="DN796" s="1333"/>
      <c r="DO796" s="1331">
        <f t="shared" si="45"/>
        <v>0</v>
      </c>
      <c r="DP796" s="1332"/>
      <c r="DQ796" s="1332"/>
      <c r="DR796" s="1332"/>
      <c r="DS796" s="1333"/>
      <c r="DT796" s="6"/>
      <c r="DU796" s="1331">
        <f t="shared" si="46"/>
        <v>0</v>
      </c>
      <c r="DV796" s="1332"/>
      <c r="DW796" s="1332"/>
      <c r="DX796" s="1332"/>
      <c r="DY796" s="1333"/>
      <c r="DZ796" s="1331">
        <f t="shared" si="47"/>
        <v>0</v>
      </c>
      <c r="EA796" s="1332"/>
      <c r="EB796" s="1332"/>
      <c r="EC796" s="1332"/>
      <c r="ED796" s="1333"/>
      <c r="EE796" s="1331">
        <f t="shared" si="48"/>
        <v>0</v>
      </c>
      <c r="EF796" s="1332"/>
      <c r="EG796" s="1332"/>
      <c r="EH796" s="1332"/>
      <c r="EI796" s="1333"/>
      <c r="EJ796" s="1331">
        <f t="shared" si="49"/>
        <v>0</v>
      </c>
      <c r="EK796" s="1332"/>
      <c r="EL796" s="1332"/>
      <c r="EM796" s="1332"/>
      <c r="EN796" s="1333"/>
      <c r="EO796" s="1331">
        <f t="shared" si="50"/>
        <v>0</v>
      </c>
      <c r="EP796" s="1332"/>
      <c r="EQ796" s="1332"/>
      <c r="ER796" s="1332"/>
      <c r="ES796" s="1333"/>
      <c r="ET796" s="1331">
        <f t="shared" si="51"/>
        <v>0</v>
      </c>
      <c r="EU796" s="1332"/>
      <c r="EV796" s="1332"/>
      <c r="EW796" s="1332"/>
      <c r="EX796" s="1333"/>
    </row>
    <row r="797" spans="1:154" s="4" customFormat="1" ht="13" customHeight="1">
      <c r="A797"/>
      <c r="B797"/>
      <c r="C797"/>
      <c r="D797"/>
      <c r="E797"/>
      <c r="F797"/>
      <c r="G797"/>
      <c r="H797"/>
      <c r="I797"/>
      <c r="J797" s="1425" t="s">
        <v>125</v>
      </c>
      <c r="K797" s="1426"/>
      <c r="L797" s="1426"/>
      <c r="M797" s="1426"/>
      <c r="N797" s="1428"/>
      <c r="O797" s="1641">
        <f>SUM(O787:S796)</f>
        <v>0</v>
      </c>
      <c r="P797" s="1641"/>
      <c r="Q797" s="1641"/>
      <c r="R797" s="1641"/>
      <c r="S797" s="1641"/>
      <c r="T797"/>
      <c r="U797"/>
      <c r="V797"/>
      <c r="W797"/>
      <c r="X797" s="903" t="s">
        <v>124</v>
      </c>
      <c r="Y797" s="11"/>
      <c r="Z797" s="11"/>
      <c r="AA797" s="11"/>
      <c r="AB797" s="910"/>
      <c r="AC797" s="1355">
        <f>SUM(AC787:AG796)</f>
        <v>0</v>
      </c>
      <c r="AD797" s="1356"/>
      <c r="AE797" s="1356"/>
      <c r="AF797" s="1356"/>
      <c r="AG797" s="1357"/>
      <c r="AH797"/>
      <c r="AI797"/>
      <c r="AJ797"/>
      <c r="AK797"/>
      <c r="AL797"/>
      <c r="AM797"/>
      <c r="AN797"/>
      <c r="AO797"/>
      <c r="AP797"/>
      <c r="AQ797"/>
      <c r="AR797"/>
      <c r="AS797"/>
      <c r="AT797"/>
      <c r="AU797"/>
      <c r="AV797"/>
      <c r="AW797"/>
      <c r="AX797"/>
      <c r="AY797"/>
      <c r="AZ797" s="3"/>
      <c r="BA797"/>
      <c r="CP797" s="1334">
        <f>SUM(CP787:CT796)</f>
        <v>0</v>
      </c>
      <c r="CQ797" s="1335"/>
      <c r="CR797" s="1335"/>
      <c r="CS797" s="1335"/>
      <c r="CT797" s="1336"/>
      <c r="CU797" s="1337">
        <f>SUM(CU787:CY796)</f>
        <v>0</v>
      </c>
      <c r="CV797" s="1338"/>
      <c r="CW797" s="1338"/>
      <c r="CX797" s="1338"/>
      <c r="CY797" s="1339"/>
      <c r="CZ797" s="1337">
        <f>SUM(CZ787:DD796)</f>
        <v>0</v>
      </c>
      <c r="DA797" s="1338"/>
      <c r="DB797" s="1338"/>
      <c r="DC797" s="1338"/>
      <c r="DD797" s="1339"/>
      <c r="DE797" s="1337">
        <f>SUM(DE787:DI796)</f>
        <v>0</v>
      </c>
      <c r="DF797" s="1338"/>
      <c r="DG797" s="1338"/>
      <c r="DH797" s="1338"/>
      <c r="DI797" s="1339"/>
      <c r="DJ797" s="1337">
        <f>SUM(DJ787:DN796)</f>
        <v>0</v>
      </c>
      <c r="DK797" s="1338"/>
      <c r="DL797" s="1338"/>
      <c r="DM797" s="1338"/>
      <c r="DN797" s="1339"/>
      <c r="DO797" s="1337">
        <f>SUM(DO787:DS796)</f>
        <v>0</v>
      </c>
      <c r="DP797" s="1338"/>
      <c r="DQ797" s="1338"/>
      <c r="DR797" s="1338"/>
      <c r="DS797" s="1339"/>
      <c r="DT797" s="1013"/>
      <c r="DU797" s="1334">
        <f>SUM(DU787:DY796)</f>
        <v>0</v>
      </c>
      <c r="DV797" s="1335"/>
      <c r="DW797" s="1335"/>
      <c r="DX797" s="1335"/>
      <c r="DY797" s="1336"/>
      <c r="DZ797" s="1334">
        <f>SUM(DZ787:ED796)</f>
        <v>0</v>
      </c>
      <c r="EA797" s="1335"/>
      <c r="EB797" s="1335"/>
      <c r="EC797" s="1335"/>
      <c r="ED797" s="1336"/>
      <c r="EE797" s="1334">
        <f>SUM(EE787:EI796)</f>
        <v>0</v>
      </c>
      <c r="EF797" s="1335"/>
      <c r="EG797" s="1335"/>
      <c r="EH797" s="1335"/>
      <c r="EI797" s="1336"/>
      <c r="EJ797" s="1334">
        <f>SUM(EJ787:EN796)</f>
        <v>0</v>
      </c>
      <c r="EK797" s="1335"/>
      <c r="EL797" s="1335"/>
      <c r="EM797" s="1335"/>
      <c r="EN797" s="1336"/>
      <c r="EO797" s="1334">
        <f>SUM(EO787:ES796)</f>
        <v>0</v>
      </c>
      <c r="EP797" s="1335"/>
      <c r="EQ797" s="1335"/>
      <c r="ER797" s="1335"/>
      <c r="ES797" s="1336"/>
      <c r="ET797" s="1334">
        <f>SUM(ET787:EX796)</f>
        <v>0</v>
      </c>
      <c r="EU797" s="1335"/>
      <c r="EV797" s="1335"/>
      <c r="EW797" s="1335"/>
      <c r="EX797" s="1336"/>
    </row>
    <row r="798" spans="1:154" s="4" customFormat="1" ht="13" customHeight="1">
      <c r="A798"/>
      <c r="B798"/>
      <c r="C798" s="1519" t="str">
        <f>IF(O797&lt;&gt;AG438,"! Total market rate units in the Unit Mix Table above does not match the number of  market rate units on row #"&amp;TEXT(ROW(D438),"#"),"")</f>
        <v/>
      </c>
      <c r="D798" s="1519"/>
      <c r="E798" s="1519"/>
      <c r="F798" s="1519"/>
      <c r="G798" s="1519"/>
      <c r="H798" s="1519"/>
      <c r="I798" s="1519"/>
      <c r="J798" s="1519"/>
      <c r="K798" s="1519"/>
      <c r="L798" s="1519"/>
      <c r="M798" s="1519"/>
      <c r="N798" s="1519"/>
      <c r="O798" s="1519"/>
      <c r="P798" s="1519"/>
      <c r="Q798" s="1519"/>
      <c r="R798" s="1519"/>
      <c r="S798" s="1519"/>
      <c r="T798" s="1519"/>
      <c r="U798" s="1519"/>
      <c r="V798" s="1519"/>
      <c r="W798" s="1519"/>
      <c r="X798" s="1519"/>
      <c r="Y798" s="1519"/>
      <c r="Z798" s="1519"/>
      <c r="AA798" s="1519"/>
      <c r="AB798" s="1519"/>
      <c r="AC798" s="1519"/>
      <c r="AD798" s="1519"/>
      <c r="AE798" s="1519"/>
      <c r="AF798" s="1519"/>
      <c r="AG798" s="1519"/>
      <c r="AH798" s="1519"/>
      <c r="AI798" s="1519"/>
      <c r="AJ798" s="1519"/>
      <c r="AK798" s="1519"/>
      <c r="AL798" s="1519"/>
      <c r="AM798" s="1519"/>
      <c r="AN798" s="1519"/>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519"/>
      <c r="D799" s="1519"/>
      <c r="E799" s="1519"/>
      <c r="F799" s="1519"/>
      <c r="G799" s="1519"/>
      <c r="H799" s="1519"/>
      <c r="I799" s="1519"/>
      <c r="J799" s="1519"/>
      <c r="K799" s="1519"/>
      <c r="L799" s="1519"/>
      <c r="M799" s="1519"/>
      <c r="N799" s="1519"/>
      <c r="O799" s="1519"/>
      <c r="P799" s="1519"/>
      <c r="Q799" s="1519"/>
      <c r="R799" s="1519"/>
      <c r="S799" s="1519"/>
      <c r="T799" s="1519"/>
      <c r="U799" s="1519"/>
      <c r="V799" s="1519"/>
      <c r="W799" s="1519"/>
      <c r="X799" s="1519"/>
      <c r="Y799" s="1519"/>
      <c r="Z799" s="1519"/>
      <c r="AA799" s="1519"/>
      <c r="AB799" s="1519"/>
      <c r="AC799" s="1519"/>
      <c r="AD799" s="1519"/>
      <c r="AE799" s="1519"/>
      <c r="AF799" s="1519"/>
      <c r="AG799" s="1519"/>
      <c r="AH799" s="1519"/>
      <c r="AI799" s="1519"/>
      <c r="AJ799" s="1519"/>
      <c r="AK799" s="1519"/>
      <c r="AL799" s="1519"/>
      <c r="AM799" s="1519"/>
      <c r="AN799" s="1519"/>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4">
        <f>O753+AC777+AC797</f>
        <v>406586</v>
      </c>
      <c r="Z800" s="1604"/>
      <c r="AA800" s="1604"/>
      <c r="AB800" s="1604"/>
      <c r="AC800" s="16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4">
        <f>(O753+AC777+AC797)*12</f>
        <v>4879032</v>
      </c>
      <c r="Z801" s="1604"/>
      <c r="AA801" s="1604"/>
      <c r="AB801" s="1604"/>
      <c r="AC801" s="16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37">
        <f>CP753+CP777+CP797</f>
        <v>21</v>
      </c>
      <c r="CQ802" s="1338"/>
      <c r="CR802" s="1338"/>
      <c r="CS802" s="1338"/>
      <c r="CT802" s="1339"/>
      <c r="CU802" s="1337">
        <f>CU753+CU777+CU797</f>
        <v>133</v>
      </c>
      <c r="CV802" s="1338"/>
      <c r="CW802" s="1338"/>
      <c r="CX802" s="1338"/>
      <c r="CY802" s="1339"/>
      <c r="CZ802" s="1337">
        <f>CZ753+CZ777+CZ797</f>
        <v>39</v>
      </c>
      <c r="DA802" s="1338"/>
      <c r="DB802" s="1338"/>
      <c r="DC802" s="1338"/>
      <c r="DD802" s="1339"/>
      <c r="DE802" s="1337">
        <f>DE753+DE777+DE797</f>
        <v>48</v>
      </c>
      <c r="DF802" s="1338"/>
      <c r="DG802" s="1338"/>
      <c r="DH802" s="1338"/>
      <c r="DI802" s="1339"/>
      <c r="DJ802" s="1337">
        <f>DJ753+DJ777+DJ797</f>
        <v>0</v>
      </c>
      <c r="DK802" s="1338"/>
      <c r="DL802" s="1338"/>
      <c r="DM802" s="1338"/>
      <c r="DN802" s="1339"/>
      <c r="DO802" s="1348">
        <f>DO797+DO777+DO753</f>
        <v>0</v>
      </c>
      <c r="DP802" s="1349"/>
      <c r="DQ802" s="1349"/>
      <c r="DR802" s="1349"/>
      <c r="DS802" s="1350"/>
      <c r="DT802" s="3"/>
      <c r="DU802" s="862">
        <f>DU755+DU800</f>
        <v>372</v>
      </c>
      <c r="DV802" s="57" t="s">
        <v>1864</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11"/>
      <c r="AA806" s="1612"/>
      <c r="AB806" s="1612"/>
      <c r="AC806" s="1612"/>
      <c r="AD806" s="1612"/>
      <c r="AE806" s="161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23"/>
      <c r="AA807" s="1612"/>
      <c r="AB807" s="1612"/>
      <c r="AC807" s="1612"/>
      <c r="AD807" s="1612"/>
      <c r="AE807" s="161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39"/>
      <c r="AA808" s="1593"/>
      <c r="AB808" s="1593"/>
      <c r="AC808" s="1593"/>
      <c r="AD808" s="1593"/>
      <c r="AE808" s="164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08">
        <f>'Subsidy Contract Calculation'!J40</f>
        <v>0</v>
      </c>
      <c r="AA809" s="1409"/>
      <c r="AB809" s="1409"/>
      <c r="AC809" s="1409"/>
      <c r="AD809" s="1409"/>
      <c r="AE809" s="141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4">
        <f>650*241</f>
        <v>156650</v>
      </c>
      <c r="AA813" s="1465"/>
      <c r="AB813" s="1465"/>
      <c r="AC813" s="1465"/>
      <c r="AD813" s="1465"/>
      <c r="AE813" s="146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4">
        <v>54000</v>
      </c>
      <c r="AA814" s="1465"/>
      <c r="AB814" s="1465"/>
      <c r="AC814" s="1465"/>
      <c r="AD814" s="1465"/>
      <c r="AE814" s="146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4"/>
      <c r="AA815" s="1465"/>
      <c r="AB815" s="1465"/>
      <c r="AC815" s="1465"/>
      <c r="AD815" s="1465"/>
      <c r="AE815" s="146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29" t="s">
        <v>2729</v>
      </c>
      <c r="Q816" s="1630"/>
      <c r="R816" s="1630"/>
      <c r="S816" s="1630"/>
      <c r="T816" s="1630"/>
      <c r="U816" s="1630"/>
      <c r="V816" s="1630"/>
      <c r="W816" s="1630"/>
      <c r="X816" s="1630"/>
      <c r="Y816" s="1631"/>
      <c r="Z816" s="1464">
        <v>250000</v>
      </c>
      <c r="AA816" s="1465"/>
      <c r="AB816" s="1465"/>
      <c r="AC816" s="1465"/>
      <c r="AD816" s="1465"/>
      <c r="AE816" s="146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08">
        <f>SUM(Z813:AE816)</f>
        <v>460650</v>
      </c>
      <c r="AA817" s="1409"/>
      <c r="AB817" s="1409"/>
      <c r="AC817" s="1409"/>
      <c r="AD817" s="1409"/>
      <c r="AE817" s="1410"/>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08">
        <f>Z817+Y801+Z809</f>
        <v>5339682</v>
      </c>
      <c r="AA818" s="1409"/>
      <c r="AB818" s="1409"/>
      <c r="AC818" s="1409"/>
      <c r="AD818" s="1409"/>
      <c r="AE818" s="1410"/>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708" t="s">
        <v>126</v>
      </c>
      <c r="N823" s="1708"/>
      <c r="O823" s="1708"/>
      <c r="P823" s="1709"/>
      <c r="Q823" s="1610" t="s">
        <v>290</v>
      </c>
      <c r="R823" s="1610"/>
      <c r="S823" s="1610"/>
      <c r="T823" s="1610"/>
      <c r="U823" s="1610" t="s">
        <v>291</v>
      </c>
      <c r="V823" s="1610"/>
      <c r="W823" s="1610"/>
      <c r="X823" s="1610"/>
      <c r="Y823" s="1610" t="s">
        <v>292</v>
      </c>
      <c r="Z823" s="1610"/>
      <c r="AA823" s="1610"/>
      <c r="AB823" s="1610"/>
      <c r="AC823" s="1610" t="s">
        <v>361</v>
      </c>
      <c r="AD823" s="1610"/>
      <c r="AE823" s="1610"/>
      <c r="AF823" s="1610"/>
      <c r="AG823" s="1628" t="s">
        <v>335</v>
      </c>
      <c r="AH823" s="1628"/>
      <c r="AI823" s="1628"/>
      <c r="AJ823" s="1628"/>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710"/>
      <c r="N824" s="1710"/>
      <c r="O824" s="1710"/>
      <c r="P824" s="1711"/>
      <c r="Q824" s="1610"/>
      <c r="R824" s="1610"/>
      <c r="S824" s="1610"/>
      <c r="T824" s="1610"/>
      <c r="U824" s="1610"/>
      <c r="V824" s="1610"/>
      <c r="W824" s="1610"/>
      <c r="X824" s="1610"/>
      <c r="Y824" s="1610"/>
      <c r="Z824" s="1610"/>
      <c r="AA824" s="1610"/>
      <c r="AB824" s="1610"/>
      <c r="AC824" s="1610"/>
      <c r="AD824" s="1610"/>
      <c r="AE824" s="1610"/>
      <c r="AF824" s="1610"/>
      <c r="AG824" s="1628"/>
      <c r="AH824" s="1628"/>
      <c r="AI824" s="1628"/>
      <c r="AJ824" s="1628"/>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9" t="s">
        <v>40</v>
      </c>
      <c r="D825" s="1463"/>
      <c r="E825" s="1463"/>
      <c r="F825" s="1463"/>
      <c r="G825" s="1463"/>
      <c r="H825" s="1463"/>
      <c r="I825" s="48"/>
      <c r="J825" s="48"/>
      <c r="K825" s="48"/>
      <c r="L825" s="49"/>
      <c r="M825" s="1605">
        <v>6</v>
      </c>
      <c r="N825" s="1605"/>
      <c r="O825" s="1605"/>
      <c r="P825" s="1605"/>
      <c r="Q825" s="1605">
        <v>8</v>
      </c>
      <c r="R825" s="1605"/>
      <c r="S825" s="1605"/>
      <c r="T825" s="1605"/>
      <c r="U825" s="1605">
        <v>11</v>
      </c>
      <c r="V825" s="1605"/>
      <c r="W825" s="1605"/>
      <c r="X825" s="1605"/>
      <c r="Y825" s="1605">
        <v>13</v>
      </c>
      <c r="Z825" s="1605"/>
      <c r="AA825" s="1605"/>
      <c r="AB825" s="1605"/>
      <c r="AC825" s="1469"/>
      <c r="AD825" s="1470"/>
      <c r="AE825" s="1470"/>
      <c r="AF825" s="1471"/>
      <c r="AG825" s="1469"/>
      <c r="AH825" s="1470"/>
      <c r="AI825" s="1470"/>
      <c r="AJ825" s="1471"/>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33" t="s">
        <v>41</v>
      </c>
      <c r="D826" s="1423"/>
      <c r="E826" s="1423"/>
      <c r="F826" s="1423"/>
      <c r="G826" s="1423"/>
      <c r="H826" s="1423"/>
      <c r="I826" s="5"/>
      <c r="J826" s="5"/>
      <c r="K826" s="5"/>
      <c r="L826" s="46"/>
      <c r="M826" s="1605"/>
      <c r="N826" s="1605"/>
      <c r="O826" s="1605"/>
      <c r="P826" s="1605"/>
      <c r="Q826" s="1605"/>
      <c r="R826" s="1605"/>
      <c r="S826" s="1605"/>
      <c r="T826" s="1605"/>
      <c r="U826" s="1605"/>
      <c r="V826" s="1605"/>
      <c r="W826" s="1605"/>
      <c r="X826" s="1605"/>
      <c r="Y826" s="1605"/>
      <c r="Z826" s="1605"/>
      <c r="AA826" s="1605"/>
      <c r="AB826" s="1605"/>
      <c r="AC826" s="1469"/>
      <c r="AD826" s="1470"/>
      <c r="AE826" s="1470"/>
      <c r="AF826" s="1471"/>
      <c r="AG826" s="1469"/>
      <c r="AH826" s="1470"/>
      <c r="AI826" s="1470"/>
      <c r="AJ826" s="1471"/>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33" t="s">
        <v>42</v>
      </c>
      <c r="D827" s="1423"/>
      <c r="E827" s="1423"/>
      <c r="F827" s="1423"/>
      <c r="G827" s="1423"/>
      <c r="H827" s="1423"/>
      <c r="I827" s="60"/>
      <c r="J827" s="60"/>
      <c r="K827" s="60"/>
      <c r="L827" s="61"/>
      <c r="M827" s="1605">
        <v>2</v>
      </c>
      <c r="N827" s="1605"/>
      <c r="O827" s="1605"/>
      <c r="P827" s="1605"/>
      <c r="Q827" s="1605">
        <v>3</v>
      </c>
      <c r="R827" s="1605"/>
      <c r="S827" s="1605"/>
      <c r="T827" s="1605"/>
      <c r="U827" s="1605">
        <v>4</v>
      </c>
      <c r="V827" s="1605"/>
      <c r="W827" s="1605"/>
      <c r="X827" s="1605"/>
      <c r="Y827" s="1605">
        <v>5</v>
      </c>
      <c r="Z827" s="1605"/>
      <c r="AA827" s="1605"/>
      <c r="AB827" s="1605"/>
      <c r="AC827" s="1469"/>
      <c r="AD827" s="1470"/>
      <c r="AE827" s="1470"/>
      <c r="AF827" s="1471"/>
      <c r="AG827" s="1469"/>
      <c r="AH827" s="1470"/>
      <c r="AI827" s="1470"/>
      <c r="AJ827" s="1471"/>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33" t="s">
        <v>763</v>
      </c>
      <c r="D828" s="1423"/>
      <c r="E828" s="1423"/>
      <c r="F828" s="1423"/>
      <c r="G828" s="1423"/>
      <c r="H828" s="1423"/>
      <c r="I828" s="60"/>
      <c r="J828" s="60"/>
      <c r="K828" s="60"/>
      <c r="L828" s="61"/>
      <c r="M828" s="1605"/>
      <c r="N828" s="1605"/>
      <c r="O828" s="1605"/>
      <c r="P828" s="1605"/>
      <c r="Q828" s="1605"/>
      <c r="R828" s="1605"/>
      <c r="S828" s="1605"/>
      <c r="T828" s="1605"/>
      <c r="U828" s="1605"/>
      <c r="V828" s="1605"/>
      <c r="W828" s="1605"/>
      <c r="X828" s="1605"/>
      <c r="Y828" s="1605"/>
      <c r="Z828" s="1605"/>
      <c r="AA828" s="1605"/>
      <c r="AB828" s="1605"/>
      <c r="AC828" s="1469"/>
      <c r="AD828" s="1470"/>
      <c r="AE828" s="1470"/>
      <c r="AF828" s="1471"/>
      <c r="AG828" s="1469"/>
      <c r="AH828" s="1470"/>
      <c r="AI828" s="1470"/>
      <c r="AJ828" s="1471"/>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33" t="s">
        <v>460</v>
      </c>
      <c r="D829" s="1423"/>
      <c r="E829" s="1423"/>
      <c r="F829" s="1423"/>
      <c r="G829" s="1423"/>
      <c r="H829" s="1423"/>
      <c r="I829" s="60"/>
      <c r="J829" s="60"/>
      <c r="K829" s="60"/>
      <c r="L829" s="61"/>
      <c r="M829" s="1605">
        <v>16</v>
      </c>
      <c r="N829" s="1605"/>
      <c r="O829" s="1605"/>
      <c r="P829" s="1605"/>
      <c r="Q829" s="1605">
        <v>22</v>
      </c>
      <c r="R829" s="1605"/>
      <c r="S829" s="1605"/>
      <c r="T829" s="1605"/>
      <c r="U829" s="1605">
        <v>28</v>
      </c>
      <c r="V829" s="1605"/>
      <c r="W829" s="1605"/>
      <c r="X829" s="1605"/>
      <c r="Y829" s="1605">
        <v>35</v>
      </c>
      <c r="Z829" s="1605"/>
      <c r="AA829" s="1605"/>
      <c r="AB829" s="1605"/>
      <c r="AC829" s="1469"/>
      <c r="AD829" s="1470"/>
      <c r="AE829" s="1470"/>
      <c r="AF829" s="1471"/>
      <c r="AG829" s="1469"/>
      <c r="AH829" s="1470"/>
      <c r="AI829" s="1470"/>
      <c r="AJ829" s="1471"/>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32" t="s">
        <v>784</v>
      </c>
      <c r="D830" s="1423"/>
      <c r="E830" s="1423"/>
      <c r="F830" s="1423"/>
      <c r="G830" s="1423"/>
      <c r="H830" s="1423"/>
      <c r="I830" s="60"/>
      <c r="J830" s="60"/>
      <c r="K830" s="60"/>
      <c r="L830" s="61"/>
      <c r="M830" s="1605"/>
      <c r="N830" s="1605"/>
      <c r="O830" s="1605"/>
      <c r="P830" s="1605"/>
      <c r="Q830" s="1605"/>
      <c r="R830" s="1605"/>
      <c r="S830" s="1605"/>
      <c r="T830" s="1605"/>
      <c r="U830" s="1605"/>
      <c r="V830" s="1605"/>
      <c r="W830" s="1605"/>
      <c r="X830" s="1605"/>
      <c r="Y830" s="1605"/>
      <c r="Z830" s="1605"/>
      <c r="AA830" s="1605"/>
      <c r="AB830" s="1605"/>
      <c r="AC830" s="1469"/>
      <c r="AD830" s="1470"/>
      <c r="AE830" s="1470"/>
      <c r="AF830" s="1471"/>
      <c r="AG830" s="1469"/>
      <c r="AH830" s="1470"/>
      <c r="AI830" s="1470"/>
      <c r="AJ830" s="1471"/>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29" t="s">
        <v>2663</v>
      </c>
      <c r="G831" s="1630"/>
      <c r="H831" s="1630"/>
      <c r="I831" s="1630"/>
      <c r="J831" s="1630"/>
      <c r="K831" s="1630"/>
      <c r="L831" s="1630"/>
      <c r="M831" s="1605">
        <v>7</v>
      </c>
      <c r="N831" s="1605"/>
      <c r="O831" s="1605"/>
      <c r="P831" s="1605"/>
      <c r="Q831" s="1605">
        <v>10</v>
      </c>
      <c r="R831" s="1605"/>
      <c r="S831" s="1605"/>
      <c r="T831" s="1605"/>
      <c r="U831" s="1605">
        <v>13</v>
      </c>
      <c r="V831" s="1605"/>
      <c r="W831" s="1605"/>
      <c r="X831" s="1605"/>
      <c r="Y831" s="1605">
        <v>15</v>
      </c>
      <c r="Z831" s="1605"/>
      <c r="AA831" s="1605"/>
      <c r="AB831" s="1605"/>
      <c r="AC831" s="1469"/>
      <c r="AD831" s="1470"/>
      <c r="AE831" s="1470"/>
      <c r="AF831" s="1471"/>
      <c r="AG831" s="1469"/>
      <c r="AH831" s="1470"/>
      <c r="AI831" s="1470"/>
      <c r="AJ831" s="1471"/>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25" t="s">
        <v>124</v>
      </c>
      <c r="D832" s="1426"/>
      <c r="E832" s="1426"/>
      <c r="F832" s="1426"/>
      <c r="G832" s="1426"/>
      <c r="H832" s="1426"/>
      <c r="I832" s="1426"/>
      <c r="J832" s="1426"/>
      <c r="K832" s="1426"/>
      <c r="L832" s="1428"/>
      <c r="M832" s="1703">
        <f>SUM(M825:P831)</f>
        <v>31</v>
      </c>
      <c r="N832" s="1703"/>
      <c r="O832" s="1703"/>
      <c r="P832" s="1703"/>
      <c r="Q832" s="1703">
        <f>SUM(Q825:T831)</f>
        <v>43</v>
      </c>
      <c r="R832" s="1703"/>
      <c r="S832" s="1703"/>
      <c r="T832" s="1703"/>
      <c r="U832" s="1703">
        <f>SUM(U825:X831)</f>
        <v>56</v>
      </c>
      <c r="V832" s="1703"/>
      <c r="W832" s="1703"/>
      <c r="X832" s="1703"/>
      <c r="Y832" s="1703">
        <f>SUM(Y825:AB831)</f>
        <v>68</v>
      </c>
      <c r="Z832" s="1703"/>
      <c r="AA832" s="1703"/>
      <c r="AB832" s="1703"/>
      <c r="AC832" s="1703">
        <f>SUM(AC825:AF831)</f>
        <v>0</v>
      </c>
      <c r="AD832" s="1703"/>
      <c r="AE832" s="1703"/>
      <c r="AF832" s="1703"/>
      <c r="AG832" s="1703">
        <f>SUM(AG825:AJ831)</f>
        <v>0</v>
      </c>
      <c r="AH832" s="1703"/>
      <c r="AI832" s="1703"/>
      <c r="AJ832" s="1703"/>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55" t="s">
        <v>2707</v>
      </c>
      <c r="D837" s="1756"/>
      <c r="E837" s="1756"/>
      <c r="F837" s="1756"/>
      <c r="G837" s="1756"/>
      <c r="H837" s="1756"/>
      <c r="I837" s="1756"/>
      <c r="J837" s="1756"/>
      <c r="K837" s="1756"/>
      <c r="L837" s="1756"/>
      <c r="M837" s="1756"/>
      <c r="N837" s="1756"/>
      <c r="O837" s="1756"/>
      <c r="P837" s="1756"/>
      <c r="Q837" s="1756"/>
      <c r="R837" s="1756"/>
      <c r="S837" s="1756"/>
      <c r="T837" s="1756"/>
      <c r="U837" s="1756"/>
      <c r="V837" s="1756"/>
      <c r="W837" s="1756"/>
      <c r="X837" s="1756"/>
      <c r="Y837" s="1756"/>
      <c r="Z837" s="1756"/>
      <c r="AA837" s="1756"/>
      <c r="AB837" s="1756"/>
      <c r="AC837" s="1756"/>
      <c r="AD837" s="1756"/>
      <c r="AE837" s="1756"/>
      <c r="AF837" s="1756"/>
      <c r="AG837" s="1756"/>
      <c r="AH837" s="1756"/>
      <c r="AI837" s="1756"/>
      <c r="AJ837" s="1757"/>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6"/>
      <c r="BJ841" s="1636"/>
      <c r="BK841" s="1636"/>
      <c r="BL841" s="1636"/>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33">
        <v>6000</v>
      </c>
      <c r="X842" s="1633"/>
      <c r="Y842" s="1633"/>
      <c r="Z842" s="1633"/>
      <c r="AA842" s="1633"/>
      <c r="AB842" s="1633"/>
      <c r="AC842" s="1633"/>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33">
        <v>25000</v>
      </c>
      <c r="X843" s="1633"/>
      <c r="Y843" s="1633"/>
      <c r="Z843" s="1633"/>
      <c r="AA843" s="1633"/>
      <c r="AB843" s="1633"/>
      <c r="AC843" s="1633"/>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33">
        <v>100000</v>
      </c>
      <c r="X844" s="1633"/>
      <c r="Y844" s="1633"/>
      <c r="Z844" s="1633"/>
      <c r="AA844" s="1633"/>
      <c r="AB844" s="1633"/>
      <c r="AC844" s="1633"/>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33">
        <v>175000</v>
      </c>
      <c r="X845" s="1633"/>
      <c r="Y845" s="1633"/>
      <c r="Z845" s="1633"/>
      <c r="AA845" s="1633"/>
      <c r="AB845" s="1633"/>
      <c r="AC845" s="1633"/>
      <c r="AZ845" s="30"/>
      <c r="BA845" s="30"/>
      <c r="BB845" s="14"/>
      <c r="BC845" s="14"/>
      <c r="BD845" s="14"/>
      <c r="BE845" s="14"/>
      <c r="BF845" s="14"/>
      <c r="BG845" s="14"/>
      <c r="BH845" s="14"/>
      <c r="BI845" s="14"/>
      <c r="BJ845" s="14"/>
      <c r="BK845" s="14"/>
      <c r="BL845" s="14"/>
    </row>
    <row r="846" spans="1:64" ht="13" customHeight="1">
      <c r="J846" s="45" t="s">
        <v>170</v>
      </c>
      <c r="K846" s="5"/>
      <c r="L846" s="5"/>
      <c r="M846" s="1629" t="s">
        <v>334</v>
      </c>
      <c r="N846" s="1630"/>
      <c r="O846" s="1630"/>
      <c r="P846" s="1630"/>
      <c r="Q846" s="1630"/>
      <c r="R846" s="1630"/>
      <c r="S846" s="1630"/>
      <c r="T846" s="1630"/>
      <c r="U846" s="1630"/>
      <c r="V846" s="1631"/>
      <c r="W846" s="1633"/>
      <c r="X846" s="1633"/>
      <c r="Y846" s="1633"/>
      <c r="Z846" s="1633"/>
      <c r="AA846" s="1633"/>
      <c r="AB846" s="1633"/>
      <c r="AC846" s="1633"/>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08">
        <f>SUM(W842:AC846)</f>
        <v>306000</v>
      </c>
      <c r="X847" s="1409"/>
      <c r="Y847" s="1409"/>
      <c r="Z847" s="1409"/>
      <c r="AA847" s="1409"/>
      <c r="AB847" s="1409"/>
      <c r="AC847" s="1410"/>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5"/>
      <c r="BH848" s="1635"/>
      <c r="BI848" s="1635"/>
      <c r="BJ848" s="1635"/>
      <c r="BK848" s="1635"/>
      <c r="BL848" s="1635"/>
    </row>
    <row r="849" spans="3:55" ht="13" customHeight="1">
      <c r="C849" s="2" t="s">
        <v>344</v>
      </c>
      <c r="J849" s="1425" t="s">
        <v>345</v>
      </c>
      <c r="K849" s="1426"/>
      <c r="L849" s="1426"/>
      <c r="M849" s="1426"/>
      <c r="N849" s="1426"/>
      <c r="O849" s="1426"/>
      <c r="P849" s="1426"/>
      <c r="Q849" s="1426"/>
      <c r="R849" s="1426"/>
      <c r="S849" s="1426"/>
      <c r="T849" s="1426"/>
      <c r="U849" s="1426"/>
      <c r="V849" s="1428"/>
      <c r="W849" s="1464">
        <v>225000</v>
      </c>
      <c r="X849" s="1465"/>
      <c r="Y849" s="1465"/>
      <c r="Z849" s="1465"/>
      <c r="AA849" s="1465"/>
      <c r="AB849" s="1465"/>
      <c r="AC849" s="1466"/>
      <c r="AD849" s="534"/>
      <c r="AZ849" s="30"/>
      <c r="BA849" s="30"/>
      <c r="BB849" s="14"/>
      <c r="BC849" s="14"/>
    </row>
    <row r="850" spans="3:55" ht="13" customHeight="1">
      <c r="AD850" s="534"/>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4">
        <v>0</v>
      </c>
      <c r="X851" s="1654"/>
      <c r="Y851" s="1654"/>
      <c r="Z851" s="1654"/>
      <c r="AA851" s="1654"/>
      <c r="AB851" s="1654"/>
      <c r="AC851" s="1654"/>
      <c r="AZ851" s="1638"/>
      <c r="BA851" s="1638"/>
      <c r="BB851" s="14"/>
      <c r="BC851" s="14"/>
    </row>
    <row r="852" spans="3:55" ht="13" customHeight="1">
      <c r="J852" s="45" t="s">
        <v>351</v>
      </c>
      <c r="K852" s="5"/>
      <c r="L852" s="5"/>
      <c r="M852" s="5"/>
      <c r="N852" s="5"/>
      <c r="O852" s="5"/>
      <c r="P852" s="5"/>
      <c r="Q852" s="5"/>
      <c r="R852" s="5"/>
      <c r="S852" s="5"/>
      <c r="T852" s="5"/>
      <c r="U852" s="5"/>
      <c r="V852" s="46"/>
      <c r="W852" s="1654">
        <v>20000</v>
      </c>
      <c r="X852" s="1654"/>
      <c r="Y852" s="1654"/>
      <c r="Z852" s="1654"/>
      <c r="AA852" s="1654"/>
      <c r="AB852" s="1654"/>
      <c r="AC852" s="1654"/>
      <c r="AZ852" s="30"/>
      <c r="BA852" s="30"/>
      <c r="BB852" s="14"/>
      <c r="BC852" s="14"/>
    </row>
    <row r="853" spans="3:55" ht="13" customHeight="1">
      <c r="J853" s="45" t="s">
        <v>460</v>
      </c>
      <c r="K853" s="5"/>
      <c r="L853" s="5"/>
      <c r="M853" s="5"/>
      <c r="N853" s="5"/>
      <c r="O853" s="5"/>
      <c r="P853" s="5"/>
      <c r="Q853" s="5"/>
      <c r="R853" s="5"/>
      <c r="S853" s="5"/>
      <c r="T853" s="5"/>
      <c r="U853" s="5"/>
      <c r="V853" s="46"/>
      <c r="W853" s="1654">
        <v>213555</v>
      </c>
      <c r="X853" s="1654"/>
      <c r="Y853" s="1654"/>
      <c r="Z853" s="1654"/>
      <c r="AA853" s="1654"/>
      <c r="AB853" s="1654"/>
      <c r="AC853" s="1654"/>
      <c r="AZ853" s="30"/>
      <c r="BA853" s="30"/>
      <c r="BB853" s="14"/>
      <c r="BC853" s="14"/>
    </row>
    <row r="854" spans="3:55" ht="13" customHeight="1">
      <c r="J854" s="62" t="s">
        <v>621</v>
      </c>
      <c r="K854" s="5"/>
      <c r="L854" s="5"/>
      <c r="M854" s="5"/>
      <c r="N854" s="5"/>
      <c r="O854" s="5"/>
      <c r="P854" s="5"/>
      <c r="Q854" s="5"/>
      <c r="R854" s="5"/>
      <c r="S854" s="5"/>
      <c r="T854" s="5"/>
      <c r="U854" s="5"/>
      <c r="V854" s="46"/>
      <c r="W854" s="1654">
        <v>30000</v>
      </c>
      <c r="X854" s="1654"/>
      <c r="Y854" s="1654"/>
      <c r="Z854" s="1654"/>
      <c r="AA854" s="1654"/>
      <c r="AB854" s="1654"/>
      <c r="AC854" s="1654"/>
      <c r="AZ854" s="34"/>
      <c r="BA854" s="34"/>
      <c r="BB854" s="34"/>
      <c r="BC854" s="34"/>
    </row>
    <row r="855" spans="3:55" ht="13" customHeight="1">
      <c r="J855" s="63"/>
      <c r="K855" s="48"/>
      <c r="L855" s="48"/>
      <c r="M855" s="48"/>
      <c r="N855" s="48"/>
      <c r="O855" s="48"/>
      <c r="P855" s="48"/>
      <c r="Q855" s="48"/>
      <c r="R855" s="48"/>
      <c r="S855" s="48"/>
      <c r="T855" s="48"/>
      <c r="U855" s="48"/>
      <c r="V855" s="54" t="s">
        <v>272</v>
      </c>
      <c r="W855" s="1655">
        <f>SUM(W851:AC854)</f>
        <v>263555</v>
      </c>
      <c r="X855" s="1655"/>
      <c r="Y855" s="1655"/>
      <c r="Z855" s="1655"/>
      <c r="AA855" s="1655"/>
      <c r="AB855" s="1655"/>
      <c r="AC855" s="1655"/>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51">
        <v>120000</v>
      </c>
      <c r="X857" s="1652"/>
      <c r="Y857" s="1652"/>
      <c r="Z857" s="1652"/>
      <c r="AA857" s="1652"/>
      <c r="AB857" s="1652"/>
      <c r="AC857" s="1653"/>
      <c r="AD857" s="529"/>
      <c r="AZ857" s="34"/>
      <c r="BA857" s="34"/>
      <c r="BB857" s="34"/>
      <c r="BC857" s="34"/>
    </row>
    <row r="858" spans="3:55" ht="13" customHeight="1">
      <c r="C858" s="2" t="s">
        <v>347</v>
      </c>
      <c r="J858" s="121" t="s">
        <v>1655</v>
      </c>
      <c r="K858" s="5"/>
      <c r="L858" s="5"/>
      <c r="M858" s="5"/>
      <c r="N858" s="5"/>
      <c r="O858" s="5"/>
      <c r="P858" s="5"/>
      <c r="Q858" s="5"/>
      <c r="R858" s="5"/>
      <c r="S858" s="5"/>
      <c r="T858" s="1642">
        <v>2</v>
      </c>
      <c r="U858" s="1602"/>
      <c r="V858" s="1643"/>
      <c r="W858" s="875"/>
      <c r="X858" s="876"/>
      <c r="Y858" s="876"/>
      <c r="Z858" s="876"/>
      <c r="AA858" s="876"/>
      <c r="AB858" s="876"/>
      <c r="AC858" s="877"/>
      <c r="AD858" s="529"/>
      <c r="AZ858" s="34"/>
      <c r="BA858" s="34"/>
      <c r="BB858" s="34"/>
      <c r="BC858" s="34"/>
    </row>
    <row r="859" spans="3:55" ht="13" customHeight="1">
      <c r="C859" s="2"/>
      <c r="J859" s="45" t="s">
        <v>619</v>
      </c>
      <c r="K859" s="5"/>
      <c r="L859" s="5"/>
      <c r="M859" s="5"/>
      <c r="N859" s="5"/>
      <c r="O859" s="5"/>
      <c r="P859" s="5"/>
      <c r="Q859" s="5"/>
      <c r="R859" s="5"/>
      <c r="S859" s="5"/>
      <c r="T859" s="5"/>
      <c r="U859" s="5"/>
      <c r="V859" s="46"/>
      <c r="W859" s="1651">
        <v>50000</v>
      </c>
      <c r="X859" s="1652"/>
      <c r="Y859" s="1652"/>
      <c r="Z859" s="1652"/>
      <c r="AA859" s="1652"/>
      <c r="AB859" s="1652"/>
      <c r="AC859" s="1653"/>
      <c r="AD859" s="534"/>
      <c r="AZ859" s="34"/>
      <c r="BA859" s="34"/>
      <c r="BB859" s="34"/>
      <c r="BC859" s="34"/>
    </row>
    <row r="860" spans="3:55" ht="13" customHeight="1">
      <c r="C860" s="2"/>
      <c r="J860" s="121" t="s">
        <v>1656</v>
      </c>
      <c r="K860" s="5"/>
      <c r="L860" s="5"/>
      <c r="M860" s="5"/>
      <c r="N860" s="5"/>
      <c r="O860" s="5"/>
      <c r="P860" s="5"/>
      <c r="Q860" s="5"/>
      <c r="R860" s="5"/>
      <c r="S860" s="5"/>
      <c r="T860" s="1642"/>
      <c r="U860" s="1602"/>
      <c r="V860" s="1643"/>
      <c r="W860" s="875"/>
      <c r="X860" s="876"/>
      <c r="Y860" s="876"/>
      <c r="Z860" s="876"/>
      <c r="AA860" s="876"/>
      <c r="AB860" s="876"/>
      <c r="AC860" s="877"/>
      <c r="AD860" s="534"/>
      <c r="AZ860" s="34"/>
      <c r="BA860" s="34"/>
      <c r="BB860" s="34"/>
      <c r="BC860" s="34"/>
    </row>
    <row r="861" spans="3:55" ht="13" customHeight="1">
      <c r="J861" s="45" t="s">
        <v>170</v>
      </c>
      <c r="K861" s="5"/>
      <c r="L861" s="5"/>
      <c r="M861" s="1629" t="s">
        <v>334</v>
      </c>
      <c r="N861" s="1630"/>
      <c r="O861" s="1630"/>
      <c r="P861" s="1630"/>
      <c r="Q861" s="1630"/>
      <c r="R861" s="1630"/>
      <c r="S861" s="1630"/>
      <c r="T861" s="1630"/>
      <c r="U861" s="1630"/>
      <c r="V861" s="1631"/>
      <c r="W861" s="1651"/>
      <c r="X861" s="1652"/>
      <c r="Y861" s="1652"/>
      <c r="Z861" s="1652"/>
      <c r="AA861" s="1652"/>
      <c r="AB861" s="1652"/>
      <c r="AC861" s="1653"/>
      <c r="AD861" s="529"/>
      <c r="AU861" s="14"/>
      <c r="AZ861" s="34"/>
      <c r="BA861" s="34"/>
      <c r="BB861" s="34"/>
      <c r="BC861" s="34"/>
    </row>
    <row r="862" spans="3:55" ht="13" customHeight="1">
      <c r="J862" s="45"/>
      <c r="K862" s="5"/>
      <c r="L862" s="5"/>
      <c r="M862" s="5"/>
      <c r="N862" s="5"/>
      <c r="O862" s="5"/>
      <c r="P862" s="5"/>
      <c r="Q862" s="5"/>
      <c r="R862" s="5"/>
      <c r="S862" s="5"/>
      <c r="T862" s="5"/>
      <c r="U862" s="5"/>
      <c r="V862" s="54" t="s">
        <v>273</v>
      </c>
      <c r="W862" s="1644">
        <f>SUM(W857:AC861)</f>
        <v>170000</v>
      </c>
      <c r="X862" s="1645"/>
      <c r="Y862" s="1645"/>
      <c r="Z862" s="1645"/>
      <c r="AA862" s="1645"/>
      <c r="AB862" s="1645"/>
      <c r="AC862" s="1646"/>
      <c r="AD862" s="534"/>
      <c r="AU862" s="14"/>
      <c r="AZ862" s="34"/>
      <c r="BA862" s="34"/>
      <c r="BB862" s="34"/>
      <c r="BC862" s="34"/>
    </row>
    <row r="863" spans="3:55" ht="13" customHeight="1">
      <c r="J863" s="45"/>
      <c r="K863" s="5"/>
      <c r="L863" s="5"/>
      <c r="M863" s="5"/>
      <c r="N863" s="5"/>
      <c r="O863" s="5"/>
      <c r="P863" s="5"/>
      <c r="Q863" s="5"/>
      <c r="R863" s="5"/>
      <c r="S863" s="5"/>
      <c r="T863" s="5"/>
      <c r="U863" s="5"/>
      <c r="V863" s="54" t="s">
        <v>274</v>
      </c>
      <c r="W863" s="1651">
        <v>200000</v>
      </c>
      <c r="X863" s="1652"/>
      <c r="Y863" s="1652"/>
      <c r="Z863" s="1652"/>
      <c r="AA863" s="1652"/>
      <c r="AB863" s="1652"/>
      <c r="AC863" s="1653"/>
      <c r="AU863" s="14"/>
      <c r="AZ863" s="34"/>
      <c r="BA863" s="34"/>
      <c r="BB863" s="34"/>
      <c r="BC863" s="34"/>
    </row>
    <row r="864" spans="3:55" ht="13" customHeight="1">
      <c r="J864" s="513"/>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633">
        <v>10000</v>
      </c>
      <c r="X865" s="1633"/>
      <c r="Y865" s="1633"/>
      <c r="Z865" s="1633"/>
      <c r="AA865" s="1633"/>
      <c r="AB865" s="1633"/>
      <c r="AC865" s="1633"/>
      <c r="AU865" s="14"/>
      <c r="AZ865" s="34"/>
      <c r="BA865" s="34"/>
      <c r="BB865" s="34"/>
      <c r="BC865" s="34"/>
    </row>
    <row r="866" spans="3:55" ht="13" customHeight="1">
      <c r="J866" s="45" t="s">
        <v>523</v>
      </c>
      <c r="K866" s="5"/>
      <c r="L866" s="5"/>
      <c r="M866" s="5"/>
      <c r="N866" s="5"/>
      <c r="O866" s="5"/>
      <c r="P866" s="5"/>
      <c r="Q866" s="5"/>
      <c r="R866" s="5"/>
      <c r="S866" s="5"/>
      <c r="T866" s="5"/>
      <c r="U866" s="5"/>
      <c r="V866" s="46"/>
      <c r="W866" s="1633">
        <v>75000</v>
      </c>
      <c r="X866" s="1633"/>
      <c r="Y866" s="1633"/>
      <c r="Z866" s="1633"/>
      <c r="AA866" s="1633"/>
      <c r="AB866" s="1633"/>
      <c r="AC866" s="1633"/>
      <c r="AU866" s="4"/>
      <c r="AZ866" s="34"/>
      <c r="BA866" s="34"/>
      <c r="BB866" s="34"/>
      <c r="BC866" s="34"/>
    </row>
    <row r="867" spans="3:55" ht="13" customHeight="1">
      <c r="J867" s="45" t="s">
        <v>522</v>
      </c>
      <c r="K867" s="5"/>
      <c r="L867" s="5"/>
      <c r="M867" s="5"/>
      <c r="N867" s="5"/>
      <c r="O867" s="5"/>
      <c r="P867" s="5"/>
      <c r="Q867" s="5"/>
      <c r="R867" s="5"/>
      <c r="S867" s="5"/>
      <c r="T867" s="5"/>
      <c r="U867" s="5"/>
      <c r="V867" s="46"/>
      <c r="W867" s="1633">
        <v>20000</v>
      </c>
      <c r="X867" s="1633"/>
      <c r="Y867" s="1633"/>
      <c r="Z867" s="1633"/>
      <c r="AA867" s="1633"/>
      <c r="AB867" s="1633"/>
      <c r="AC867" s="1633"/>
      <c r="AU867" s="4"/>
      <c r="AZ867" s="34"/>
      <c r="BA867" s="34"/>
      <c r="BB867" s="34"/>
      <c r="BC867" s="34"/>
    </row>
    <row r="868" spans="3:55" ht="13" customHeight="1">
      <c r="J868" s="45" t="s">
        <v>521</v>
      </c>
      <c r="K868" s="5"/>
      <c r="L868" s="5"/>
      <c r="M868" s="5"/>
      <c r="N868" s="5"/>
      <c r="O868" s="5"/>
      <c r="P868" s="5"/>
      <c r="Q868" s="5"/>
      <c r="R868" s="5"/>
      <c r="S868" s="5"/>
      <c r="T868" s="5"/>
      <c r="U868" s="5"/>
      <c r="V868" s="46"/>
      <c r="W868" s="1633">
        <v>1000</v>
      </c>
      <c r="X868" s="1633"/>
      <c r="Y868" s="1633"/>
      <c r="Z868" s="1633"/>
      <c r="AA868" s="1633"/>
      <c r="AB868" s="1633"/>
      <c r="AC868" s="1633"/>
      <c r="AU868" s="4"/>
      <c r="AZ868" s="34"/>
      <c r="BA868" s="34"/>
      <c r="BB868" s="34"/>
      <c r="BC868" s="34"/>
    </row>
    <row r="869" spans="3:55" ht="13" customHeight="1">
      <c r="J869" s="45" t="s">
        <v>520</v>
      </c>
      <c r="K869" s="5"/>
      <c r="L869" s="5"/>
      <c r="M869" s="5"/>
      <c r="N869" s="5"/>
      <c r="O869" s="5"/>
      <c r="P869" s="5"/>
      <c r="Q869" s="5"/>
      <c r="R869" s="5"/>
      <c r="S869" s="5"/>
      <c r="T869" s="5"/>
      <c r="U869" s="5"/>
      <c r="V869" s="46"/>
      <c r="W869" s="1633">
        <v>10000</v>
      </c>
      <c r="X869" s="1633"/>
      <c r="Y869" s="1633"/>
      <c r="Z869" s="1633"/>
      <c r="AA869" s="1633"/>
      <c r="AB869" s="1633"/>
      <c r="AC869" s="1633"/>
      <c r="AU869" s="4"/>
      <c r="AZ869" s="34"/>
      <c r="BA869" s="34"/>
      <c r="BB869" s="34"/>
      <c r="BC869" s="34"/>
    </row>
    <row r="870" spans="3:55" ht="13" customHeight="1">
      <c r="J870" s="45" t="s">
        <v>519</v>
      </c>
      <c r="K870" s="5"/>
      <c r="L870" s="5"/>
      <c r="M870" s="5"/>
      <c r="N870" s="5"/>
      <c r="O870" s="5"/>
      <c r="P870" s="5"/>
      <c r="Q870" s="5"/>
      <c r="R870" s="5"/>
      <c r="S870" s="5"/>
      <c r="T870" s="5"/>
      <c r="U870" s="5"/>
      <c r="V870" s="46"/>
      <c r="W870" s="1633">
        <v>10000</v>
      </c>
      <c r="X870" s="1633"/>
      <c r="Y870" s="1633"/>
      <c r="Z870" s="1633"/>
      <c r="AA870" s="1633"/>
      <c r="AB870" s="1633"/>
      <c r="AC870" s="1633"/>
      <c r="AU870" s="4"/>
      <c r="AZ870" s="34"/>
      <c r="BA870" s="34"/>
      <c r="BB870" s="34"/>
      <c r="BC870" s="34"/>
    </row>
    <row r="871" spans="3:55" ht="13" customHeight="1">
      <c r="J871" s="45" t="s">
        <v>170</v>
      </c>
      <c r="K871" s="5"/>
      <c r="L871" s="5"/>
      <c r="M871" s="1629" t="s">
        <v>334</v>
      </c>
      <c r="N871" s="1630"/>
      <c r="O871" s="1630"/>
      <c r="P871" s="1630"/>
      <c r="Q871" s="1630"/>
      <c r="R871" s="1630"/>
      <c r="S871" s="1630"/>
      <c r="T871" s="1630"/>
      <c r="U871" s="1630"/>
      <c r="V871" s="1631"/>
      <c r="W871" s="1633"/>
      <c r="X871" s="1633"/>
      <c r="Y871" s="1633"/>
      <c r="Z871" s="1633"/>
      <c r="AA871" s="1633"/>
      <c r="AB871" s="1633"/>
      <c r="AC871" s="1633"/>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04">
        <f>SUM(W865:AC871)</f>
        <v>126000</v>
      </c>
      <c r="X872" s="1604"/>
      <c r="Y872" s="1604"/>
      <c r="Z872" s="1604"/>
      <c r="AA872" s="1604"/>
      <c r="AB872" s="1604"/>
      <c r="AC872" s="1604"/>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170</v>
      </c>
      <c r="K874" s="5"/>
      <c r="L874" s="5"/>
      <c r="M874" s="1629" t="s">
        <v>334</v>
      </c>
      <c r="N874" s="1630"/>
      <c r="O874" s="1630"/>
      <c r="P874" s="1630"/>
      <c r="Q874" s="1630"/>
      <c r="R874" s="1630"/>
      <c r="S874" s="1630"/>
      <c r="T874" s="1630"/>
      <c r="U874" s="1630"/>
      <c r="V874" s="1631"/>
      <c r="W874" s="1464"/>
      <c r="X874" s="1465"/>
      <c r="Y874" s="1465"/>
      <c r="Z874" s="1465"/>
      <c r="AA874" s="1465"/>
      <c r="AB874" s="1465"/>
      <c r="AC874" s="1466"/>
      <c r="AD874" s="534"/>
      <c r="AV874" s="14"/>
      <c r="AW874" s="14"/>
      <c r="AX874" s="14"/>
      <c r="AY874" s="14"/>
      <c r="AZ874" s="34"/>
      <c r="BA874" s="34"/>
      <c r="BB874" s="34"/>
      <c r="BC874" s="34"/>
    </row>
    <row r="875" spans="3:55" ht="13" customHeight="1">
      <c r="C875" s="2" t="s">
        <v>1244</v>
      </c>
      <c r="J875" s="45" t="s">
        <v>170</v>
      </c>
      <c r="K875" s="5"/>
      <c r="L875" s="5"/>
      <c r="M875" s="1629" t="s">
        <v>334</v>
      </c>
      <c r="N875" s="1630"/>
      <c r="O875" s="1630"/>
      <c r="P875" s="1630"/>
      <c r="Q875" s="1630"/>
      <c r="R875" s="1630"/>
      <c r="S875" s="1630"/>
      <c r="T875" s="1630"/>
      <c r="U875" s="1630"/>
      <c r="V875" s="1631"/>
      <c r="W875" s="1464"/>
      <c r="X875" s="1465"/>
      <c r="Y875" s="1465"/>
      <c r="Z875" s="1465"/>
      <c r="AA875" s="1465"/>
      <c r="AB875" s="1465"/>
      <c r="AC875" s="1466"/>
      <c r="AD875" s="534"/>
      <c r="AV875" s="14"/>
      <c r="AW875" s="14"/>
      <c r="AX875" s="14"/>
      <c r="AY875" s="14"/>
      <c r="AZ875" s="34"/>
      <c r="BA875" s="34"/>
      <c r="BB875" s="34"/>
      <c r="BC875" s="34"/>
    </row>
    <row r="876" spans="3:55" ht="13" customHeight="1">
      <c r="J876" s="45" t="s">
        <v>170</v>
      </c>
      <c r="K876" s="5"/>
      <c r="L876" s="5"/>
      <c r="M876" s="1629" t="s">
        <v>334</v>
      </c>
      <c r="N876" s="1630"/>
      <c r="O876" s="1630"/>
      <c r="P876" s="1630"/>
      <c r="Q876" s="1630"/>
      <c r="R876" s="1630"/>
      <c r="S876" s="1630"/>
      <c r="T876" s="1630"/>
      <c r="U876" s="1630"/>
      <c r="V876" s="1631"/>
      <c r="W876" s="1464"/>
      <c r="X876" s="1465"/>
      <c r="Y876" s="1465"/>
      <c r="Z876" s="1465"/>
      <c r="AA876" s="1465"/>
      <c r="AB876" s="1465"/>
      <c r="AC876" s="1466"/>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29" t="s">
        <v>334</v>
      </c>
      <c r="N877" s="1630"/>
      <c r="O877" s="1630"/>
      <c r="P877" s="1630"/>
      <c r="Q877" s="1630"/>
      <c r="R877" s="1630"/>
      <c r="S877" s="1630"/>
      <c r="T877" s="1630"/>
      <c r="U877" s="1630"/>
      <c r="V877" s="1631"/>
      <c r="W877" s="1464"/>
      <c r="X877" s="1465"/>
      <c r="Y877" s="1465"/>
      <c r="Z877" s="1465"/>
      <c r="AA877" s="1465"/>
      <c r="AB877" s="1465"/>
      <c r="AC877" s="1466"/>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29" t="s">
        <v>334</v>
      </c>
      <c r="N878" s="1630"/>
      <c r="O878" s="1630"/>
      <c r="P878" s="1630"/>
      <c r="Q878" s="1630"/>
      <c r="R878" s="1630"/>
      <c r="S878" s="1630"/>
      <c r="T878" s="1630"/>
      <c r="U878" s="1630"/>
      <c r="V878" s="1631"/>
      <c r="W878" s="1464"/>
      <c r="X878" s="1465"/>
      <c r="Y878" s="1465"/>
      <c r="Z878" s="1465"/>
      <c r="AA878" s="1465"/>
      <c r="AB878" s="1465"/>
      <c r="AC878" s="1466"/>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08">
        <f>SUM(W874:AC878)</f>
        <v>0</v>
      </c>
      <c r="X879" s="1409"/>
      <c r="Y879" s="1409"/>
      <c r="Z879" s="1409"/>
      <c r="AA879" s="1409"/>
      <c r="AB879" s="1409"/>
      <c r="AC879" s="1410"/>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409">
        <f>W847+W855+W862+W863+W872+W879+W849</f>
        <v>1290555</v>
      </c>
      <c r="AD883" s="1409"/>
      <c r="AE883" s="1409"/>
      <c r="AF883" s="1409"/>
      <c r="AG883" s="1409"/>
      <c r="AH883" s="1410"/>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647">
        <f>O797+O777+G753</f>
        <v>241</v>
      </c>
      <c r="AD884" s="1647"/>
      <c r="AE884" s="1647"/>
      <c r="AF884" s="1647"/>
      <c r="AG884" s="1647"/>
      <c r="AH884" s="1648"/>
      <c r="AL884" s="4"/>
      <c r="AM884" s="4"/>
      <c r="AN884" s="4"/>
      <c r="AO884" s="4"/>
      <c r="AP884" s="4"/>
      <c r="AQ884" s="4"/>
      <c r="AR884" s="4"/>
      <c r="AS884" s="4"/>
      <c r="AT884" s="4"/>
      <c r="AZ884" s="34"/>
      <c r="BA884" s="34"/>
      <c r="BB884" s="34"/>
      <c r="BC884" s="34"/>
    </row>
    <row r="885" spans="3:55" ht="13" customHeight="1">
      <c r="C885" s="41"/>
      <c r="D885" s="42"/>
      <c r="E885" s="1727" t="s">
        <v>32</v>
      </c>
      <c r="F885" s="1727"/>
      <c r="G885" s="1727"/>
      <c r="H885" s="1727"/>
      <c r="I885" s="1727"/>
      <c r="J885" s="1727"/>
      <c r="K885" s="1727"/>
      <c r="L885" s="1727"/>
      <c r="M885" s="1727"/>
      <c r="N885" s="1727"/>
      <c r="O885" s="1727"/>
      <c r="P885" s="1727"/>
      <c r="Q885" s="1727"/>
      <c r="R885" s="1727"/>
      <c r="S885" s="1727"/>
      <c r="T885" s="1727"/>
      <c r="U885" s="1727"/>
      <c r="V885" s="1727"/>
      <c r="W885" s="1727"/>
      <c r="X885" s="1727"/>
      <c r="Y885" s="1727"/>
      <c r="Z885" s="1727"/>
      <c r="AA885" s="1727"/>
      <c r="AB885" s="1728"/>
      <c r="AC885" s="1604">
        <f>IF(ISERROR((ROUNDDOWN(AC883/AC884,0))),0,(ROUNDDOWN(AC883/AC884,0)))</f>
        <v>5355</v>
      </c>
      <c r="AD885" s="1604"/>
      <c r="AE885" s="1604"/>
      <c r="AF885" s="1604"/>
      <c r="AG885" s="1604"/>
      <c r="AH885" s="1604"/>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9">
        <f>'Sources and Uses Budget'!C75</f>
        <v>1149586</v>
      </c>
      <c r="AD886" s="1650"/>
      <c r="AE886" s="1650"/>
      <c r="AF886" s="1650"/>
      <c r="AG886" s="1650"/>
      <c r="AH886" s="1650"/>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6"/>
      <c r="AD887" s="1633"/>
      <c r="AE887" s="1633"/>
      <c r="AF887" s="1633"/>
      <c r="AG887" s="1633"/>
      <c r="AH887" s="1633"/>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5">
        <v>31500</v>
      </c>
      <c r="AD888" s="1465"/>
      <c r="AE888" s="1465"/>
      <c r="AF888" s="1465"/>
      <c r="AG888" s="1465"/>
      <c r="AH888" s="1466"/>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5">
        <v>60250</v>
      </c>
      <c r="AD889" s="1465"/>
      <c r="AE889" s="1465"/>
      <c r="AF889" s="1465"/>
      <c r="AG889" s="1465"/>
      <c r="AH889" s="1466"/>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69">
        <v>18075</v>
      </c>
      <c r="AD890" s="1470"/>
      <c r="AE890" s="1470"/>
      <c r="AF890" s="1470"/>
      <c r="AG890" s="1470"/>
      <c r="AH890" s="1471"/>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5">
        <v>36150</v>
      </c>
      <c r="AD891" s="1465"/>
      <c r="AE891" s="1465"/>
      <c r="AF891" s="1465"/>
      <c r="AG891" s="1465"/>
      <c r="AH891" s="1466"/>
      <c r="AZ891" s="34"/>
      <c r="BA891" s="34"/>
      <c r="BB891" s="34"/>
      <c r="BC891" s="34"/>
    </row>
    <row r="892" spans="3:55" ht="13" hidden="1" customHeight="1">
      <c r="C892" s="1425" t="s">
        <v>2236</v>
      </c>
      <c r="D892" s="1426"/>
      <c r="E892" s="1426"/>
      <c r="F892" s="1426"/>
      <c r="G892" s="1426"/>
      <c r="H892" s="1426"/>
      <c r="I892" s="1426"/>
      <c r="J892" s="1426"/>
      <c r="K892" s="1426"/>
      <c r="L892" s="1426"/>
      <c r="M892" s="1426"/>
      <c r="N892" s="1426"/>
      <c r="O892" s="1426"/>
      <c r="P892" s="1426"/>
      <c r="Q892" s="1426"/>
      <c r="R892" s="1426"/>
      <c r="S892" s="1426"/>
      <c r="T892" s="1426"/>
      <c r="U892" s="1426"/>
      <c r="V892" s="1426"/>
      <c r="W892" s="1426"/>
      <c r="X892" s="1426"/>
      <c r="Y892" s="1426"/>
      <c r="Z892" s="1426"/>
      <c r="AA892" s="1426"/>
      <c r="AB892" s="1428"/>
      <c r="AC892" s="1465"/>
      <c r="AD892" s="1465"/>
      <c r="AE892" s="1465"/>
      <c r="AF892" s="1465"/>
      <c r="AG892" s="1465"/>
      <c r="AH892" s="1466"/>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5"/>
      <c r="AD893" s="1465"/>
      <c r="AE893" s="1465"/>
      <c r="AF893" s="1465"/>
      <c r="AG893" s="1465"/>
      <c r="AH893" s="1466"/>
      <c r="AZ893" s="34"/>
      <c r="BA893" s="34"/>
      <c r="BB893" s="34"/>
      <c r="BC893" s="34"/>
    </row>
    <row r="894" spans="3:55" ht="13" customHeight="1">
      <c r="C894" s="1721" t="s">
        <v>956</v>
      </c>
      <c r="D894" s="1722"/>
      <c r="E894" s="1722"/>
      <c r="F894" s="1722"/>
      <c r="G894" s="1722"/>
      <c r="H894" s="1722"/>
      <c r="I894" s="1722"/>
      <c r="J894" s="1722"/>
      <c r="K894" s="1722"/>
      <c r="L894" s="1722"/>
      <c r="M894" s="1722"/>
      <c r="N894" s="1722"/>
      <c r="O894" s="1722"/>
      <c r="P894" s="1722"/>
      <c r="Q894" s="1722"/>
      <c r="R894" s="1722"/>
      <c r="S894" s="1722"/>
      <c r="T894" s="1722"/>
      <c r="U894" s="1722"/>
      <c r="V894" s="1722"/>
      <c r="W894" s="1722"/>
      <c r="X894" s="1722"/>
      <c r="Y894" s="1722"/>
      <c r="Z894" s="1722"/>
      <c r="AA894" s="1722"/>
      <c r="AB894" s="1723"/>
      <c r="AC894" s="1633"/>
      <c r="AD894" s="1633"/>
      <c r="AE894" s="1633"/>
      <c r="AF894" s="1633"/>
      <c r="AG894" s="1633"/>
      <c r="AH894" s="1633"/>
      <c r="AZ894" s="34"/>
      <c r="BA894" s="34"/>
      <c r="BB894" s="34"/>
      <c r="BC894" s="34"/>
    </row>
    <row r="895" spans="3:55" ht="13" customHeight="1">
      <c r="C895" s="1721" t="s">
        <v>956</v>
      </c>
      <c r="D895" s="1722"/>
      <c r="E895" s="1722"/>
      <c r="F895" s="1722"/>
      <c r="G895" s="1722"/>
      <c r="H895" s="1722"/>
      <c r="I895" s="1722"/>
      <c r="J895" s="1722"/>
      <c r="K895" s="1722"/>
      <c r="L895" s="1722"/>
      <c r="M895" s="1722"/>
      <c r="N895" s="1722"/>
      <c r="O895" s="1722"/>
      <c r="P895" s="1722"/>
      <c r="Q895" s="1722"/>
      <c r="R895" s="1722"/>
      <c r="S895" s="1722"/>
      <c r="T895" s="1722"/>
      <c r="U895" s="1722"/>
      <c r="V895" s="1722"/>
      <c r="W895" s="1722"/>
      <c r="X895" s="1722"/>
      <c r="Y895" s="1722"/>
      <c r="Z895" s="1722"/>
      <c r="AA895" s="1722"/>
      <c r="AB895" s="1723"/>
      <c r="AC895" s="1633"/>
      <c r="AD895" s="1633"/>
      <c r="AE895" s="1633"/>
      <c r="AF895" s="1633"/>
      <c r="AG895" s="1633"/>
      <c r="AH895" s="1633"/>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64"/>
      <c r="AA899" s="1465"/>
      <c r="AB899" s="1465"/>
      <c r="AC899" s="1465"/>
      <c r="AD899" s="1465"/>
      <c r="AE899" s="1466"/>
      <c r="AF899" s="534"/>
      <c r="AZ899" s="34"/>
      <c r="BB899" s="30"/>
      <c r="BC899" s="817"/>
      <c r="BD899" s="1634"/>
      <c r="BE899" s="1634"/>
      <c r="BF899" s="14"/>
    </row>
    <row r="900" spans="1:58" ht="13" customHeight="1">
      <c r="H900" s="121" t="s">
        <v>239</v>
      </c>
      <c r="I900" s="5"/>
      <c r="J900" s="5"/>
      <c r="K900" s="5"/>
      <c r="L900" s="5"/>
      <c r="M900" s="5"/>
      <c r="N900" s="5"/>
      <c r="O900" s="5"/>
      <c r="P900" s="5"/>
      <c r="Q900" s="5"/>
      <c r="R900" s="5"/>
      <c r="S900" s="5"/>
      <c r="T900" s="5"/>
      <c r="U900" s="5"/>
      <c r="V900" s="5"/>
      <c r="W900" s="5"/>
      <c r="X900" s="5"/>
      <c r="Y900" s="5"/>
      <c r="Z900" s="1464"/>
      <c r="AA900" s="1465"/>
      <c r="AB900" s="1465"/>
      <c r="AC900" s="1465"/>
      <c r="AD900" s="1465"/>
      <c r="AE900" s="1466"/>
      <c r="AZ900" s="34"/>
      <c r="BB900" s="30"/>
      <c r="BC900" s="817"/>
      <c r="BD900" s="1634"/>
      <c r="BE900" s="1634"/>
      <c r="BF900" s="14"/>
    </row>
    <row r="901" spans="1:58" ht="13" customHeight="1">
      <c r="H901" s="121" t="s">
        <v>240</v>
      </c>
      <c r="I901" s="5"/>
      <c r="J901" s="5"/>
      <c r="K901" s="5"/>
      <c r="L901" s="5"/>
      <c r="M901" s="5"/>
      <c r="N901" s="5"/>
      <c r="O901" s="5"/>
      <c r="P901" s="5"/>
      <c r="Q901" s="5"/>
      <c r="R901" s="5"/>
      <c r="S901" s="5"/>
      <c r="T901" s="5"/>
      <c r="U901" s="5"/>
      <c r="V901" s="5"/>
      <c r="W901" s="5"/>
      <c r="X901" s="5"/>
      <c r="Y901" s="5"/>
      <c r="Z901" s="1464"/>
      <c r="AA901" s="1465"/>
      <c r="AB901" s="1465"/>
      <c r="AC901" s="1465"/>
      <c r="AD901" s="1465"/>
      <c r="AE901" s="1466"/>
      <c r="AZ901" s="34"/>
      <c r="BB901" s="30"/>
      <c r="BC901" s="817"/>
      <c r="BD901" s="1635"/>
      <c r="BE901" s="1635"/>
      <c r="BF901" s="14"/>
    </row>
    <row r="902" spans="1:58" ht="13" customHeight="1">
      <c r="H902" s="45"/>
      <c r="I902" s="5"/>
      <c r="J902" s="5"/>
      <c r="K902" s="5"/>
      <c r="L902" s="5"/>
      <c r="M902" s="5"/>
      <c r="N902" s="5"/>
      <c r="O902" s="5"/>
      <c r="P902" s="5"/>
      <c r="Q902" s="5"/>
      <c r="R902" s="5"/>
      <c r="S902" s="5"/>
      <c r="T902" s="5"/>
      <c r="U902" s="5"/>
      <c r="V902" s="5"/>
      <c r="W902" s="5"/>
      <c r="X902" s="5"/>
      <c r="Y902" s="181" t="s">
        <v>241</v>
      </c>
      <c r="Z902" s="1408">
        <f>Z899-(Z900+Z901)</f>
        <v>0</v>
      </c>
      <c r="AA902" s="1409"/>
      <c r="AB902" s="1409"/>
      <c r="AC902" s="1409"/>
      <c r="AD902" s="1409"/>
      <c r="AE902" s="1410"/>
      <c r="AZ902" s="34"/>
      <c r="BB902" s="30"/>
      <c r="BC902" s="817"/>
      <c r="BD902" s="1635"/>
      <c r="BE902" s="1635"/>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5"/>
      <c r="BE903" s="1635"/>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4"/>
      <c r="BE904" s="1635"/>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37"/>
      <c r="BE905" s="1637"/>
      <c r="BF905" s="1637"/>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36"/>
      <c r="BE906" s="1636"/>
      <c r="BF906" s="1636"/>
    </row>
    <row r="907" spans="1:58" ht="13"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5"/>
      <c r="BE907" s="1635"/>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4"/>
      <c r="BE908" s="1635"/>
      <c r="BF908" s="14"/>
    </row>
    <row r="909" spans="1:58" ht="13" customHeight="1">
      <c r="AZ909" s="34"/>
      <c r="BB909" s="30"/>
      <c r="BC909" s="817"/>
    </row>
    <row r="910" spans="1:58" ht="13" customHeight="1">
      <c r="A910" s="1540" t="s">
        <v>96</v>
      </c>
      <c r="B910" s="1540"/>
      <c r="C910" s="1540"/>
      <c r="D910" s="1540"/>
      <c r="E910" s="1540"/>
      <c r="F910" s="1540"/>
      <c r="G910" s="1540"/>
      <c r="H910" s="1540"/>
      <c r="I910" s="1540"/>
      <c r="J910" s="1540"/>
      <c r="K910" s="1540"/>
      <c r="L910" s="1540"/>
      <c r="M910" s="1540"/>
      <c r="N910" s="1540"/>
      <c r="O910" s="1540"/>
      <c r="P910" s="1540"/>
      <c r="Q910" s="1540"/>
      <c r="R910" s="1540"/>
      <c r="S910" s="1540"/>
      <c r="T910" s="1540"/>
      <c r="U910" s="1540"/>
      <c r="V910" s="1540"/>
      <c r="W910" s="1540"/>
      <c r="X910" s="1540"/>
      <c r="Y910" s="1540"/>
      <c r="Z910" s="1540"/>
      <c r="AA910" s="1540"/>
      <c r="AB910" s="1540"/>
      <c r="AC910" s="1540"/>
      <c r="AD910" s="1540"/>
      <c r="AE910" s="1540"/>
      <c r="AF910" s="1540"/>
      <c r="AG910" s="1540"/>
      <c r="AH910" s="1540"/>
      <c r="AI910" s="1540"/>
      <c r="AJ910" s="1540"/>
      <c r="AK910" s="1540"/>
      <c r="AL910" s="1540"/>
      <c r="AM910" s="1540"/>
      <c r="AN910" s="1540"/>
      <c r="AO910" s="1540"/>
      <c r="AP910" s="1540"/>
      <c r="AQ910" s="1540"/>
      <c r="AR910" s="1540"/>
      <c r="AS910" s="1540"/>
      <c r="AT910" s="1540"/>
      <c r="AZ910" s="34"/>
      <c r="BA910" s="34"/>
      <c r="BB910" s="30"/>
      <c r="BC910" s="30"/>
      <c r="BD910" s="1634"/>
      <c r="BE910" s="1635"/>
      <c r="BF910" s="912"/>
    </row>
    <row r="911" spans="1:58" ht="13" customHeight="1">
      <c r="A911" s="1540"/>
      <c r="B911" s="1540"/>
      <c r="C911" s="1540"/>
      <c r="D911" s="1540"/>
      <c r="E911" s="1540"/>
      <c r="F911" s="1540"/>
      <c r="G911" s="1540"/>
      <c r="H911" s="1540"/>
      <c r="I911" s="1540"/>
      <c r="J911" s="1540"/>
      <c r="K911" s="1540"/>
      <c r="L911" s="1540"/>
      <c r="M911" s="1540"/>
      <c r="N911" s="1540"/>
      <c r="O911" s="1540"/>
      <c r="P911" s="1540"/>
      <c r="Q911" s="1540"/>
      <c r="R911" s="1540"/>
      <c r="S911" s="1540"/>
      <c r="T911" s="1540"/>
      <c r="U911" s="1540"/>
      <c r="V911" s="1540"/>
      <c r="W911" s="1540"/>
      <c r="X911" s="1540"/>
      <c r="Y911" s="1540"/>
      <c r="Z911" s="1540"/>
      <c r="AA911" s="1540"/>
      <c r="AB911" s="1540"/>
      <c r="AC911" s="1540"/>
      <c r="AD911" s="1540"/>
      <c r="AE911" s="1540"/>
      <c r="AF911" s="1540"/>
      <c r="AG911" s="1540"/>
      <c r="AH911" s="1540"/>
      <c r="AI911" s="1540"/>
      <c r="AJ911" s="1540"/>
      <c r="AK911" s="1540"/>
      <c r="AL911" s="1540"/>
      <c r="AM911" s="1540"/>
      <c r="AN911" s="1540"/>
      <c r="AO911" s="1540"/>
      <c r="AP911" s="1540"/>
      <c r="AQ911" s="1540"/>
      <c r="AR911" s="1540"/>
      <c r="AS911" s="1540"/>
      <c r="AT911" s="1540"/>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2" t="s">
        <v>793</v>
      </c>
      <c r="G915" s="1713"/>
      <c r="H915" s="1713"/>
      <c r="I915" s="1713"/>
      <c r="J915" s="1713"/>
      <c r="K915" s="1713"/>
      <c r="L915" s="1713"/>
      <c r="M915" s="1713"/>
      <c r="N915" s="1713"/>
      <c r="O915" s="1713"/>
      <c r="P915" s="1713"/>
      <c r="Q915" s="1713"/>
      <c r="R915" s="1713"/>
      <c r="S915" s="1713"/>
      <c r="T915" s="1714"/>
      <c r="U915" s="1798" t="s">
        <v>31</v>
      </c>
      <c r="V915" s="1708"/>
      <c r="W915" s="1708"/>
      <c r="X915" s="1708"/>
      <c r="Y915" s="1708"/>
      <c r="Z915" s="1708"/>
      <c r="AA915" s="43"/>
      <c r="AB915" s="105"/>
      <c r="AC915" s="105"/>
      <c r="AD915" s="105"/>
      <c r="AE915" s="105"/>
      <c r="AF915" s="106"/>
      <c r="AZ915" s="34"/>
      <c r="BA915" s="34"/>
      <c r="BB915" s="34"/>
      <c r="BC915" s="34"/>
    </row>
    <row r="916" spans="1:58" ht="13" customHeight="1">
      <c r="B916" s="2"/>
      <c r="F916" s="1732" t="s">
        <v>819</v>
      </c>
      <c r="G916" s="1733"/>
      <c r="H916" s="1733"/>
      <c r="I916" s="1733"/>
      <c r="J916" s="1733"/>
      <c r="K916" s="1733"/>
      <c r="L916" s="1733"/>
      <c r="M916" s="1733"/>
      <c r="N916" s="1733"/>
      <c r="O916" s="1733"/>
      <c r="P916" s="1733"/>
      <c r="Q916" s="1733"/>
      <c r="R916" s="1733"/>
      <c r="S916" s="1733"/>
      <c r="T916" s="1734"/>
      <c r="U916" s="1732"/>
      <c r="V916" s="1733"/>
      <c r="W916" s="1733"/>
      <c r="X916" s="1733"/>
      <c r="Y916" s="1733"/>
      <c r="Z916" s="1733"/>
      <c r="AA916" s="44"/>
      <c r="AB916" s="4"/>
      <c r="AC916" s="4"/>
      <c r="AD916" s="4"/>
      <c r="AE916" s="4"/>
      <c r="AF916" s="107"/>
      <c r="AZ916" s="34"/>
      <c r="BA916" s="34"/>
      <c r="BB916" s="34"/>
      <c r="BC916" s="34"/>
    </row>
    <row r="917" spans="1:58" ht="13" customHeight="1">
      <c r="B917" s="2"/>
      <c r="F917" s="1735"/>
      <c r="G917" s="1710"/>
      <c r="H917" s="1710"/>
      <c r="I917" s="1710"/>
      <c r="J917" s="1710"/>
      <c r="K917" s="1710"/>
      <c r="L917" s="1710"/>
      <c r="M917" s="1710"/>
      <c r="N917" s="1710"/>
      <c r="O917" s="1710"/>
      <c r="P917" s="1710"/>
      <c r="Q917" s="1710"/>
      <c r="R917" s="1710"/>
      <c r="S917" s="1710"/>
      <c r="T917" s="1711"/>
      <c r="U917" s="1735"/>
      <c r="V917" s="1710"/>
      <c r="W917" s="1710"/>
      <c r="X917" s="1710"/>
      <c r="Y917" s="1710"/>
      <c r="Z917" s="1710"/>
      <c r="AA917" s="108"/>
      <c r="AB917" s="1500" t="s">
        <v>391</v>
      </c>
      <c r="AC917" s="1500"/>
      <c r="AD917" s="1500"/>
      <c r="AE917" s="1500"/>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659" t="s">
        <v>546</v>
      </c>
      <c r="V918" s="1389"/>
      <c r="W918" s="1389"/>
      <c r="X918" s="1389"/>
      <c r="Y918" s="1389"/>
      <c r="Z918" s="1390"/>
      <c r="AA918" s="1660">
        <f>AM554</f>
        <v>54869173</v>
      </c>
      <c r="AB918" s="1526"/>
      <c r="AC918" s="1526"/>
      <c r="AD918" s="1526"/>
      <c r="AE918" s="1526"/>
      <c r="AF918" s="1661"/>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659" t="s">
        <v>546</v>
      </c>
      <c r="V919" s="1389"/>
      <c r="W919" s="1389"/>
      <c r="X919" s="1389"/>
      <c r="Y919" s="1389"/>
      <c r="Z919" s="1390"/>
      <c r="AA919" s="1660">
        <f>AM559</f>
        <v>18880513</v>
      </c>
      <c r="AB919" s="1526"/>
      <c r="AC919" s="1526"/>
      <c r="AD919" s="1526"/>
      <c r="AE919" s="1526"/>
      <c r="AF919" s="1661"/>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659" t="s">
        <v>592</v>
      </c>
      <c r="V920" s="1389"/>
      <c r="W920" s="1389"/>
      <c r="X920" s="1389"/>
      <c r="Y920" s="1389"/>
      <c r="Z920" s="1390"/>
      <c r="AA920" s="1660"/>
      <c r="AB920" s="1526"/>
      <c r="AC920" s="1526"/>
      <c r="AD920" s="1526"/>
      <c r="AE920" s="1526"/>
      <c r="AF920" s="1661"/>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659" t="s">
        <v>592</v>
      </c>
      <c r="V921" s="1389"/>
      <c r="W921" s="1389"/>
      <c r="X921" s="1389"/>
      <c r="Y921" s="1389"/>
      <c r="Z921" s="1390"/>
      <c r="AA921" s="1660"/>
      <c r="AB921" s="1526"/>
      <c r="AC921" s="1526"/>
      <c r="AD921" s="1526"/>
      <c r="AE921" s="1526"/>
      <c r="AF921" s="1661"/>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659" t="s">
        <v>592</v>
      </c>
      <c r="V922" s="1389"/>
      <c r="W922" s="1389"/>
      <c r="X922" s="1389"/>
      <c r="Y922" s="1389"/>
      <c r="Z922" s="1390"/>
      <c r="AA922" s="1660"/>
      <c r="AB922" s="1526"/>
      <c r="AC922" s="1526"/>
      <c r="AD922" s="1526"/>
      <c r="AE922" s="1526"/>
      <c r="AF922" s="1661"/>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659" t="s">
        <v>592</v>
      </c>
      <c r="V923" s="1389"/>
      <c r="W923" s="1389"/>
      <c r="X923" s="1389"/>
      <c r="Y923" s="1389"/>
      <c r="Z923" s="1390"/>
      <c r="AA923" s="1660"/>
      <c r="AB923" s="1526"/>
      <c r="AC923" s="1526"/>
      <c r="AD923" s="1526"/>
      <c r="AE923" s="1526"/>
      <c r="AF923" s="1661"/>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659" t="s">
        <v>592</v>
      </c>
      <c r="V924" s="1389"/>
      <c r="W924" s="1389"/>
      <c r="X924" s="1389"/>
      <c r="Y924" s="1389"/>
      <c r="Z924" s="1390"/>
      <c r="AA924" s="1660"/>
      <c r="AB924" s="1526"/>
      <c r="AC924" s="1526"/>
      <c r="AD924" s="1526"/>
      <c r="AE924" s="1526"/>
      <c r="AF924" s="1661"/>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659" t="s">
        <v>592</v>
      </c>
      <c r="V925" s="1389"/>
      <c r="W925" s="1389"/>
      <c r="X925" s="1389"/>
      <c r="Y925" s="1389"/>
      <c r="Z925" s="1390"/>
      <c r="AA925" s="1660"/>
      <c r="AB925" s="1526"/>
      <c r="AC925" s="1526"/>
      <c r="AD925" s="1526"/>
      <c r="AE925" s="1526"/>
      <c r="AF925" s="1661"/>
      <c r="AZ925" s="34"/>
      <c r="BA925" s="34"/>
      <c r="BB925" s="34"/>
      <c r="BC925" s="34"/>
    </row>
    <row r="926" spans="1:58" ht="13" customHeight="1">
      <c r="F926" s="1662" t="s">
        <v>2194</v>
      </c>
      <c r="G926" s="1663"/>
      <c r="H926" s="1663"/>
      <c r="I926" s="1663"/>
      <c r="J926" s="1663"/>
      <c r="K926" s="1663"/>
      <c r="L926" s="1663"/>
      <c r="M926" s="1663"/>
      <c r="N926" s="1663"/>
      <c r="O926" s="1663"/>
      <c r="P926" s="1663"/>
      <c r="Q926" s="1663"/>
      <c r="R926" s="1663"/>
      <c r="S926" s="1663"/>
      <c r="T926" s="1664"/>
      <c r="U926" s="1659" t="s">
        <v>592</v>
      </c>
      <c r="V926" s="1389"/>
      <c r="W926" s="1389"/>
      <c r="X926" s="1389"/>
      <c r="Y926" s="1389"/>
      <c r="Z926" s="1390"/>
      <c r="AA926" s="1660"/>
      <c r="AB926" s="1526"/>
      <c r="AC926" s="1526"/>
      <c r="AD926" s="1526"/>
      <c r="AE926" s="1526"/>
      <c r="AF926" s="1661"/>
      <c r="AZ926" s="34"/>
      <c r="BA926" s="34"/>
      <c r="BB926" s="34"/>
      <c r="BC926" s="34"/>
    </row>
    <row r="927" spans="1:58" ht="13" customHeight="1">
      <c r="F927" s="1662" t="s">
        <v>680</v>
      </c>
      <c r="G927" s="1663"/>
      <c r="H927" s="1663"/>
      <c r="I927" s="1663"/>
      <c r="J927" s="1663"/>
      <c r="K927" s="1663"/>
      <c r="L927" s="1663"/>
      <c r="M927" s="1663"/>
      <c r="N927" s="1663"/>
      <c r="O927" s="1663"/>
      <c r="P927" s="1663"/>
      <c r="Q927" s="1663"/>
      <c r="R927" s="1663"/>
      <c r="S927" s="1663"/>
      <c r="T927" s="1664"/>
      <c r="U927" s="1659" t="s">
        <v>592</v>
      </c>
      <c r="V927" s="1389"/>
      <c r="W927" s="1389"/>
      <c r="X927" s="1389"/>
      <c r="Y927" s="1389"/>
      <c r="Z927" s="1390"/>
      <c r="AA927" s="1660"/>
      <c r="AB927" s="1526"/>
      <c r="AC927" s="1526"/>
      <c r="AD927" s="1526"/>
      <c r="AE927" s="1526"/>
      <c r="AF927" s="1661"/>
      <c r="AU927" s="2"/>
      <c r="AZ927" s="34"/>
      <c r="BA927" s="34"/>
      <c r="BB927" s="34"/>
      <c r="BC927" s="34"/>
    </row>
    <row r="928" spans="1:58" ht="13" customHeight="1">
      <c r="F928" s="1662" t="s">
        <v>2195</v>
      </c>
      <c r="G928" s="1663"/>
      <c r="H928" s="1663"/>
      <c r="I928" s="1663"/>
      <c r="J928" s="1663"/>
      <c r="K928" s="1663"/>
      <c r="L928" s="1663"/>
      <c r="M928" s="1663"/>
      <c r="N928" s="1663"/>
      <c r="O928" s="1663"/>
      <c r="P928" s="1663"/>
      <c r="Q928" s="1663"/>
      <c r="R928" s="1663"/>
      <c r="S928" s="1663"/>
      <c r="T928" s="1664"/>
      <c r="U928" s="1659" t="s">
        <v>592</v>
      </c>
      <c r="V928" s="1389"/>
      <c r="W928" s="1389"/>
      <c r="X928" s="1389"/>
      <c r="Y928" s="1389"/>
      <c r="Z928" s="1390"/>
      <c r="AA928" s="1660"/>
      <c r="AB928" s="1526"/>
      <c r="AC928" s="1526"/>
      <c r="AD928" s="1526"/>
      <c r="AE928" s="1526"/>
      <c r="AF928" s="1661"/>
      <c r="AU928" s="2"/>
      <c r="AZ928" s="34"/>
      <c r="BA928" s="34"/>
      <c r="BB928" s="34"/>
      <c r="BC928" s="34"/>
    </row>
    <row r="929" spans="6:55" ht="13" customHeight="1">
      <c r="F929" s="1662" t="s">
        <v>2196</v>
      </c>
      <c r="G929" s="1663"/>
      <c r="H929" s="1663"/>
      <c r="I929" s="1663"/>
      <c r="J929" s="1663"/>
      <c r="K929" s="1663"/>
      <c r="L929" s="1663"/>
      <c r="M929" s="1663"/>
      <c r="N929" s="1663"/>
      <c r="O929" s="1663"/>
      <c r="P929" s="1663"/>
      <c r="Q929" s="1663"/>
      <c r="R929" s="1663"/>
      <c r="S929" s="1663"/>
      <c r="T929" s="1664"/>
      <c r="U929" s="1659" t="s">
        <v>592</v>
      </c>
      <c r="V929" s="1389"/>
      <c r="W929" s="1389"/>
      <c r="X929" s="1389"/>
      <c r="Y929" s="1389"/>
      <c r="Z929" s="1390"/>
      <c r="AA929" s="1660"/>
      <c r="AB929" s="1526"/>
      <c r="AC929" s="1526"/>
      <c r="AD929" s="1526"/>
      <c r="AE929" s="1526"/>
      <c r="AF929" s="1661"/>
      <c r="AU929" s="2"/>
      <c r="AZ929" s="34"/>
      <c r="BA929" s="34"/>
      <c r="BB929" s="34"/>
      <c r="BC929" s="34"/>
    </row>
    <row r="930" spans="6:55" ht="13" customHeight="1">
      <c r="F930" s="1662" t="s">
        <v>2197</v>
      </c>
      <c r="G930" s="1663"/>
      <c r="H930" s="1663"/>
      <c r="I930" s="1663"/>
      <c r="J930" s="1663"/>
      <c r="K930" s="1663"/>
      <c r="L930" s="1663"/>
      <c r="M930" s="1663"/>
      <c r="N930" s="1663"/>
      <c r="O930" s="1663"/>
      <c r="P930" s="1663"/>
      <c r="Q930" s="1663"/>
      <c r="R930" s="1663"/>
      <c r="S930" s="1663"/>
      <c r="T930" s="1664"/>
      <c r="U930" s="1659" t="s">
        <v>592</v>
      </c>
      <c r="V930" s="1389"/>
      <c r="W930" s="1389"/>
      <c r="X930" s="1389"/>
      <c r="Y930" s="1389"/>
      <c r="Z930" s="1390"/>
      <c r="AA930" s="1660"/>
      <c r="AB930" s="1526"/>
      <c r="AC930" s="1526"/>
      <c r="AD930" s="1526"/>
      <c r="AE930" s="1526"/>
      <c r="AF930" s="1661"/>
      <c r="AU930" s="2"/>
      <c r="AZ930" s="34"/>
      <c r="BA930" s="34"/>
      <c r="BB930" s="34"/>
      <c r="BC930" s="34"/>
    </row>
    <row r="931" spans="6:55" ht="13" customHeight="1">
      <c r="F931" s="1662" t="s">
        <v>2198</v>
      </c>
      <c r="G931" s="1663"/>
      <c r="H931" s="1663"/>
      <c r="I931" s="1663"/>
      <c r="J931" s="1663"/>
      <c r="K931" s="1663"/>
      <c r="L931" s="1663"/>
      <c r="M931" s="1663"/>
      <c r="N931" s="1663"/>
      <c r="O931" s="1663"/>
      <c r="P931" s="1663"/>
      <c r="Q931" s="1663"/>
      <c r="R931" s="1663"/>
      <c r="S931" s="1663"/>
      <c r="T931" s="1664"/>
      <c r="U931" s="1659" t="s">
        <v>592</v>
      </c>
      <c r="V931" s="1389"/>
      <c r="W931" s="1389"/>
      <c r="X931" s="1389"/>
      <c r="Y931" s="1389"/>
      <c r="Z931" s="1390"/>
      <c r="AA931" s="1660"/>
      <c r="AB931" s="1526"/>
      <c r="AC931" s="1526"/>
      <c r="AD931" s="1526"/>
      <c r="AE931" s="1526"/>
      <c r="AF931" s="1661"/>
      <c r="AU931" s="2"/>
      <c r="AZ931" s="34"/>
      <c r="BA931" s="34"/>
      <c r="BB931" s="34"/>
      <c r="BC931" s="34"/>
    </row>
    <row r="932" spans="6:55" ht="13" customHeight="1">
      <c r="F932" s="1662" t="s">
        <v>2199</v>
      </c>
      <c r="G932" s="1663"/>
      <c r="H932" s="1663"/>
      <c r="I932" s="1663"/>
      <c r="J932" s="1663"/>
      <c r="K932" s="1663"/>
      <c r="L932" s="1663"/>
      <c r="M932" s="1663"/>
      <c r="N932" s="1663"/>
      <c r="O932" s="1663"/>
      <c r="P932" s="1663"/>
      <c r="Q932" s="1663"/>
      <c r="R932" s="1663"/>
      <c r="S932" s="1663"/>
      <c r="T932" s="1664"/>
      <c r="U932" s="1659" t="s">
        <v>592</v>
      </c>
      <c r="V932" s="1389"/>
      <c r="W932" s="1389"/>
      <c r="X932" s="1389"/>
      <c r="Y932" s="1389"/>
      <c r="Z932" s="1390"/>
      <c r="AA932" s="1660"/>
      <c r="AB932" s="1526"/>
      <c r="AC932" s="1526"/>
      <c r="AD932" s="1526"/>
      <c r="AE932" s="1526"/>
      <c r="AF932" s="1661"/>
      <c r="AZ932" s="30"/>
      <c r="BA932" s="30"/>
    </row>
    <row r="933" spans="6:55" ht="13" customHeight="1">
      <c r="F933" s="178" t="s">
        <v>677</v>
      </c>
      <c r="G933" s="5"/>
      <c r="H933" s="5"/>
      <c r="I933" s="5"/>
      <c r="J933" s="5"/>
      <c r="K933" s="5"/>
      <c r="L933" s="5"/>
      <c r="M933" s="5"/>
      <c r="N933" s="5"/>
      <c r="O933" s="5"/>
      <c r="P933" s="5"/>
      <c r="Q933" s="5"/>
      <c r="R933" s="5"/>
      <c r="S933" s="5"/>
      <c r="T933" s="46"/>
      <c r="U933" s="1659" t="s">
        <v>592</v>
      </c>
      <c r="V933" s="1389"/>
      <c r="W933" s="1389"/>
      <c r="X933" s="1389"/>
      <c r="Y933" s="1389"/>
      <c r="Z933" s="1390"/>
      <c r="AA933" s="1660"/>
      <c r="AB933" s="1526"/>
      <c r="AC933" s="1526"/>
      <c r="AD933" s="1526"/>
      <c r="AE933" s="1526"/>
      <c r="AF933" s="1661"/>
    </row>
    <row r="934" spans="6:55" ht="13" customHeight="1">
      <c r="F934" s="121" t="s">
        <v>1277</v>
      </c>
      <c r="G934" s="5"/>
      <c r="H934" s="5"/>
      <c r="I934" s="5"/>
      <c r="J934" s="5"/>
      <c r="K934" s="5"/>
      <c r="L934" s="5"/>
      <c r="M934" s="5"/>
      <c r="N934" s="5"/>
      <c r="O934" s="5"/>
      <c r="P934" s="5"/>
      <c r="Q934" s="5"/>
      <c r="R934" s="5"/>
      <c r="S934" s="5"/>
      <c r="T934" s="46"/>
      <c r="U934" s="1659" t="s">
        <v>592</v>
      </c>
      <c r="V934" s="1389"/>
      <c r="W934" s="1389"/>
      <c r="X934" s="1389"/>
      <c r="Y934" s="1389"/>
      <c r="Z934" s="1390"/>
      <c r="AA934" s="1660"/>
      <c r="AB934" s="1526"/>
      <c r="AC934" s="1526"/>
      <c r="AD934" s="1526"/>
      <c r="AE934" s="1526"/>
      <c r="AF934" s="1661"/>
      <c r="AZ934" s="30"/>
      <c r="BA934" s="14"/>
    </row>
    <row r="935" spans="6:55" ht="13" customHeight="1">
      <c r="F935" s="66" t="s">
        <v>803</v>
      </c>
      <c r="G935" s="5"/>
      <c r="H935" s="5"/>
      <c r="I935" s="5"/>
      <c r="J935" s="5"/>
      <c r="K935" s="5"/>
      <c r="L935" s="5"/>
      <c r="M935" s="5"/>
      <c r="N935" s="5"/>
      <c r="O935" s="5"/>
      <c r="P935" s="5"/>
      <c r="Q935" s="5"/>
      <c r="R935" s="5"/>
      <c r="S935" s="5"/>
      <c r="T935" s="46"/>
      <c r="U935" s="1659" t="s">
        <v>592</v>
      </c>
      <c r="V935" s="1389"/>
      <c r="W935" s="1389"/>
      <c r="X935" s="1389"/>
      <c r="Y935" s="1389"/>
      <c r="Z935" s="1390"/>
      <c r="AA935" s="1660"/>
      <c r="AB935" s="1526"/>
      <c r="AC935" s="1526"/>
      <c r="AD935" s="1526"/>
      <c r="AE935" s="1526"/>
      <c r="AF935" s="1661"/>
      <c r="AZ935" s="30"/>
      <c r="BA935" s="14"/>
    </row>
    <row r="936" spans="6:55" ht="13" customHeight="1">
      <c r="F936" s="1656" t="s">
        <v>2203</v>
      </c>
      <c r="G936" s="1657"/>
      <c r="H936" s="1657"/>
      <c r="I936" s="1657"/>
      <c r="J936" s="1657"/>
      <c r="K936" s="1657"/>
      <c r="L936" s="1657"/>
      <c r="M936" s="1657"/>
      <c r="N936" s="1657"/>
      <c r="O936" s="1657"/>
      <c r="P936" s="1657"/>
      <c r="Q936" s="1657"/>
      <c r="R936" s="1657"/>
      <c r="S936" s="1657"/>
      <c r="T936" s="1658"/>
      <c r="U936" s="1659" t="s">
        <v>592</v>
      </c>
      <c r="V936" s="1389"/>
      <c r="W936" s="1389"/>
      <c r="X936" s="1389"/>
      <c r="Y936" s="1389"/>
      <c r="Z936" s="1390"/>
      <c r="AA936" s="1660"/>
      <c r="AB936" s="1526"/>
      <c r="AC936" s="1526"/>
      <c r="AD936" s="1526"/>
      <c r="AE936" s="1526"/>
      <c r="AF936" s="1661"/>
      <c r="AZ936" s="30"/>
      <c r="BA936" s="14"/>
    </row>
    <row r="937" spans="6:55" ht="13" customHeight="1">
      <c r="F937" s="1656" t="s">
        <v>2204</v>
      </c>
      <c r="G937" s="1657"/>
      <c r="H937" s="1657"/>
      <c r="I937" s="1657"/>
      <c r="J937" s="1657"/>
      <c r="K937" s="1657"/>
      <c r="L937" s="1657"/>
      <c r="M937" s="1657"/>
      <c r="N937" s="1657"/>
      <c r="O937" s="1657"/>
      <c r="P937" s="1657"/>
      <c r="Q937" s="1657"/>
      <c r="R937" s="1657"/>
      <c r="S937" s="1657"/>
      <c r="T937" s="1658"/>
      <c r="U937" s="1659" t="s">
        <v>592</v>
      </c>
      <c r="V937" s="1389"/>
      <c r="W937" s="1389"/>
      <c r="X937" s="1389"/>
      <c r="Y937" s="1389"/>
      <c r="Z937" s="1390"/>
      <c r="AA937" s="1660"/>
      <c r="AB937" s="1526"/>
      <c r="AC937" s="1526"/>
      <c r="AD937" s="1526"/>
      <c r="AE937" s="1526"/>
      <c r="AF937" s="1661"/>
      <c r="AZ937" s="30"/>
      <c r="BA937" s="30"/>
    </row>
    <row r="938" spans="6:55" ht="13" customHeight="1">
      <c r="F938" s="1662" t="s">
        <v>2200</v>
      </c>
      <c r="G938" s="1663"/>
      <c r="H938" s="1663"/>
      <c r="I938" s="1663"/>
      <c r="J938" s="1663"/>
      <c r="K938" s="1663"/>
      <c r="L938" s="1663"/>
      <c r="M938" s="1663"/>
      <c r="N938" s="1663"/>
      <c r="O938" s="1663"/>
      <c r="P938" s="1663"/>
      <c r="Q938" s="1663"/>
      <c r="R938" s="1663"/>
      <c r="S938" s="1663"/>
      <c r="T938" s="1664"/>
      <c r="U938" s="1659" t="s">
        <v>592</v>
      </c>
      <c r="V938" s="1389"/>
      <c r="W938" s="1389"/>
      <c r="X938" s="1389"/>
      <c r="Y938" s="1389"/>
      <c r="Z938" s="1390"/>
      <c r="AA938" s="1660"/>
      <c r="AB938" s="1526"/>
      <c r="AC938" s="1526"/>
      <c r="AD938" s="1526"/>
      <c r="AE938" s="1526"/>
      <c r="AF938" s="1661"/>
      <c r="AZ938" s="30"/>
      <c r="BA938" s="30"/>
    </row>
    <row r="939" spans="6:55" ht="13" customHeight="1">
      <c r="F939" s="1662" t="s">
        <v>2201</v>
      </c>
      <c r="G939" s="1663"/>
      <c r="H939" s="1663"/>
      <c r="I939" s="1663"/>
      <c r="J939" s="1663"/>
      <c r="K939" s="1663"/>
      <c r="L939" s="1663"/>
      <c r="M939" s="1663"/>
      <c r="N939" s="1663"/>
      <c r="O939" s="1663"/>
      <c r="P939" s="1663"/>
      <c r="Q939" s="1663"/>
      <c r="R939" s="1663"/>
      <c r="S939" s="1663"/>
      <c r="T939" s="1664"/>
      <c r="U939" s="1659" t="s">
        <v>592</v>
      </c>
      <c r="V939" s="1389"/>
      <c r="W939" s="1389"/>
      <c r="X939" s="1389"/>
      <c r="Y939" s="1389"/>
      <c r="Z939" s="1390"/>
      <c r="AA939" s="1660"/>
      <c r="AB939" s="1526"/>
      <c r="AC939" s="1526"/>
      <c r="AD939" s="1526"/>
      <c r="AE939" s="1526"/>
      <c r="AF939" s="1661"/>
      <c r="AZ939" s="30"/>
      <c r="BA939" s="30"/>
    </row>
    <row r="940" spans="6:55" ht="13" customHeight="1">
      <c r="F940" s="1662" t="s">
        <v>2202</v>
      </c>
      <c r="G940" s="1663"/>
      <c r="H940" s="1663"/>
      <c r="I940" s="1663"/>
      <c r="J940" s="1663"/>
      <c r="K940" s="1663"/>
      <c r="L940" s="1663"/>
      <c r="M940" s="1663"/>
      <c r="N940" s="1663"/>
      <c r="O940" s="1663"/>
      <c r="P940" s="1663"/>
      <c r="Q940" s="1663"/>
      <c r="R940" s="1663"/>
      <c r="S940" s="1663"/>
      <c r="T940" s="1664"/>
      <c r="U940" s="1659" t="s">
        <v>592</v>
      </c>
      <c r="V940" s="1389"/>
      <c r="W940" s="1389"/>
      <c r="X940" s="1389"/>
      <c r="Y940" s="1389"/>
      <c r="Z940" s="1390"/>
      <c r="AA940" s="1660"/>
      <c r="AB940" s="1526"/>
      <c r="AC940" s="1526"/>
      <c r="AD940" s="1526"/>
      <c r="AE940" s="1526"/>
      <c r="AF940" s="1661"/>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659" t="s">
        <v>592</v>
      </c>
      <c r="V941" s="1389"/>
      <c r="W941" s="1389"/>
      <c r="X941" s="1389"/>
      <c r="Y941" s="1389"/>
      <c r="Z941" s="1390"/>
      <c r="AA941" s="1660"/>
      <c r="AB941" s="1526"/>
      <c r="AC941" s="1526"/>
      <c r="AD941" s="1526"/>
      <c r="AE941" s="1526"/>
      <c r="AF941" s="1661"/>
      <c r="AZ941" s="34"/>
      <c r="BA941" s="34"/>
      <c r="BB941" s="14"/>
      <c r="BC941" s="14"/>
    </row>
    <row r="942" spans="6:55" ht="13" customHeight="1">
      <c r="F942" s="1656" t="s">
        <v>2205</v>
      </c>
      <c r="G942" s="1657"/>
      <c r="H942" s="1657"/>
      <c r="I942" s="1657"/>
      <c r="J942" s="1657"/>
      <c r="K942" s="1657"/>
      <c r="L942" s="1657"/>
      <c r="M942" s="1657"/>
      <c r="N942" s="1657"/>
      <c r="O942" s="1657"/>
      <c r="P942" s="1657"/>
      <c r="Q942" s="1657"/>
      <c r="R942" s="1657"/>
      <c r="S942" s="1657"/>
      <c r="T942" s="1658"/>
      <c r="U942" s="1659" t="s">
        <v>592</v>
      </c>
      <c r="V942" s="1389"/>
      <c r="W942" s="1389"/>
      <c r="X942" s="1389"/>
      <c r="Y942" s="1389"/>
      <c r="Z942" s="1390"/>
      <c r="AA942" s="1660"/>
      <c r="AB942" s="1526"/>
      <c r="AC942" s="1526"/>
      <c r="AD942" s="1526"/>
      <c r="AE942" s="1526"/>
      <c r="AF942" s="1661"/>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659" t="s">
        <v>592</v>
      </c>
      <c r="V943" s="1389"/>
      <c r="W943" s="1389"/>
      <c r="X943" s="1389"/>
      <c r="Y943" s="1389"/>
      <c r="Z943" s="1390"/>
      <c r="AA943" s="1660"/>
      <c r="AB943" s="1526"/>
      <c r="AC943" s="1526"/>
      <c r="AD943" s="1526"/>
      <c r="AE943" s="1526"/>
      <c r="AF943" s="1661"/>
      <c r="AZ943" s="34"/>
      <c r="BA943" s="34"/>
      <c r="BB943" s="34"/>
      <c r="BC943" s="34"/>
    </row>
    <row r="944" spans="6:55" ht="13" customHeight="1">
      <c r="F944" s="1656" t="s">
        <v>2206</v>
      </c>
      <c r="G944" s="1657"/>
      <c r="H944" s="1657"/>
      <c r="I944" s="1657"/>
      <c r="J944" s="1657"/>
      <c r="K944" s="1657"/>
      <c r="L944" s="1657"/>
      <c r="M944" s="1657"/>
      <c r="N944" s="1657"/>
      <c r="O944" s="1657"/>
      <c r="P944" s="1657"/>
      <c r="Q944" s="1657"/>
      <c r="R944" s="1657"/>
      <c r="S944" s="1657"/>
      <c r="T944" s="1658"/>
      <c r="U944" s="1659" t="s">
        <v>592</v>
      </c>
      <c r="V944" s="1389"/>
      <c r="W944" s="1389"/>
      <c r="X944" s="1389"/>
      <c r="Y944" s="1389"/>
      <c r="Z944" s="1390"/>
      <c r="AA944" s="1660"/>
      <c r="AB944" s="1526"/>
      <c r="AC944" s="1526"/>
      <c r="AD944" s="1526"/>
      <c r="AE944" s="1526"/>
      <c r="AF944" s="1661"/>
      <c r="AZ944" s="34"/>
      <c r="BA944" s="34"/>
      <c r="BB944" s="34"/>
      <c r="BC944" s="34"/>
    </row>
    <row r="945" spans="1:55" ht="13" customHeight="1">
      <c r="F945" s="45" t="s">
        <v>807</v>
      </c>
      <c r="G945" s="5"/>
      <c r="H945" s="5"/>
      <c r="I945" s="5"/>
      <c r="J945" s="5"/>
      <c r="K945" s="5"/>
      <c r="L945" s="5"/>
      <c r="M945" s="5"/>
      <c r="N945" s="5"/>
      <c r="O945" s="5"/>
      <c r="P945" s="1659" t="s">
        <v>670</v>
      </c>
      <c r="Q945" s="1389"/>
      <c r="R945" s="1389"/>
      <c r="S945" s="1389"/>
      <c r="T945" s="1390"/>
      <c r="U945" s="1659" t="s">
        <v>592</v>
      </c>
      <c r="V945" s="1389"/>
      <c r="W945" s="1389"/>
      <c r="X945" s="1389"/>
      <c r="Y945" s="1389"/>
      <c r="Z945" s="1390"/>
      <c r="AA945" s="1660"/>
      <c r="AB945" s="1526"/>
      <c r="AC945" s="1526"/>
      <c r="AD945" s="1526"/>
      <c r="AE945" s="1526"/>
      <c r="AF945" s="1661"/>
      <c r="AZ945" s="34"/>
      <c r="BA945" s="34"/>
      <c r="BB945" s="34"/>
      <c r="BC945" s="34"/>
    </row>
    <row r="946" spans="1:55" ht="13" customHeight="1">
      <c r="F946" s="1662" t="s">
        <v>2193</v>
      </c>
      <c r="G946" s="1663"/>
      <c r="H946" s="1664"/>
      <c r="I946" s="1629" t="s">
        <v>334</v>
      </c>
      <c r="J946" s="1630"/>
      <c r="K946" s="1630"/>
      <c r="L946" s="1630"/>
      <c r="M946" s="1630"/>
      <c r="N946" s="1630"/>
      <c r="O946" s="1630"/>
      <c r="P946" s="1630"/>
      <c r="Q946" s="1630"/>
      <c r="R946" s="1630"/>
      <c r="S946" s="1630"/>
      <c r="T946" s="1631"/>
      <c r="U946" s="1659" t="s">
        <v>592</v>
      </c>
      <c r="V946" s="1389"/>
      <c r="W946" s="1389"/>
      <c r="X946" s="1389"/>
      <c r="Y946" s="1389"/>
      <c r="Z946" s="1390"/>
      <c r="AA946" s="1660"/>
      <c r="AB946" s="1526"/>
      <c r="AC946" s="1526"/>
      <c r="AD946" s="1526"/>
      <c r="AE946" s="1526"/>
      <c r="AF946" s="1661"/>
      <c r="AZ946" s="34"/>
      <c r="BA946" s="34"/>
      <c r="BB946" s="34"/>
      <c r="BC946" s="34"/>
    </row>
    <row r="947" spans="1:55" ht="13" customHeight="1">
      <c r="F947" s="45" t="s">
        <v>86</v>
      </c>
      <c r="G947" s="48"/>
      <c r="H947" s="48"/>
      <c r="I947" s="1629" t="s">
        <v>334</v>
      </c>
      <c r="J947" s="1630"/>
      <c r="K947" s="1630"/>
      <c r="L947" s="1630"/>
      <c r="M947" s="1630"/>
      <c r="N947" s="1630"/>
      <c r="O947" s="1630"/>
      <c r="P947" s="1630"/>
      <c r="Q947" s="1630"/>
      <c r="R947" s="1630"/>
      <c r="S947" s="1630"/>
      <c r="T947" s="1631"/>
      <c r="U947" s="1659" t="s">
        <v>592</v>
      </c>
      <c r="V947" s="1389"/>
      <c r="W947" s="1389"/>
      <c r="X947" s="1389"/>
      <c r="Y947" s="1389"/>
      <c r="Z947" s="1390"/>
      <c r="AA947" s="1660"/>
      <c r="AB947" s="1526"/>
      <c r="AC947" s="1526"/>
      <c r="AD947" s="1526"/>
      <c r="AE947" s="1526"/>
      <c r="AF947" s="1661"/>
      <c r="AZ947" s="34"/>
      <c r="BA947" s="34"/>
      <c r="BB947" s="34"/>
      <c r="BC947" s="34"/>
    </row>
    <row r="948" spans="1:55" ht="13" customHeight="1">
      <c r="F948" s="45" t="s">
        <v>10</v>
      </c>
      <c r="G948" s="48"/>
      <c r="H948" s="48"/>
      <c r="I948" s="1668" t="s">
        <v>334</v>
      </c>
      <c r="J948" s="1669"/>
      <c r="K948" s="1669"/>
      <c r="L948" s="1669"/>
      <c r="M948" s="1669"/>
      <c r="N948" s="1669"/>
      <c r="O948" s="1669"/>
      <c r="P948" s="1669"/>
      <c r="Q948" s="1669"/>
      <c r="R948" s="1669"/>
      <c r="S948" s="1669"/>
      <c r="T948" s="1670"/>
      <c r="U948" s="1659" t="s">
        <v>592</v>
      </c>
      <c r="V948" s="1389"/>
      <c r="W948" s="1389"/>
      <c r="X948" s="1389"/>
      <c r="Y948" s="1389"/>
      <c r="Z948" s="1390"/>
      <c r="AA948" s="1660"/>
      <c r="AB948" s="1526"/>
      <c r="AC948" s="1526"/>
      <c r="AD948" s="1526"/>
      <c r="AE948" s="1526"/>
      <c r="AF948" s="1661"/>
      <c r="AV948" s="2"/>
      <c r="AW948" s="2"/>
      <c r="AX948" s="2"/>
      <c r="AY948" s="2"/>
      <c r="AZ948" s="34"/>
      <c r="BA948" s="34"/>
      <c r="BB948" s="34"/>
      <c r="BC948" s="34"/>
    </row>
    <row r="949" spans="1:55" ht="13" customHeight="1">
      <c r="F949" s="47" t="s">
        <v>170</v>
      </c>
      <c r="G949" s="48"/>
      <c r="H949" s="48"/>
      <c r="I949" s="1668" t="s">
        <v>334</v>
      </c>
      <c r="J949" s="1669"/>
      <c r="K949" s="1669"/>
      <c r="L949" s="1669"/>
      <c r="M949" s="1669"/>
      <c r="N949" s="1669"/>
      <c r="O949" s="1669"/>
      <c r="P949" s="1669"/>
      <c r="Q949" s="1669"/>
      <c r="R949" s="1669"/>
      <c r="S949" s="1669"/>
      <c r="T949" s="1670"/>
      <c r="U949" s="1659" t="s">
        <v>592</v>
      </c>
      <c r="V949" s="1389"/>
      <c r="W949" s="1389"/>
      <c r="X949" s="1389"/>
      <c r="Y949" s="1389"/>
      <c r="Z949" s="1390"/>
      <c r="AA949" s="1660"/>
      <c r="AB949" s="1526"/>
      <c r="AC949" s="1526"/>
      <c r="AD949" s="1526"/>
      <c r="AE949" s="1526"/>
      <c r="AF949" s="1661"/>
      <c r="AU949" s="2"/>
      <c r="AZ949" s="34"/>
      <c r="BA949" s="34"/>
      <c r="BB949" s="34"/>
      <c r="BC949" s="34"/>
    </row>
    <row r="950" spans="1:55" ht="13" customHeight="1">
      <c r="F950" s="47" t="s">
        <v>170</v>
      </c>
      <c r="G950" s="48"/>
      <c r="H950" s="48"/>
      <c r="I950" s="1668" t="s">
        <v>334</v>
      </c>
      <c r="J950" s="1669"/>
      <c r="K950" s="1669"/>
      <c r="L950" s="1669"/>
      <c r="M950" s="1669"/>
      <c r="N950" s="1669"/>
      <c r="O950" s="1669"/>
      <c r="P950" s="1669"/>
      <c r="Q950" s="1669"/>
      <c r="R950" s="1669"/>
      <c r="S950" s="1669"/>
      <c r="T950" s="1670"/>
      <c r="U950" s="1659" t="s">
        <v>592</v>
      </c>
      <c r="V950" s="1389"/>
      <c r="W950" s="1389"/>
      <c r="X950" s="1389"/>
      <c r="Y950" s="1389"/>
      <c r="Z950" s="1390"/>
      <c r="AA950" s="1660"/>
      <c r="AB950" s="1526"/>
      <c r="AC950" s="1526"/>
      <c r="AD950" s="1526"/>
      <c r="AE950" s="1526"/>
      <c r="AF950" s="1661"/>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671"/>
      <c r="N955" s="1593"/>
      <c r="O955" s="1593"/>
      <c r="P955" s="1593"/>
      <c r="Q955" s="1593"/>
      <c r="R955" s="1593"/>
      <c r="S955" s="1640"/>
      <c r="U955" s="66" t="s">
        <v>11</v>
      </c>
      <c r="V955" s="5"/>
      <c r="W955" s="5"/>
      <c r="X955" s="5"/>
      <c r="Y955" s="5"/>
      <c r="Z955" s="5"/>
      <c r="AA955" s="5"/>
      <c r="AB955" s="5"/>
      <c r="AC955" s="5"/>
      <c r="AD955" s="46"/>
      <c r="AE955" s="1671"/>
      <c r="AF955" s="1593"/>
      <c r="AG955" s="1593"/>
      <c r="AH955" s="1593"/>
      <c r="AI955" s="1593"/>
      <c r="AJ955" s="1593"/>
      <c r="AK955" s="1640"/>
      <c r="AZ955" s="34"/>
      <c r="BA955" s="34"/>
      <c r="BB955" s="34"/>
      <c r="BC955" s="34"/>
    </row>
    <row r="956" spans="1:55" ht="13" customHeight="1">
      <c r="C956" s="66" t="s">
        <v>12</v>
      </c>
      <c r="D956" s="5"/>
      <c r="E956" s="5"/>
      <c r="F956" s="5"/>
      <c r="G956" s="5"/>
      <c r="H956" s="5"/>
      <c r="I956" s="5"/>
      <c r="J956" s="5"/>
      <c r="K956" s="5"/>
      <c r="L956" s="46"/>
      <c r="M956" s="1599"/>
      <c r="N956" s="1522"/>
      <c r="O956" s="1522"/>
      <c r="P956" s="1522"/>
      <c r="Q956" s="1522"/>
      <c r="R956" s="1522"/>
      <c r="S956" s="1704"/>
      <c r="U956" s="66" t="s">
        <v>12</v>
      </c>
      <c r="V956" s="5"/>
      <c r="W956" s="5"/>
      <c r="X956" s="5"/>
      <c r="Y956" s="5"/>
      <c r="Z956" s="5"/>
      <c r="AA956" s="5"/>
      <c r="AB956" s="5"/>
      <c r="AC956" s="5"/>
      <c r="AD956" s="46"/>
      <c r="AE956" s="1599"/>
      <c r="AF956" s="1522"/>
      <c r="AG956" s="1522"/>
      <c r="AH956" s="1522"/>
      <c r="AI956" s="1522"/>
      <c r="AJ956" s="1522"/>
      <c r="AK956" s="1704"/>
      <c r="AZ956" s="34"/>
      <c r="BA956" s="34"/>
      <c r="BB956" s="34"/>
      <c r="BC956" s="34"/>
    </row>
    <row r="957" spans="1:55" ht="13" customHeight="1">
      <c r="C957" s="66" t="s">
        <v>880</v>
      </c>
      <c r="D957" s="5"/>
      <c r="E957" s="5"/>
      <c r="J957" s="1672" t="s">
        <v>307</v>
      </c>
      <c r="K957" s="1673"/>
      <c r="L957" s="1673"/>
      <c r="M957" s="1673"/>
      <c r="N957" s="1673"/>
      <c r="O957" s="1673"/>
      <c r="P957" s="1673"/>
      <c r="Q957" s="1673"/>
      <c r="R957" s="1673"/>
      <c r="S957" s="1674"/>
      <c r="U957" s="66" t="s">
        <v>880</v>
      </c>
      <c r="V957" s="5"/>
      <c r="W957" s="5"/>
      <c r="AB957" s="1672" t="s">
        <v>307</v>
      </c>
      <c r="AC957" s="1673"/>
      <c r="AD957" s="1673"/>
      <c r="AE957" s="1673"/>
      <c r="AF957" s="1673"/>
      <c r="AG957" s="1673"/>
      <c r="AH957" s="1673"/>
      <c r="AI957" s="1673"/>
      <c r="AJ957" s="1673"/>
      <c r="AK957" s="1674"/>
      <c r="AZ957" s="34"/>
      <c r="BA957" s="34"/>
      <c r="BB957" s="34"/>
      <c r="BC957" s="34"/>
    </row>
    <row r="958" spans="1:55" ht="13" customHeight="1">
      <c r="C958" s="66" t="s">
        <v>13</v>
      </c>
      <c r="D958" s="5"/>
      <c r="E958" s="5"/>
      <c r="F958" s="5"/>
      <c r="G958" s="5"/>
      <c r="H958" s="5"/>
      <c r="I958" s="5"/>
      <c r="J958" s="5"/>
      <c r="K958" s="5"/>
      <c r="L958" s="46"/>
      <c r="M958" s="1718"/>
      <c r="N958" s="1719"/>
      <c r="O958" s="1719"/>
      <c r="P958" s="1719"/>
      <c r="Q958" s="1719"/>
      <c r="R958" s="1719"/>
      <c r="S958" s="1720"/>
      <c r="U958" s="66" t="s">
        <v>13</v>
      </c>
      <c r="V958" s="5"/>
      <c r="W958" s="5"/>
      <c r="X958" s="5"/>
      <c r="Y958" s="5"/>
      <c r="Z958" s="5"/>
      <c r="AA958" s="5"/>
      <c r="AB958" s="5"/>
      <c r="AC958" s="5"/>
      <c r="AD958" s="46"/>
      <c r="AE958" s="1799"/>
      <c r="AF958" s="1719"/>
      <c r="AG958" s="1719"/>
      <c r="AH958" s="1719"/>
      <c r="AI958" s="1719"/>
      <c r="AJ958" s="1719"/>
      <c r="AK958" s="1720"/>
      <c r="AZ958" s="34"/>
      <c r="BA958" s="34"/>
      <c r="BB958" s="34"/>
      <c r="BC958" s="34"/>
    </row>
    <row r="959" spans="1:55" ht="13" customHeight="1">
      <c r="C959" s="66" t="s">
        <v>14</v>
      </c>
      <c r="D959" s="5"/>
      <c r="E959" s="5"/>
      <c r="F959" s="5"/>
      <c r="G959" s="5"/>
      <c r="H959" s="5"/>
      <c r="I959" s="5"/>
      <c r="J959" s="5"/>
      <c r="K959" s="5"/>
      <c r="L959" s="46"/>
      <c r="M959" s="1611"/>
      <c r="N959" s="1612"/>
      <c r="O959" s="1612"/>
      <c r="P959" s="1612"/>
      <c r="Q959" s="1612"/>
      <c r="R959" s="1612"/>
      <c r="S959" s="1613"/>
      <c r="U959" s="66" t="s">
        <v>14</v>
      </c>
      <c r="V959" s="5"/>
      <c r="W959" s="5"/>
      <c r="X959" s="5"/>
      <c r="Y959" s="5"/>
      <c r="Z959" s="5"/>
      <c r="AA959" s="5"/>
      <c r="AB959" s="5"/>
      <c r="AC959" s="5"/>
      <c r="AD959" s="46"/>
      <c r="AE959" s="1611"/>
      <c r="AF959" s="1612"/>
      <c r="AG959" s="1612"/>
      <c r="AH959" s="1612"/>
      <c r="AI959" s="1612"/>
      <c r="AJ959" s="1612"/>
      <c r="AK959" s="1613"/>
      <c r="AV959" s="2"/>
      <c r="AW959" s="2"/>
      <c r="AX959" s="2"/>
      <c r="AY959" s="2"/>
      <c r="AZ959" s="34"/>
      <c r="BA959" s="34"/>
      <c r="BB959" s="34"/>
      <c r="BC959" s="34"/>
    </row>
    <row r="960" spans="1:55" ht="13" customHeight="1">
      <c r="C960" s="66" t="s">
        <v>15</v>
      </c>
      <c r="D960" s="5"/>
      <c r="E960" s="5"/>
      <c r="F960" s="5"/>
      <c r="G960" s="5"/>
      <c r="H960" s="5"/>
      <c r="I960" s="5"/>
      <c r="J960" s="5"/>
      <c r="K960" s="5"/>
      <c r="L960" s="46"/>
      <c r="M960" s="1660"/>
      <c r="N960" s="1526"/>
      <c r="O960" s="1526"/>
      <c r="P960" s="1526"/>
      <c r="Q960" s="1526"/>
      <c r="R960" s="1526"/>
      <c r="S960" s="1661"/>
      <c r="U960" s="66" t="s">
        <v>15</v>
      </c>
      <c r="V960" s="5"/>
      <c r="W960" s="5"/>
      <c r="X960" s="5"/>
      <c r="Y960" s="5"/>
      <c r="Z960" s="5"/>
      <c r="AA960" s="5"/>
      <c r="AB960" s="5"/>
      <c r="AC960" s="5"/>
      <c r="AD960" s="46"/>
      <c r="AE960" s="1660"/>
      <c r="AF960" s="1526"/>
      <c r="AG960" s="1526"/>
      <c r="AH960" s="1526"/>
      <c r="AI960" s="1526"/>
      <c r="AJ960" s="1526"/>
      <c r="AK960" s="1661"/>
      <c r="AV960" s="2"/>
      <c r="AW960" s="2"/>
      <c r="AX960" s="2"/>
      <c r="AY960" s="2"/>
      <c r="AZ960" s="34"/>
      <c r="BA960" s="34"/>
      <c r="BB960" s="34"/>
      <c r="BC960" s="34"/>
    </row>
    <row r="961" spans="1:64" ht="13" customHeight="1">
      <c r="C961" s="66" t="s">
        <v>16</v>
      </c>
      <c r="D961" s="5"/>
      <c r="E961" s="5"/>
      <c r="F961" s="5"/>
      <c r="G961" s="5"/>
      <c r="H961" s="5"/>
      <c r="I961" s="5"/>
      <c r="J961" s="5"/>
      <c r="K961" s="5"/>
      <c r="L961" s="46"/>
      <c r="M961" s="1660"/>
      <c r="N961" s="1526"/>
      <c r="O961" s="1526"/>
      <c r="P961" s="1526"/>
      <c r="Q961" s="1526"/>
      <c r="R961" s="1526"/>
      <c r="S961" s="1661"/>
      <c r="U961" s="66" t="s">
        <v>16</v>
      </c>
      <c r="V961" s="5"/>
      <c r="W961" s="5"/>
      <c r="X961" s="5"/>
      <c r="Y961" s="5"/>
      <c r="Z961" s="5"/>
      <c r="AA961" s="5"/>
      <c r="AB961" s="5"/>
      <c r="AC961" s="5"/>
      <c r="AD961" s="46"/>
      <c r="AE961" s="1660"/>
      <c r="AF961" s="1526"/>
      <c r="AG961" s="1526"/>
      <c r="AH961" s="1526"/>
      <c r="AI961" s="1526"/>
      <c r="AJ961" s="1526"/>
      <c r="AK961" s="1661"/>
      <c r="AV961" s="2"/>
      <c r="AW961" s="2"/>
      <c r="AX961" s="2"/>
      <c r="AY961" s="2"/>
      <c r="AZ961" s="34"/>
      <c r="BB961" s="34"/>
      <c r="BC961" s="34"/>
    </row>
    <row r="962" spans="1:64" ht="13" customHeight="1">
      <c r="C962" s="121" t="s">
        <v>1661</v>
      </c>
      <c r="D962" s="5"/>
      <c r="E962" s="5"/>
      <c r="F962" s="5"/>
      <c r="G962" s="5"/>
      <c r="H962" s="5"/>
      <c r="I962" s="5"/>
      <c r="J962" s="5"/>
      <c r="K962" s="5"/>
      <c r="L962" s="46"/>
      <c r="M962" s="1665"/>
      <c r="N962" s="1666"/>
      <c r="O962" s="1666"/>
      <c r="P962" s="1666"/>
      <c r="Q962" s="1666"/>
      <c r="R962" s="1666"/>
      <c r="S962" s="1667"/>
      <c r="U962" s="121" t="s">
        <v>1661</v>
      </c>
      <c r="V962" s="5"/>
      <c r="W962" s="5"/>
      <c r="X962" s="5"/>
      <c r="Y962" s="5"/>
      <c r="Z962" s="5"/>
      <c r="AA962" s="5"/>
      <c r="AB962" s="5"/>
      <c r="AC962" s="5"/>
      <c r="AD962" s="46"/>
      <c r="AE962" s="1665"/>
      <c r="AF962" s="1666"/>
      <c r="AG962" s="1666"/>
      <c r="AH962" s="1666"/>
      <c r="AI962" s="1666"/>
      <c r="AJ962" s="1666"/>
      <c r="AK962" s="1667"/>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705"/>
      <c r="N967" s="1706"/>
      <c r="O967" s="1706"/>
      <c r="P967" s="1706"/>
      <c r="Q967" s="1706"/>
      <c r="R967" s="1706"/>
      <c r="S967" s="1707"/>
      <c r="T967" s="66" t="s">
        <v>791</v>
      </c>
      <c r="U967" s="5"/>
      <c r="V967" s="5"/>
      <c r="W967" s="5"/>
      <c r="X967" s="5"/>
      <c r="Y967" s="5"/>
      <c r="Z967" s="46"/>
      <c r="AA967" s="1705"/>
      <c r="AB967" s="1706"/>
      <c r="AC967" s="1706"/>
      <c r="AD967" s="1706"/>
      <c r="AE967" s="1706"/>
      <c r="AF967" s="1706"/>
      <c r="AG967" s="170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705"/>
      <c r="N968" s="1706"/>
      <c r="O968" s="1706"/>
      <c r="P968" s="1706"/>
      <c r="Q968" s="1706"/>
      <c r="R968" s="1706"/>
      <c r="S968" s="1707"/>
      <c r="T968" s="66" t="s">
        <v>790</v>
      </c>
      <c r="U968" s="5"/>
      <c r="V968" s="5"/>
      <c r="W968" s="5"/>
      <c r="X968" s="5"/>
      <c r="Y968" s="5"/>
      <c r="Z968" s="46"/>
      <c r="AA968" s="1705"/>
      <c r="AB968" s="1706"/>
      <c r="AC968" s="1706"/>
      <c r="AD968" s="1706"/>
      <c r="AE968" s="1706"/>
      <c r="AF968" s="1706"/>
      <c r="AG968" s="170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724" t="s">
        <v>592</v>
      </c>
      <c r="N969" s="1725"/>
      <c r="O969" s="1725"/>
      <c r="P969" s="1725"/>
      <c r="Q969" s="1725"/>
      <c r="R969" s="1725"/>
      <c r="S969" s="1726"/>
      <c r="T969" s="45" t="s">
        <v>337</v>
      </c>
      <c r="U969" s="5"/>
      <c r="V969" s="5"/>
      <c r="W969" s="5"/>
      <c r="X969" s="5"/>
      <c r="Y969" s="5"/>
      <c r="Z969" s="46"/>
      <c r="AA969" s="1705"/>
      <c r="AB969" s="1706"/>
      <c r="AC969" s="1706"/>
      <c r="AD969" s="1706"/>
      <c r="AE969" s="1706"/>
      <c r="AF969" s="1706"/>
      <c r="AG969" s="170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705"/>
      <c r="N970" s="1706"/>
      <c r="O970" s="1706"/>
      <c r="P970" s="1706"/>
      <c r="Q970" s="1706"/>
      <c r="R970" s="1706"/>
      <c r="S970" s="1707"/>
      <c r="T970" s="45" t="s">
        <v>338</v>
      </c>
      <c r="U970" s="5"/>
      <c r="V970" s="5"/>
      <c r="W970" s="5"/>
      <c r="X970" s="5"/>
      <c r="Y970" s="5"/>
      <c r="Z970" s="46"/>
      <c r="AA970" s="1705"/>
      <c r="AB970" s="1706"/>
      <c r="AC970" s="1706"/>
      <c r="AD970" s="1706"/>
      <c r="AE970" s="1706"/>
      <c r="AF970" s="1706"/>
      <c r="AG970" s="170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705"/>
      <c r="N971" s="1706"/>
      <c r="O971" s="1706"/>
      <c r="P971" s="1706"/>
      <c r="Q971" s="1706"/>
      <c r="R971" s="1706"/>
      <c r="S971" s="1707"/>
      <c r="T971" s="45" t="s">
        <v>376</v>
      </c>
      <c r="U971" s="5"/>
      <c r="V971" s="5"/>
      <c r="W971" s="5"/>
      <c r="X971" s="5"/>
      <c r="Y971" s="5"/>
      <c r="Z971" s="46"/>
      <c r="AA971" s="1705"/>
      <c r="AB971" s="1706"/>
      <c r="AC971" s="1706"/>
      <c r="AD971" s="1706"/>
      <c r="AE971" s="1706"/>
      <c r="AF971" s="1706"/>
      <c r="AG971" s="170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880</v>
      </c>
      <c r="G972" s="42"/>
      <c r="H972" s="42"/>
      <c r="I972" s="42"/>
      <c r="J972" s="42"/>
      <c r="K972" s="42"/>
      <c r="L972" s="58"/>
      <c r="M972" s="1672" t="s">
        <v>307</v>
      </c>
      <c r="N972" s="1673"/>
      <c r="O972" s="1673"/>
      <c r="P972" s="1673"/>
      <c r="Q972" s="1673"/>
      <c r="R972" s="1673"/>
      <c r="S972" s="1674"/>
      <c r="T972" s="1740"/>
      <c r="U972" s="1741"/>
      <c r="V972" s="1741"/>
      <c r="W972" s="1741"/>
      <c r="X972" s="1741"/>
      <c r="Y972" s="1741"/>
      <c r="Z972" s="1742"/>
      <c r="AA972" s="1705"/>
      <c r="AB972" s="1706"/>
      <c r="AC972" s="1706"/>
      <c r="AD972" s="1706"/>
      <c r="AE972" s="1706"/>
      <c r="AF972" s="1706"/>
      <c r="AG972" s="170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705"/>
      <c r="N973" s="1706"/>
      <c r="O973" s="1706"/>
      <c r="P973" s="1706"/>
      <c r="Q973" s="1706"/>
      <c r="R973" s="1706"/>
      <c r="S973" s="1707"/>
      <c r="T973" s="1740"/>
      <c r="U973" s="1741"/>
      <c r="V973" s="1741"/>
      <c r="W973" s="1741"/>
      <c r="X973" s="1741"/>
      <c r="Y973" s="1741"/>
      <c r="Z973" s="1742"/>
      <c r="AA973" s="1705"/>
      <c r="AB973" s="1706"/>
      <c r="AC973" s="1706"/>
      <c r="AD973" s="1706"/>
      <c r="AE973" s="1706"/>
      <c r="AF973" s="1706"/>
      <c r="AG973" s="170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99" t="s">
        <v>670</v>
      </c>
      <c r="P974" s="1401"/>
      <c r="Q974" s="92"/>
      <c r="R974" s="92"/>
      <c r="S974" s="93"/>
      <c r="T974" s="41" t="s">
        <v>170</v>
      </c>
      <c r="U974" s="42"/>
      <c r="V974" s="42"/>
      <c r="W974" s="1767" t="s">
        <v>334</v>
      </c>
      <c r="X974" s="1768"/>
      <c r="Y974" s="1768"/>
      <c r="Z974" s="1768"/>
      <c r="AA974" s="1768"/>
      <c r="AB974" s="1768"/>
      <c r="AC974" s="1768"/>
      <c r="AD974" s="1768"/>
      <c r="AE974" s="1768"/>
      <c r="AF974" s="1768"/>
      <c r="AG974" s="1769"/>
      <c r="AU974" s="68"/>
      <c r="AV974" s="95"/>
      <c r="AW974" s="95"/>
      <c r="AX974" s="95"/>
      <c r="AY974" s="95"/>
      <c r="AZ974" s="34"/>
      <c r="BB974" s="34"/>
      <c r="BC974" s="34"/>
      <c r="BD974" s="34"/>
      <c r="BE974" s="34"/>
      <c r="BF974" s="34"/>
      <c r="BG974" s="34"/>
      <c r="BH974" s="34"/>
      <c r="BI974" s="34"/>
      <c r="BJ974" s="34"/>
      <c r="BK974" s="34"/>
      <c r="BL974" s="34"/>
    </row>
    <row r="975" spans="1:64" ht="13" customHeight="1">
      <c r="F975" s="1609" t="s">
        <v>33</v>
      </c>
      <c r="G975" s="1463"/>
      <c r="H975" s="1463"/>
      <c r="I975" s="1463"/>
      <c r="J975" s="1463"/>
      <c r="K975" s="1463"/>
      <c r="L975" s="1463"/>
      <c r="M975" s="1705"/>
      <c r="N975" s="1706"/>
      <c r="O975" s="1706"/>
      <c r="P975" s="1706"/>
      <c r="Q975" s="1706"/>
      <c r="R975" s="1706"/>
      <c r="S975" s="1707"/>
      <c r="T975" s="47"/>
      <c r="U975" s="48"/>
      <c r="V975" s="48"/>
      <c r="W975" s="48"/>
      <c r="X975" s="48"/>
      <c r="Y975" s="48"/>
      <c r="Z975" s="124" t="s">
        <v>134</v>
      </c>
      <c r="AA975" s="1782"/>
      <c r="AB975" s="1783"/>
      <c r="AC975" s="1783"/>
      <c r="AD975" s="1783"/>
      <c r="AE975" s="1783"/>
      <c r="AF975" s="1783"/>
      <c r="AG975" s="1784"/>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5"/>
      <c r="BH976" s="1635"/>
      <c r="BI976" s="1635"/>
      <c r="BJ976" s="1635"/>
      <c r="BK976" s="1635"/>
      <c r="BL976" s="1635"/>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540" t="s">
        <v>549</v>
      </c>
      <c r="B979" s="1540"/>
      <c r="C979" s="1540"/>
      <c r="D979" s="1540"/>
      <c r="E979" s="1540"/>
      <c r="F979" s="1540"/>
      <c r="G979" s="1540"/>
      <c r="H979" s="1540"/>
      <c r="I979" s="1540"/>
      <c r="J979" s="1540"/>
      <c r="K979" s="1540"/>
      <c r="L979" s="1540"/>
      <c r="M979" s="1540"/>
      <c r="N979" s="1540"/>
      <c r="O979" s="1540"/>
      <c r="P979" s="1540"/>
      <c r="Q979" s="1540"/>
      <c r="R979" s="1540"/>
      <c r="S979" s="1540"/>
      <c r="T979" s="1540"/>
      <c r="U979" s="1540"/>
      <c r="V979" s="1540"/>
      <c r="W979" s="1540"/>
      <c r="X979" s="1540"/>
      <c r="Y979" s="1540"/>
      <c r="Z979" s="1540"/>
      <c r="AA979" s="1540"/>
      <c r="AB979" s="1540"/>
      <c r="AC979" s="1540"/>
      <c r="AD979" s="1540"/>
      <c r="AE979" s="1540"/>
      <c r="AF979" s="1540"/>
      <c r="AG979" s="1540"/>
      <c r="AH979" s="1540"/>
      <c r="AI979" s="1540"/>
      <c r="AJ979" s="1540"/>
      <c r="AK979" s="1540"/>
      <c r="AL979" s="1540"/>
      <c r="AM979" s="1540"/>
      <c r="AN979" s="1540"/>
      <c r="AO979" s="1540"/>
      <c r="AP979" s="1540"/>
      <c r="AQ979" s="1540"/>
      <c r="AR979" s="1540"/>
      <c r="AS979" s="1540"/>
      <c r="AT979" s="1540"/>
      <c r="AU979" s="68"/>
      <c r="AV979" s="68"/>
      <c r="AW979" s="68"/>
      <c r="AX979" s="68"/>
      <c r="AY979" s="68"/>
      <c r="AZ979" s="14"/>
      <c r="BA979" s="14"/>
      <c r="BB979" s="913"/>
      <c r="BC979" s="913"/>
    </row>
    <row r="980" spans="1:64" ht="13" customHeight="1">
      <c r="A980" s="1540"/>
      <c r="B980" s="1540"/>
      <c r="C980" s="1540"/>
      <c r="D980" s="1540"/>
      <c r="E980" s="1540"/>
      <c r="F980" s="1540"/>
      <c r="G980" s="1540"/>
      <c r="H980" s="1540"/>
      <c r="I980" s="1540"/>
      <c r="J980" s="1540"/>
      <c r="K980" s="1540"/>
      <c r="L980" s="1540"/>
      <c r="M980" s="1540"/>
      <c r="N980" s="1540"/>
      <c r="O980" s="1540"/>
      <c r="P980" s="1540"/>
      <c r="Q980" s="1540"/>
      <c r="R980" s="1540"/>
      <c r="S980" s="1540"/>
      <c r="T980" s="1540"/>
      <c r="U980" s="1540"/>
      <c r="V980" s="1540"/>
      <c r="W980" s="1540"/>
      <c r="X980" s="1540"/>
      <c r="Y980" s="1540"/>
      <c r="Z980" s="1540"/>
      <c r="AA980" s="1540"/>
      <c r="AB980" s="1540"/>
      <c r="AC980" s="1540"/>
      <c r="AD980" s="1540"/>
      <c r="AE980" s="1540"/>
      <c r="AF980" s="1540"/>
      <c r="AG980" s="1540"/>
      <c r="AH980" s="1540"/>
      <c r="AI980" s="1540"/>
      <c r="AJ980" s="1540"/>
      <c r="AK980" s="1540"/>
      <c r="AL980" s="1540"/>
      <c r="AM980" s="1540"/>
      <c r="AN980" s="1540"/>
      <c r="AO980" s="1540"/>
      <c r="AP980" s="1540"/>
      <c r="AQ980" s="1540"/>
      <c r="AR980" s="1540"/>
      <c r="AS980" s="1540"/>
      <c r="AT980" s="1540"/>
      <c r="AU980" s="68"/>
      <c r="AV980" s="68"/>
      <c r="AW980" s="68"/>
      <c r="AX980" s="68"/>
      <c r="AY980" s="68"/>
      <c r="AZ980" s="30"/>
      <c r="BA980" s="14"/>
      <c r="BB980" s="14"/>
      <c r="BC980" s="14"/>
    </row>
    <row r="981" spans="1:64" ht="13" customHeight="1">
      <c r="A981" s="1540"/>
      <c r="B981" s="1540"/>
      <c r="C981" s="1540"/>
      <c r="D981" s="1540"/>
      <c r="E981" s="1540"/>
      <c r="F981" s="1540"/>
      <c r="G981" s="1540"/>
      <c r="H981" s="1540"/>
      <c r="I981" s="1540"/>
      <c r="J981" s="1540"/>
      <c r="K981" s="1540"/>
      <c r="L981" s="1540"/>
      <c r="M981" s="1540"/>
      <c r="N981" s="1540"/>
      <c r="O981" s="1540"/>
      <c r="P981" s="1540"/>
      <c r="Q981" s="1540"/>
      <c r="R981" s="1540"/>
      <c r="S981" s="1540"/>
      <c r="T981" s="1540"/>
      <c r="U981" s="1540"/>
      <c r="V981" s="1540"/>
      <c r="W981" s="1540"/>
      <c r="X981" s="1540"/>
      <c r="Y981" s="1540"/>
      <c r="Z981" s="1540"/>
      <c r="AA981" s="1540"/>
      <c r="AB981" s="1540"/>
      <c r="AC981" s="1540"/>
      <c r="AD981" s="1540"/>
      <c r="AE981" s="1540"/>
      <c r="AF981" s="1540"/>
      <c r="AG981" s="1540"/>
      <c r="AH981" s="1540"/>
      <c r="AI981" s="1540"/>
      <c r="AJ981" s="1540"/>
      <c r="AK981" s="1540"/>
      <c r="AL981" s="1540"/>
      <c r="AM981" s="1540"/>
      <c r="AN981" s="1540"/>
      <c r="AO981" s="1540"/>
      <c r="AP981" s="1540"/>
      <c r="AQ981" s="1540"/>
      <c r="AR981" s="1540"/>
      <c r="AS981" s="1540"/>
      <c r="AT981" s="1540"/>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795" t="s">
        <v>639</v>
      </c>
      <c r="E985" s="1796"/>
      <c r="F985" s="1796"/>
      <c r="G985" s="1796"/>
      <c r="H985" s="1796"/>
      <c r="I985" s="1796"/>
      <c r="J985" s="1796"/>
      <c r="K985" s="1796"/>
      <c r="L985" s="1796"/>
      <c r="M985" s="1796"/>
      <c r="N985" s="1796"/>
      <c r="O985" s="1796"/>
      <c r="P985" s="1796"/>
      <c r="Q985" s="1797"/>
      <c r="R985" s="1795" t="s">
        <v>640</v>
      </c>
      <c r="S985" s="1796"/>
      <c r="T985" s="1796"/>
      <c r="U985" s="1796"/>
      <c r="V985" s="1796"/>
      <c r="W985" s="1796"/>
      <c r="X985" s="1796"/>
      <c r="Y985" s="1796"/>
      <c r="Z985" s="1796"/>
      <c r="AA985" s="1797"/>
      <c r="AB985" s="1795" t="s">
        <v>641</v>
      </c>
      <c r="AC985" s="1796"/>
      <c r="AD985" s="1796"/>
      <c r="AE985" s="1796"/>
      <c r="AF985" s="1796"/>
      <c r="AG985" s="1796"/>
      <c r="AH985" s="1796"/>
      <c r="AI985" s="1797"/>
      <c r="AJ985" s="1795" t="s">
        <v>642</v>
      </c>
      <c r="AK985" s="1796"/>
      <c r="AL985" s="1796"/>
      <c r="AM985" s="1796"/>
      <c r="AN985" s="1796"/>
      <c r="AO985" s="1796"/>
      <c r="AP985" s="1796"/>
      <c r="AQ985" s="1797"/>
      <c r="AR985" s="68"/>
      <c r="AS985" s="68"/>
      <c r="AT985" s="68"/>
      <c r="AU985" s="68"/>
      <c r="AV985" s="68"/>
      <c r="AW985" s="68"/>
      <c r="AX985" s="68"/>
      <c r="AY985" s="68"/>
      <c r="AZ985" s="30"/>
      <c r="BB985" s="14"/>
      <c r="BC985" s="14"/>
    </row>
    <row r="986" spans="1:64" ht="13" customHeight="1">
      <c r="A986" s="14"/>
      <c r="B986" s="73"/>
      <c r="C986" s="930"/>
      <c r="D986" s="1691" t="s">
        <v>634</v>
      </c>
      <c r="E986" s="1692"/>
      <c r="F986" s="1692"/>
      <c r="G986" s="1692"/>
      <c r="H986" s="1692"/>
      <c r="I986" s="1692"/>
      <c r="J986" s="1692"/>
      <c r="K986" s="1692"/>
      <c r="L986" s="1692"/>
      <c r="M986" s="1692"/>
      <c r="N986" s="1692"/>
      <c r="O986" s="1692"/>
      <c r="P986" s="1692"/>
      <c r="Q986" s="1693"/>
      <c r="R986" s="1739">
        <f>IF(ISNA(IF($CU$122="4%",(INDEX($CS$160:$CW$217,MATCH($DG$122,$CR$160:$CR$217,0),MATCH(D986,$CS$159:$CW$159,0))),(INDEX($CZ$160:$DD$217,MATCH($DG$122,$CY$160:$CY$217,0),MATCH(D986,$CZ$159:$DD$159,0))))),0,IF($CU$122="4%",(INDEX($CS$160:$CW$217,MATCH($DG$122,$CR$160:$CR$217,0),MATCH(D986,$CS$159:$CW$159,0))),(INDEX($CZ$160:$DD$217,MATCH($DG$122,$CY$160:$CY$217,0),MATCH(D986,$CZ$159:$DD$159,0)))))</f>
        <v>437727</v>
      </c>
      <c r="S986" s="1739"/>
      <c r="T986" s="1739"/>
      <c r="U986" s="1739"/>
      <c r="V986" s="1739"/>
      <c r="W986" s="1739"/>
      <c r="X986" s="1739"/>
      <c r="Y986" s="1739"/>
      <c r="Z986" s="1739"/>
      <c r="AA986" s="1739"/>
      <c r="AB986" s="1736">
        <f>CP802</f>
        <v>21</v>
      </c>
      <c r="AC986" s="1737"/>
      <c r="AD986" s="1737"/>
      <c r="AE986" s="1737"/>
      <c r="AF986" s="1737"/>
      <c r="AG986" s="1737"/>
      <c r="AH986" s="1737"/>
      <c r="AI986" s="1738"/>
      <c r="AJ986" s="1729">
        <f>IF(ISERROR((R986*AB986)),0,(R986*AB986))</f>
        <v>9192267</v>
      </c>
      <c r="AK986" s="1730"/>
      <c r="AL986" s="1730"/>
      <c r="AM986" s="1730"/>
      <c r="AN986" s="1730"/>
      <c r="AO986" s="1730"/>
      <c r="AP986" s="1730"/>
      <c r="AQ986" s="1731"/>
      <c r="AR986" s="68"/>
      <c r="AS986" s="68"/>
      <c r="AT986" s="68"/>
      <c r="AU986" s="68"/>
      <c r="AV986" s="68"/>
      <c r="AW986" s="68"/>
      <c r="AX986" s="68"/>
      <c r="AY986" s="68"/>
      <c r="AZ986" s="30"/>
      <c r="BB986" s="14"/>
      <c r="BC986" s="14"/>
    </row>
    <row r="987" spans="1:64" ht="13" customHeight="1">
      <c r="A987" s="14"/>
      <c r="B987" s="73"/>
      <c r="C987" s="83"/>
      <c r="D987" s="1691" t="s">
        <v>325</v>
      </c>
      <c r="E987" s="1692"/>
      <c r="F987" s="1692"/>
      <c r="G987" s="1692"/>
      <c r="H987" s="1692"/>
      <c r="I987" s="1692"/>
      <c r="J987" s="1692"/>
      <c r="K987" s="1692"/>
      <c r="L987" s="1692"/>
      <c r="M987" s="1692"/>
      <c r="N987" s="1692"/>
      <c r="O987" s="1692"/>
      <c r="P987" s="1692"/>
      <c r="Q987" s="1693"/>
      <c r="R987" s="1739">
        <f>IF(ISNA(IF($CU$122="4%",(INDEX($CS$160:$CW$217,MATCH($DG$122,$CR$160:$CR$217,0),MATCH(D987,$CS$159:$CW$159,0))),(INDEX($CZ$160:$DD$217,MATCH($DG$122,$CY$160:$CY$217,0),MATCH(D987,$CZ$159:$DD$159,0))))),0,IF($CU$122="4%",(INDEX($CS$160:$CW$217,MATCH($DG$122,$CR$160:$CR$217,0),MATCH(D987,$CS$159:$CW$159,0))),(INDEX($CZ$160:$DD$217,MATCH($DG$122,$CY$160:$CY$217,0),MATCH(D987,$CZ$159:$DD$159,0)))))</f>
        <v>504695</v>
      </c>
      <c r="S987" s="1739"/>
      <c r="T987" s="1739"/>
      <c r="U987" s="1739"/>
      <c r="V987" s="1739"/>
      <c r="W987" s="1739"/>
      <c r="X987" s="1739"/>
      <c r="Y987" s="1739"/>
      <c r="Z987" s="1739"/>
      <c r="AA987" s="1739"/>
      <c r="AB987" s="1736">
        <f>CU802</f>
        <v>133</v>
      </c>
      <c r="AC987" s="1737"/>
      <c r="AD987" s="1737"/>
      <c r="AE987" s="1737"/>
      <c r="AF987" s="1737"/>
      <c r="AG987" s="1737"/>
      <c r="AH987" s="1737"/>
      <c r="AI987" s="1738"/>
      <c r="AJ987" s="1729">
        <f>IF(ISERROR((R987*AB987)),0,(R987*AB987))</f>
        <v>67124435</v>
      </c>
      <c r="AK987" s="1730"/>
      <c r="AL987" s="1730"/>
      <c r="AM987" s="1730"/>
      <c r="AN987" s="1730"/>
      <c r="AO987" s="1730"/>
      <c r="AP987" s="1730"/>
      <c r="AQ987" s="1731"/>
      <c r="AR987" s="68"/>
      <c r="AS987" s="68"/>
      <c r="AT987" s="68"/>
      <c r="AU987" s="68"/>
      <c r="AV987" s="68"/>
      <c r="AW987" s="68"/>
      <c r="AX987" s="68"/>
      <c r="AY987" s="68"/>
      <c r="AZ987" s="30"/>
      <c r="BB987" s="14"/>
      <c r="BC987" s="14"/>
    </row>
    <row r="988" spans="1:64" ht="13" customHeight="1">
      <c r="A988" s="14"/>
      <c r="B988" s="73"/>
      <c r="C988" s="83"/>
      <c r="D988" s="1691" t="s">
        <v>163</v>
      </c>
      <c r="E988" s="1692"/>
      <c r="F988" s="1692"/>
      <c r="G988" s="1692"/>
      <c r="H988" s="1692"/>
      <c r="I988" s="1692"/>
      <c r="J988" s="1692"/>
      <c r="K988" s="1692"/>
      <c r="L988" s="1692"/>
      <c r="M988" s="1692"/>
      <c r="N988" s="1692"/>
      <c r="O988" s="1692"/>
      <c r="P988" s="1692"/>
      <c r="Q988" s="1693"/>
      <c r="R988" s="1739">
        <f>IF(ISNA(IF($CU$122="4%",(INDEX($CS$160:$CW$217,MATCH($DG$122,$CR$160:$CR$217,0),MATCH(D988,$CS$159:$CW$159,0))),(INDEX($CZ$160:$DD$217,MATCH($DG$122,$CY$160:$CY$217,0),MATCH(D988,$CZ$159:$DD$159,0))))),0,IF($CU$122="4%",(INDEX($CS$160:$CW$217,MATCH($DG$122,$CR$160:$CR$217,0),MATCH(D988,$CS$159:$CW$159,0))),(INDEX($CZ$160:$DD$217,MATCH($DG$122,$CY$160:$CY$217,0),MATCH(D988,$CZ$159:$DD$159,0)))))</f>
        <v>608800</v>
      </c>
      <c r="S988" s="1739"/>
      <c r="T988" s="1739"/>
      <c r="U988" s="1739"/>
      <c r="V988" s="1739"/>
      <c r="W988" s="1739"/>
      <c r="X988" s="1739"/>
      <c r="Y988" s="1739"/>
      <c r="Z988" s="1739"/>
      <c r="AA988" s="1739"/>
      <c r="AB988" s="1736">
        <f>CZ802</f>
        <v>39</v>
      </c>
      <c r="AC988" s="1737"/>
      <c r="AD988" s="1737"/>
      <c r="AE988" s="1737"/>
      <c r="AF988" s="1737"/>
      <c r="AG988" s="1737"/>
      <c r="AH988" s="1737"/>
      <c r="AI988" s="1738"/>
      <c r="AJ988" s="1729">
        <f>IF(ISERROR((R988*AB988)),0,(R988*AB988))</f>
        <v>23743200</v>
      </c>
      <c r="AK988" s="1730"/>
      <c r="AL988" s="1730"/>
      <c r="AM988" s="1730"/>
      <c r="AN988" s="1730"/>
      <c r="AO988" s="1730"/>
      <c r="AP988" s="1730"/>
      <c r="AQ988" s="1731"/>
      <c r="AR988" s="68"/>
      <c r="AS988" s="68"/>
      <c r="AT988" s="68"/>
      <c r="AU988" s="68"/>
      <c r="AV988" s="68"/>
      <c r="AW988" s="68"/>
      <c r="AX988" s="68"/>
      <c r="AY988" s="68"/>
      <c r="AZ988" s="30"/>
      <c r="BB988" s="14"/>
      <c r="BC988" s="14"/>
    </row>
    <row r="989" spans="1:64" ht="13" customHeight="1">
      <c r="A989" s="14"/>
      <c r="B989" s="73"/>
      <c r="C989" s="83"/>
      <c r="D989" s="1691" t="s">
        <v>164</v>
      </c>
      <c r="E989" s="1692"/>
      <c r="F989" s="1692"/>
      <c r="G989" s="1692"/>
      <c r="H989" s="1692"/>
      <c r="I989" s="1692"/>
      <c r="J989" s="1692"/>
      <c r="K989" s="1692"/>
      <c r="L989" s="1692"/>
      <c r="M989" s="1692"/>
      <c r="N989" s="1692"/>
      <c r="O989" s="1692"/>
      <c r="P989" s="1692"/>
      <c r="Q989" s="1693"/>
      <c r="R989" s="1739">
        <f>IF(ISNA(IF($CU$122="4%",(INDEX($CS$160:$CW$217,MATCH($DG$122,$CR$160:$CR$217,0),MATCH(D989,$CS$159:$CW$159,0))),(INDEX($CZ$160:$DD$217,MATCH($DG$122,$CY$160:$CY$217,0),MATCH(D989,$CZ$159:$DD$159,0))))),0,IF($CU$122="4%",(INDEX($CS$160:$CW$217,MATCH($DG$122,$CR$160:$CR$217,0),MATCH(D989,$CS$159:$CW$159,0))),(INDEX($CZ$160:$DD$217,MATCH($DG$122,$CY$160:$CY$217,0),MATCH(D989,$CZ$159:$DD$159,0)))))</f>
        <v>779264</v>
      </c>
      <c r="S989" s="1739"/>
      <c r="T989" s="1739"/>
      <c r="U989" s="1739"/>
      <c r="V989" s="1739"/>
      <c r="W989" s="1739"/>
      <c r="X989" s="1739"/>
      <c r="Y989" s="1739"/>
      <c r="Z989" s="1739"/>
      <c r="AA989" s="1739"/>
      <c r="AB989" s="1736">
        <f>DE802</f>
        <v>48</v>
      </c>
      <c r="AC989" s="1737"/>
      <c r="AD989" s="1737"/>
      <c r="AE989" s="1737"/>
      <c r="AF989" s="1737"/>
      <c r="AG989" s="1737"/>
      <c r="AH989" s="1737"/>
      <c r="AI989" s="1738"/>
      <c r="AJ989" s="1729">
        <f>IF(ISERROR((R989*AB989)),0,(R989*AB989))</f>
        <v>37404672</v>
      </c>
      <c r="AK989" s="1730"/>
      <c r="AL989" s="1730"/>
      <c r="AM989" s="1730"/>
      <c r="AN989" s="1730"/>
      <c r="AO989" s="1730"/>
      <c r="AP989" s="1730"/>
      <c r="AQ989" s="1731"/>
      <c r="AR989" s="68"/>
      <c r="AS989" s="68"/>
      <c r="AT989" s="68"/>
      <c r="AU989" s="68"/>
      <c r="AV989" s="68"/>
      <c r="AW989" s="68"/>
      <c r="AX989" s="68"/>
      <c r="AY989" s="68"/>
      <c r="AZ989" s="30"/>
      <c r="BA989" s="34"/>
      <c r="BB989" s="14"/>
      <c r="BC989" s="14"/>
    </row>
    <row r="990" spans="1:64" ht="13" customHeight="1">
      <c r="A990" s="14"/>
      <c r="B990" s="47"/>
      <c r="C990" s="78"/>
      <c r="D990" s="1691" t="s">
        <v>461</v>
      </c>
      <c r="E990" s="1692"/>
      <c r="F990" s="1692"/>
      <c r="G990" s="1692"/>
      <c r="H990" s="1692"/>
      <c r="I990" s="1692"/>
      <c r="J990" s="1692"/>
      <c r="K990" s="1692"/>
      <c r="L990" s="1692"/>
      <c r="M990" s="1692"/>
      <c r="N990" s="1692"/>
      <c r="O990" s="1692"/>
      <c r="P990" s="1692"/>
      <c r="Q990" s="1693"/>
      <c r="R990" s="1739">
        <f>IF(ISNA(IF($CU$122="4%",(INDEX($CS$160:$CW$217,MATCH($DG$122,$CR$160:$CR$217,0),MATCH(D990,$CS$159:$CW$159,0))),(INDEX($CZ$160:$DD$217,MATCH($DG$122,$CY$160:$CY$217,0),MATCH(D990,$CZ$159:$DD$159,0))))),0,IF($CU$122="4%",(INDEX($CS$160:$CW$217,MATCH($DG$122,$CR$160:$CR$217,0),MATCH(D990,$CS$159:$CW$159,0))),(INDEX($CZ$160:$DD$217,MATCH($DG$122,$CY$160:$CY$217,0),MATCH(D990,$CZ$159:$DD$159,0)))))</f>
        <v>868149</v>
      </c>
      <c r="S990" s="1739"/>
      <c r="T990" s="1739"/>
      <c r="U990" s="1739"/>
      <c r="V990" s="1739"/>
      <c r="W990" s="1739"/>
      <c r="X990" s="1739"/>
      <c r="Y990" s="1739"/>
      <c r="Z990" s="1739"/>
      <c r="AA990" s="1739"/>
      <c r="AB990" s="1736">
        <f>DO802+DJ802</f>
        <v>0</v>
      </c>
      <c r="AC990" s="1737"/>
      <c r="AD990" s="1737"/>
      <c r="AE990" s="1737"/>
      <c r="AF990" s="1737"/>
      <c r="AG990" s="1737"/>
      <c r="AH990" s="1737"/>
      <c r="AI990" s="1738"/>
      <c r="AJ990" s="1729">
        <f>IF(ISERROR((R990*AB990)),0,(R990*AB990))</f>
        <v>0</v>
      </c>
      <c r="AK990" s="1730"/>
      <c r="AL990" s="1730"/>
      <c r="AM990" s="1730"/>
      <c r="AN990" s="1730"/>
      <c r="AO990" s="1730"/>
      <c r="AP990" s="1730"/>
      <c r="AQ990" s="1731"/>
      <c r="AR990" s="68"/>
      <c r="AS990" s="68"/>
      <c r="AT990" s="68"/>
      <c r="AU990" s="68"/>
      <c r="AV990" s="68"/>
      <c r="AW990" s="68"/>
      <c r="AX990" s="68"/>
      <c r="AY990" s="68"/>
      <c r="AZ990" s="30"/>
      <c r="BB990" s="14"/>
      <c r="BC990" s="14"/>
    </row>
    <row r="991" spans="1:64" ht="13" customHeight="1">
      <c r="A991" s="14"/>
      <c r="B991" s="1760" t="s">
        <v>792</v>
      </c>
      <c r="C991" s="1761"/>
      <c r="D991" s="1761"/>
      <c r="E991" s="1761"/>
      <c r="F991" s="1761"/>
      <c r="G991" s="1761"/>
      <c r="H991" s="1761"/>
      <c r="I991" s="1761"/>
      <c r="J991" s="1761"/>
      <c r="K991" s="1761"/>
      <c r="L991" s="1761"/>
      <c r="M991" s="1761"/>
      <c r="N991" s="1761"/>
      <c r="O991" s="1761"/>
      <c r="P991" s="1761"/>
      <c r="Q991" s="1761"/>
      <c r="R991" s="1761"/>
      <c r="S991" s="1761"/>
      <c r="T991" s="1761"/>
      <c r="U991" s="1761"/>
      <c r="V991" s="1761"/>
      <c r="W991" s="1761"/>
      <c r="X991" s="1761"/>
      <c r="Y991" s="1761"/>
      <c r="Z991" s="1761"/>
      <c r="AA991" s="1762"/>
      <c r="AB991" s="1736">
        <f>SUM(AB986:AI990)</f>
        <v>241</v>
      </c>
      <c r="AC991" s="1737"/>
      <c r="AD991" s="1737"/>
      <c r="AE991" s="1737"/>
      <c r="AF991" s="1737"/>
      <c r="AG991" s="1737"/>
      <c r="AH991" s="1737"/>
      <c r="AI991" s="1738"/>
      <c r="AJ991" s="1729"/>
      <c r="AK991" s="1730"/>
      <c r="AL991" s="1730"/>
      <c r="AM991" s="1730"/>
      <c r="AN991" s="1730"/>
      <c r="AO991" s="1730"/>
      <c r="AP991" s="1730"/>
      <c r="AQ991" s="1731"/>
      <c r="AR991" s="68"/>
      <c r="AS991" s="68"/>
      <c r="AT991" s="68"/>
      <c r="AU991" s="68"/>
      <c r="AV991" s="68"/>
      <c r="AW991" s="68"/>
      <c r="AX991" s="68"/>
      <c r="AY991" s="68"/>
      <c r="AZ991" s="34"/>
      <c r="BA991" s="34"/>
      <c r="BB991" s="14"/>
      <c r="BC991" s="14"/>
    </row>
    <row r="992" spans="1:64" ht="13" customHeight="1">
      <c r="A992" s="14"/>
      <c r="B992" s="1852" t="s">
        <v>513</v>
      </c>
      <c r="C992" s="1853"/>
      <c r="D992" s="1853"/>
      <c r="E992" s="1853"/>
      <c r="F992" s="1853"/>
      <c r="G992" s="1853"/>
      <c r="H992" s="1853"/>
      <c r="I992" s="1853"/>
      <c r="J992" s="1853"/>
      <c r="K992" s="1853"/>
      <c r="L992" s="1853"/>
      <c r="M992" s="1853"/>
      <c r="N992" s="1853"/>
      <c r="O992" s="1853"/>
      <c r="P992" s="1853"/>
      <c r="Q992" s="1853"/>
      <c r="R992" s="1853"/>
      <c r="S992" s="1853"/>
      <c r="T992" s="1853"/>
      <c r="U992" s="1853"/>
      <c r="V992" s="1853"/>
      <c r="W992" s="1853"/>
      <c r="X992" s="1853"/>
      <c r="Y992" s="1853"/>
      <c r="Z992" s="1853"/>
      <c r="AA992" s="1853"/>
      <c r="AB992" s="1853"/>
      <c r="AC992" s="1853"/>
      <c r="AD992" s="1853"/>
      <c r="AE992" s="1853"/>
      <c r="AF992" s="1853"/>
      <c r="AG992" s="1853"/>
      <c r="AH992" s="1853"/>
      <c r="AI992" s="1854"/>
      <c r="AJ992" s="1729">
        <f>SUM(AJ986:AQ990)</f>
        <v>137464574</v>
      </c>
      <c r="AK992" s="1730"/>
      <c r="AL992" s="1730"/>
      <c r="AM992" s="1730"/>
      <c r="AN992" s="1730"/>
      <c r="AO992" s="1730"/>
      <c r="AP992" s="1730"/>
      <c r="AQ992" s="1731"/>
      <c r="AR992" s="68"/>
      <c r="AS992" s="68"/>
      <c r="AT992" s="68"/>
      <c r="AU992" s="68"/>
      <c r="AV992" s="68"/>
      <c r="AW992" s="68"/>
      <c r="AX992" s="68"/>
      <c r="AY992" s="68"/>
      <c r="AZ992" s="34"/>
      <c r="BB992" s="34"/>
      <c r="BC992" s="34"/>
    </row>
    <row r="993" spans="1:55" ht="13" customHeight="1">
      <c r="A993" s="14"/>
      <c r="B993" s="1770"/>
      <c r="C993" s="1771"/>
      <c r="D993" s="1771"/>
      <c r="E993" s="1771"/>
      <c r="F993" s="1771"/>
      <c r="G993" s="1771"/>
      <c r="H993" s="1771"/>
      <c r="I993" s="1771"/>
      <c r="J993" s="1771"/>
      <c r="K993" s="1771"/>
      <c r="L993" s="1771"/>
      <c r="M993" s="1771"/>
      <c r="N993" s="1771"/>
      <c r="O993" s="1771"/>
      <c r="P993" s="1771"/>
      <c r="Q993" s="1771"/>
      <c r="R993" s="1771"/>
      <c r="S993" s="1771"/>
      <c r="T993" s="1771"/>
      <c r="U993" s="1771"/>
      <c r="V993" s="1771"/>
      <c r="W993" s="1771"/>
      <c r="X993" s="1771"/>
      <c r="Y993" s="1771"/>
      <c r="Z993" s="1771"/>
      <c r="AA993" s="1771"/>
      <c r="AB993" s="1771"/>
      <c r="AC993" s="1771"/>
      <c r="AD993" s="1771"/>
      <c r="AE993" s="1772"/>
      <c r="AF993" s="1803" t="s">
        <v>667</v>
      </c>
      <c r="AG993" s="1804"/>
      <c r="AH993" s="1804"/>
      <c r="AI993" s="1805"/>
      <c r="AJ993" s="1770"/>
      <c r="AK993" s="1771"/>
      <c r="AL993" s="1771"/>
      <c r="AM993" s="1771"/>
      <c r="AN993" s="1771"/>
      <c r="AO993" s="1771"/>
      <c r="AP993" s="1771"/>
      <c r="AQ993" s="1772"/>
      <c r="AR993" s="68"/>
      <c r="AS993" s="68"/>
      <c r="AT993" s="68"/>
      <c r="AU993" s="68"/>
      <c r="AV993" s="68"/>
      <c r="AW993" s="68"/>
      <c r="AX993" s="68"/>
      <c r="AY993" s="68"/>
      <c r="AZ993" s="34"/>
      <c r="BA993" s="34"/>
      <c r="BB993" s="34"/>
      <c r="BC993" s="34"/>
    </row>
    <row r="994" spans="1:55" ht="13" customHeight="1">
      <c r="A994" s="14"/>
      <c r="B994" s="73"/>
      <c r="C994" s="928" t="s">
        <v>669</v>
      </c>
      <c r="D994" s="1752" t="s">
        <v>1220</v>
      </c>
      <c r="E994" s="1753"/>
      <c r="F994" s="1753"/>
      <c r="G994" s="1753"/>
      <c r="H994" s="1753"/>
      <c r="I994" s="1753"/>
      <c r="J994" s="1753"/>
      <c r="K994" s="1753"/>
      <c r="L994" s="1753"/>
      <c r="M994" s="1753"/>
      <c r="N994" s="1753"/>
      <c r="O994" s="1753"/>
      <c r="P994" s="1753"/>
      <c r="Q994" s="1753"/>
      <c r="R994" s="1753"/>
      <c r="S994" s="1753"/>
      <c r="T994" s="1753"/>
      <c r="U994" s="1753"/>
      <c r="V994" s="1753"/>
      <c r="W994" s="1753"/>
      <c r="X994" s="1753"/>
      <c r="Y994" s="1753"/>
      <c r="Z994" s="1753"/>
      <c r="AA994" s="1753"/>
      <c r="AB994" s="1753"/>
      <c r="AC994" s="1753"/>
      <c r="AD994" s="1753"/>
      <c r="AE994" s="1754"/>
      <c r="AF994" s="79"/>
      <c r="AG994" s="1806" t="s">
        <v>670</v>
      </c>
      <c r="AH994" s="1807"/>
      <c r="AI994" s="87"/>
      <c r="AJ994" s="1743">
        <f>ROUND(IF(AND(AG994="yes",D1000&gt;0),AJ992*0.2,0),0)</f>
        <v>0</v>
      </c>
      <c r="AK994" s="1744"/>
      <c r="AL994" s="1744"/>
      <c r="AM994" s="1744"/>
      <c r="AN994" s="1744"/>
      <c r="AO994" s="1744"/>
      <c r="AP994" s="1744"/>
      <c r="AQ994" s="1745"/>
      <c r="AR994" s="68"/>
      <c r="AS994" s="68"/>
      <c r="AT994" s="68"/>
      <c r="AU994" s="68"/>
      <c r="AV994" s="68"/>
      <c r="AW994" s="68"/>
      <c r="AX994" s="68"/>
      <c r="AY994" s="68"/>
      <c r="AZ994" s="34"/>
      <c r="BA994" s="34"/>
      <c r="BB994" s="34"/>
      <c r="BC994" s="34"/>
    </row>
    <row r="995" spans="1:55" ht="13" customHeight="1">
      <c r="A995" s="14"/>
      <c r="B995" s="258"/>
      <c r="C995" s="257"/>
      <c r="D995" s="1788" t="s">
        <v>2238</v>
      </c>
      <c r="E995" s="1789"/>
      <c r="F995" s="1789"/>
      <c r="G995" s="1789"/>
      <c r="H995" s="1789"/>
      <c r="I995" s="1789"/>
      <c r="J995" s="1789"/>
      <c r="K995" s="1789"/>
      <c r="L995" s="1789"/>
      <c r="M995" s="1789"/>
      <c r="N995" s="1789"/>
      <c r="O995" s="1789"/>
      <c r="P995" s="1789"/>
      <c r="Q995" s="1789"/>
      <c r="R995" s="1789"/>
      <c r="S995" s="1789"/>
      <c r="T995" s="1789"/>
      <c r="U995" s="1789"/>
      <c r="V995" s="1789"/>
      <c r="W995" s="1789"/>
      <c r="X995" s="1789"/>
      <c r="Y995" s="1789"/>
      <c r="Z995" s="1789"/>
      <c r="AA995" s="1789"/>
      <c r="AB995" s="1789"/>
      <c r="AC995" s="1789"/>
      <c r="AD995" s="1789"/>
      <c r="AE995" s="1790"/>
      <c r="AF995" s="73"/>
      <c r="AG995" s="14"/>
      <c r="AH995" s="14"/>
      <c r="AI995" s="83"/>
      <c r="AJ995" s="1746"/>
      <c r="AK995" s="1747"/>
      <c r="AL995" s="1747"/>
      <c r="AM995" s="1747"/>
      <c r="AN995" s="1747"/>
      <c r="AO995" s="1747"/>
      <c r="AP995" s="1747"/>
      <c r="AQ995" s="1748"/>
      <c r="AR995" s="68"/>
      <c r="AS995" s="68"/>
      <c r="AT995" s="68"/>
      <c r="AU995" s="68"/>
      <c r="AV995" s="68"/>
      <c r="AW995" s="68"/>
      <c r="AX995" s="68"/>
      <c r="AY995" s="68"/>
      <c r="AZ995" s="34"/>
      <c r="BA995" s="34"/>
      <c r="BB995" s="34"/>
      <c r="BC995" s="34"/>
    </row>
    <row r="996" spans="1:55" ht="13" customHeight="1">
      <c r="A996" s="14"/>
      <c r="B996" s="258"/>
      <c r="C996" s="257"/>
      <c r="D996" s="1788"/>
      <c r="E996" s="1789"/>
      <c r="F996" s="1789"/>
      <c r="G996" s="1789"/>
      <c r="H996" s="1789"/>
      <c r="I996" s="1789"/>
      <c r="J996" s="1789"/>
      <c r="K996" s="1789"/>
      <c r="L996" s="1789"/>
      <c r="M996" s="1789"/>
      <c r="N996" s="1789"/>
      <c r="O996" s="1789"/>
      <c r="P996" s="1789"/>
      <c r="Q996" s="1789"/>
      <c r="R996" s="1789"/>
      <c r="S996" s="1789"/>
      <c r="T996" s="1789"/>
      <c r="U996" s="1789"/>
      <c r="V996" s="1789"/>
      <c r="W996" s="1789"/>
      <c r="X996" s="1789"/>
      <c r="Y996" s="1789"/>
      <c r="Z996" s="1789"/>
      <c r="AA996" s="1789"/>
      <c r="AB996" s="1789"/>
      <c r="AC996" s="1789"/>
      <c r="AD996" s="1789"/>
      <c r="AE996" s="1790"/>
      <c r="AF996" s="73"/>
      <c r="AG996" s="14"/>
      <c r="AH996" s="14"/>
      <c r="AI996" s="83"/>
      <c r="AJ996" s="1746"/>
      <c r="AK996" s="1747"/>
      <c r="AL996" s="1747"/>
      <c r="AM996" s="1747"/>
      <c r="AN996" s="1747"/>
      <c r="AO996" s="1747"/>
      <c r="AP996" s="1747"/>
      <c r="AQ996" s="1748"/>
      <c r="AR996" s="68"/>
      <c r="AS996" s="68"/>
      <c r="AT996" s="68"/>
      <c r="AU996" s="68"/>
      <c r="AV996" s="68"/>
      <c r="AW996" s="68"/>
      <c r="AX996" s="68"/>
      <c r="AY996" s="68"/>
      <c r="AZ996" s="34"/>
      <c r="BA996" s="34"/>
      <c r="BB996" s="34"/>
      <c r="BC996" s="34"/>
    </row>
    <row r="997" spans="1:55" ht="13" customHeight="1">
      <c r="A997" s="14"/>
      <c r="B997" s="258"/>
      <c r="C997" s="257"/>
      <c r="D997" s="1788"/>
      <c r="E997" s="1789"/>
      <c r="F997" s="1789"/>
      <c r="G997" s="1789"/>
      <c r="H997" s="1789"/>
      <c r="I997" s="1789"/>
      <c r="J997" s="1789"/>
      <c r="K997" s="1789"/>
      <c r="L997" s="1789"/>
      <c r="M997" s="1789"/>
      <c r="N997" s="1789"/>
      <c r="O997" s="1789"/>
      <c r="P997" s="1789"/>
      <c r="Q997" s="1789"/>
      <c r="R997" s="1789"/>
      <c r="S997" s="1789"/>
      <c r="T997" s="1789"/>
      <c r="U997" s="1789"/>
      <c r="V997" s="1789"/>
      <c r="W997" s="1789"/>
      <c r="X997" s="1789"/>
      <c r="Y997" s="1789"/>
      <c r="Z997" s="1789"/>
      <c r="AA997" s="1789"/>
      <c r="AB997" s="1789"/>
      <c r="AC997" s="1789"/>
      <c r="AD997" s="1789"/>
      <c r="AE997" s="1790"/>
      <c r="AF997" s="73"/>
      <c r="AG997" s="14"/>
      <c r="AH997" s="14"/>
      <c r="AI997" s="83"/>
      <c r="AJ997" s="1746"/>
      <c r="AK997" s="1747"/>
      <c r="AL997" s="1747"/>
      <c r="AM997" s="1747"/>
      <c r="AN997" s="1747"/>
      <c r="AO997" s="1747"/>
      <c r="AP997" s="1747"/>
      <c r="AQ997" s="1748"/>
      <c r="AR997" s="68"/>
      <c r="AS997" s="68"/>
      <c r="AT997" s="68"/>
      <c r="AU997" s="68"/>
      <c r="AV997" s="68"/>
      <c r="AW997" s="68"/>
      <c r="AX997" s="68"/>
      <c r="AY997" s="68"/>
      <c r="AZ997" s="34"/>
      <c r="BA997" s="34"/>
      <c r="BB997" s="34"/>
      <c r="BC997" s="34"/>
    </row>
    <row r="998" spans="1:55" ht="13" customHeight="1">
      <c r="A998" s="14"/>
      <c r="B998" s="258"/>
      <c r="C998" s="257"/>
      <c r="D998" s="1788"/>
      <c r="E998" s="1789"/>
      <c r="F998" s="1789"/>
      <c r="G998" s="1789"/>
      <c r="H998" s="1789"/>
      <c r="I998" s="1789"/>
      <c r="J998" s="1789"/>
      <c r="K998" s="1789"/>
      <c r="L998" s="1789"/>
      <c r="M998" s="1789"/>
      <c r="N998" s="1789"/>
      <c r="O998" s="1789"/>
      <c r="P998" s="1789"/>
      <c r="Q998" s="1789"/>
      <c r="R998" s="1789"/>
      <c r="S998" s="1789"/>
      <c r="T998" s="1789"/>
      <c r="U998" s="1789"/>
      <c r="V998" s="1789"/>
      <c r="W998" s="1789"/>
      <c r="X998" s="1789"/>
      <c r="Y998" s="1789"/>
      <c r="Z998" s="1789"/>
      <c r="AA998" s="1789"/>
      <c r="AB998" s="1789"/>
      <c r="AC998" s="1789"/>
      <c r="AD998" s="1789"/>
      <c r="AE998" s="1790"/>
      <c r="AF998" s="73"/>
      <c r="AG998" s="14"/>
      <c r="AH998" s="14"/>
      <c r="AI998" s="83"/>
      <c r="AJ998" s="1746"/>
      <c r="AK998" s="1747"/>
      <c r="AL998" s="1747"/>
      <c r="AM998" s="1747"/>
      <c r="AN998" s="1747"/>
      <c r="AO998" s="1747"/>
      <c r="AP998" s="1747"/>
      <c r="AQ998" s="1748"/>
      <c r="AR998" s="68"/>
      <c r="AS998" s="68"/>
      <c r="AT998" s="68"/>
      <c r="AU998" s="68"/>
      <c r="AV998" s="68"/>
      <c r="AW998" s="68"/>
      <c r="AX998" s="68"/>
      <c r="AY998" s="68"/>
      <c r="AZ998" s="34"/>
      <c r="BA998" s="34"/>
      <c r="BB998" s="34"/>
      <c r="BC998" s="34"/>
    </row>
    <row r="999" spans="1:55" ht="13" customHeight="1">
      <c r="A999" s="14"/>
      <c r="B999" s="258"/>
      <c r="C999" s="257"/>
      <c r="D999" s="1791" t="s">
        <v>2207</v>
      </c>
      <c r="E999" s="1792"/>
      <c r="F999" s="1792"/>
      <c r="G999" s="1792"/>
      <c r="H999" s="1792"/>
      <c r="I999" s="1792"/>
      <c r="J999" s="1792"/>
      <c r="K999" s="1792"/>
      <c r="L999" s="1792"/>
      <c r="M999" s="1792"/>
      <c r="N999" s="1792"/>
      <c r="O999" s="1792"/>
      <c r="P999" s="1792"/>
      <c r="Q999" s="1792"/>
      <c r="R999" s="1792"/>
      <c r="S999" s="1792"/>
      <c r="T999" s="1792"/>
      <c r="U999" s="1792"/>
      <c r="V999" s="1792"/>
      <c r="W999" s="1792"/>
      <c r="X999" s="1792"/>
      <c r="Y999" s="1792"/>
      <c r="Z999" s="1792"/>
      <c r="AA999" s="1792"/>
      <c r="AB999" s="1792"/>
      <c r="AC999" s="1792"/>
      <c r="AD999" s="1792"/>
      <c r="AE999" s="1793"/>
      <c r="AF999" s="73"/>
      <c r="AG999" s="14"/>
      <c r="AH999" s="14"/>
      <c r="AI999" s="83"/>
      <c r="AJ999" s="1746"/>
      <c r="AK999" s="1747"/>
      <c r="AL999" s="1747"/>
      <c r="AM999" s="1747"/>
      <c r="AN999" s="1747"/>
      <c r="AO999" s="1747"/>
      <c r="AP999" s="1747"/>
      <c r="AQ999" s="1748"/>
      <c r="AR999" s="68"/>
      <c r="AS999" s="68"/>
      <c r="AT999" s="68"/>
      <c r="AU999" s="68"/>
      <c r="AV999" s="68"/>
      <c r="AW999" s="68"/>
      <c r="AX999" s="68"/>
      <c r="AY999" s="68"/>
      <c r="AZ999" s="34"/>
      <c r="BA999" s="34"/>
      <c r="BB999" s="34"/>
      <c r="BC999" s="34"/>
    </row>
    <row r="1000" spans="1:55" ht="13" customHeight="1">
      <c r="A1000" s="14"/>
      <c r="B1000" s="258"/>
      <c r="C1000" s="257"/>
      <c r="D1000" s="1763"/>
      <c r="E1000" s="1764"/>
      <c r="F1000" s="1764"/>
      <c r="G1000" s="1764"/>
      <c r="H1000" s="1764"/>
      <c r="I1000" s="1764"/>
      <c r="J1000" s="1764"/>
      <c r="K1000" s="1764"/>
      <c r="L1000" s="1764"/>
      <c r="M1000" s="1764"/>
      <c r="N1000" s="1764"/>
      <c r="O1000" s="1764"/>
      <c r="P1000" s="1764"/>
      <c r="Q1000" s="1764"/>
      <c r="R1000" s="1764"/>
      <c r="S1000" s="1764"/>
      <c r="T1000" s="1764"/>
      <c r="U1000" s="1764"/>
      <c r="V1000" s="1764"/>
      <c r="W1000" s="1764"/>
      <c r="X1000" s="1764"/>
      <c r="Y1000" s="1764"/>
      <c r="Z1000" s="1764"/>
      <c r="AA1000" s="1764"/>
      <c r="AB1000" s="1764"/>
      <c r="AC1000" s="1764"/>
      <c r="AD1000" s="1764"/>
      <c r="AE1000" s="1765"/>
      <c r="AF1000" s="77"/>
      <c r="AG1000" s="7"/>
      <c r="AH1000" s="7"/>
      <c r="AI1000" s="78"/>
      <c r="AJ1000" s="1749"/>
      <c r="AK1000" s="1750"/>
      <c r="AL1000" s="1750"/>
      <c r="AM1000" s="1750"/>
      <c r="AN1000" s="1750"/>
      <c r="AO1000" s="1750"/>
      <c r="AP1000" s="1750"/>
      <c r="AQ1000" s="1751"/>
      <c r="AR1000" s="68"/>
      <c r="AS1000" s="68"/>
      <c r="AT1000" s="68"/>
      <c r="AU1000" s="68"/>
      <c r="AV1000" s="68"/>
      <c r="AW1000" s="68"/>
      <c r="AX1000" s="68"/>
      <c r="AY1000" s="68"/>
      <c r="AZ1000" s="34"/>
      <c r="BA1000" s="34"/>
      <c r="BB1000" s="34"/>
      <c r="BC1000" s="34"/>
    </row>
    <row r="1001" spans="1:55" ht="13" customHeight="1">
      <c r="A1001" s="14"/>
      <c r="B1001" s="256"/>
      <c r="C1001" s="319"/>
      <c r="D1001" s="1785" t="s">
        <v>1286</v>
      </c>
      <c r="E1001" s="1786"/>
      <c r="F1001" s="1786"/>
      <c r="G1001" s="1786"/>
      <c r="H1001" s="1786"/>
      <c r="I1001" s="1786"/>
      <c r="J1001" s="1786"/>
      <c r="K1001" s="1786"/>
      <c r="L1001" s="1786"/>
      <c r="M1001" s="1786"/>
      <c r="N1001" s="1786"/>
      <c r="O1001" s="1786"/>
      <c r="P1001" s="1786"/>
      <c r="Q1001" s="1786"/>
      <c r="R1001" s="1786"/>
      <c r="S1001" s="1786"/>
      <c r="T1001" s="1786"/>
      <c r="U1001" s="1786"/>
      <c r="V1001" s="1786"/>
      <c r="W1001" s="1786"/>
      <c r="X1001" s="1786"/>
      <c r="Y1001" s="1786"/>
      <c r="Z1001" s="1786"/>
      <c r="AA1001" s="1786"/>
      <c r="AB1001" s="1786"/>
      <c r="AC1001" s="1786"/>
      <c r="AD1001" s="1786"/>
      <c r="AE1001" s="1787"/>
      <c r="AF1001" s="79"/>
      <c r="AG1001" s="1778" t="s">
        <v>670</v>
      </c>
      <c r="AH1001" s="1779"/>
      <c r="AI1001" s="87"/>
      <c r="AJ1001" s="1743">
        <f>ROUND(IF(AG1001="yes",AJ992*0.05,0),0)</f>
        <v>0</v>
      </c>
      <c r="AK1001" s="1744"/>
      <c r="AL1001" s="1744"/>
      <c r="AM1001" s="1744"/>
      <c r="AN1001" s="1744"/>
      <c r="AO1001" s="1744"/>
      <c r="AP1001" s="1744"/>
      <c r="AQ1001" s="1745"/>
      <c r="AR1001" s="68"/>
      <c r="AS1001" s="68"/>
      <c r="AT1001" s="68"/>
      <c r="AU1001" s="68"/>
      <c r="AV1001" s="68"/>
      <c r="AW1001" s="68"/>
      <c r="AX1001" s="68"/>
      <c r="AY1001" s="68"/>
      <c r="AZ1001" s="34"/>
      <c r="BA1001" s="34"/>
      <c r="BB1001" s="34"/>
      <c r="BC1001" s="34"/>
    </row>
    <row r="1002" spans="1:55" ht="13" customHeight="1">
      <c r="A1002" s="14"/>
      <c r="B1002" s="258"/>
      <c r="C1002" s="82"/>
      <c r="D1002" s="1788" t="s">
        <v>1284</v>
      </c>
      <c r="E1002" s="1789"/>
      <c r="F1002" s="1789"/>
      <c r="G1002" s="1789"/>
      <c r="H1002" s="1789"/>
      <c r="I1002" s="1789"/>
      <c r="J1002" s="1789"/>
      <c r="K1002" s="1789"/>
      <c r="L1002" s="1789"/>
      <c r="M1002" s="1789"/>
      <c r="N1002" s="1789"/>
      <c r="O1002" s="1789"/>
      <c r="P1002" s="1789"/>
      <c r="Q1002" s="1789"/>
      <c r="R1002" s="1789"/>
      <c r="S1002" s="1789"/>
      <c r="T1002" s="1789"/>
      <c r="U1002" s="1789"/>
      <c r="V1002" s="1789"/>
      <c r="W1002" s="1789"/>
      <c r="X1002" s="1789"/>
      <c r="Y1002" s="1789"/>
      <c r="Z1002" s="1789"/>
      <c r="AA1002" s="1789"/>
      <c r="AB1002" s="1789"/>
      <c r="AC1002" s="1789"/>
      <c r="AD1002" s="1789"/>
      <c r="AE1002" s="1790"/>
      <c r="AF1002" s="73"/>
      <c r="AG1002" s="14"/>
      <c r="AH1002" s="14"/>
      <c r="AI1002" s="83"/>
      <c r="AJ1002" s="1746"/>
      <c r="AK1002" s="1747"/>
      <c r="AL1002" s="1747"/>
      <c r="AM1002" s="1747"/>
      <c r="AN1002" s="1747"/>
      <c r="AO1002" s="1747"/>
      <c r="AP1002" s="1747"/>
      <c r="AQ1002" s="1748"/>
      <c r="AR1002" s="68"/>
      <c r="AS1002" s="68"/>
      <c r="AT1002" s="68"/>
      <c r="AU1002" s="68"/>
      <c r="AV1002" s="68"/>
      <c r="AW1002" s="68"/>
      <c r="AX1002" s="68"/>
      <c r="AY1002" s="34"/>
      <c r="AZ1002" s="34"/>
      <c r="BB1002" s="34"/>
    </row>
    <row r="1003" spans="1:55" ht="13" customHeight="1">
      <c r="A1003" s="14"/>
      <c r="B1003" s="258"/>
      <c r="C1003" s="82"/>
      <c r="D1003" s="1788"/>
      <c r="E1003" s="1789"/>
      <c r="F1003" s="1789"/>
      <c r="G1003" s="1789"/>
      <c r="H1003" s="1789"/>
      <c r="I1003" s="1789"/>
      <c r="J1003" s="1789"/>
      <c r="K1003" s="1789"/>
      <c r="L1003" s="1789"/>
      <c r="M1003" s="1789"/>
      <c r="N1003" s="1789"/>
      <c r="O1003" s="1789"/>
      <c r="P1003" s="1789"/>
      <c r="Q1003" s="1789"/>
      <c r="R1003" s="1789"/>
      <c r="S1003" s="1789"/>
      <c r="T1003" s="1789"/>
      <c r="U1003" s="1789"/>
      <c r="V1003" s="1789"/>
      <c r="W1003" s="1789"/>
      <c r="X1003" s="1789"/>
      <c r="Y1003" s="1789"/>
      <c r="Z1003" s="1789"/>
      <c r="AA1003" s="1789"/>
      <c r="AB1003" s="1789"/>
      <c r="AC1003" s="1789"/>
      <c r="AD1003" s="1789"/>
      <c r="AE1003" s="1790"/>
      <c r="AF1003" s="73"/>
      <c r="AG1003" s="14"/>
      <c r="AH1003" s="14"/>
      <c r="AI1003" s="83"/>
      <c r="AJ1003" s="1746"/>
      <c r="AK1003" s="1747"/>
      <c r="AL1003" s="1747"/>
      <c r="AM1003" s="1747"/>
      <c r="AN1003" s="1747"/>
      <c r="AO1003" s="1747"/>
      <c r="AP1003" s="1747"/>
      <c r="AQ1003" s="1748"/>
      <c r="AR1003" s="68"/>
      <c r="AS1003" s="68"/>
      <c r="AT1003" s="68"/>
      <c r="AU1003" s="68"/>
      <c r="AV1003" s="68"/>
      <c r="AW1003" s="68"/>
      <c r="AX1003" s="68"/>
      <c r="AY1003" s="915">
        <f>G753+O797</f>
        <v>239</v>
      </c>
      <c r="AZ1003" s="34"/>
      <c r="BB1003" s="34"/>
    </row>
    <row r="1004" spans="1:55" ht="13" customHeight="1">
      <c r="A1004" s="14"/>
      <c r="B1004" s="258"/>
      <c r="C1004" s="82"/>
      <c r="D1004" s="1788"/>
      <c r="E1004" s="1789"/>
      <c r="F1004" s="1789"/>
      <c r="G1004" s="1789"/>
      <c r="H1004" s="1789"/>
      <c r="I1004" s="1789"/>
      <c r="J1004" s="1789"/>
      <c r="K1004" s="1789"/>
      <c r="L1004" s="1789"/>
      <c r="M1004" s="1789"/>
      <c r="N1004" s="1789"/>
      <c r="O1004" s="1789"/>
      <c r="P1004" s="1789"/>
      <c r="Q1004" s="1789"/>
      <c r="R1004" s="1789"/>
      <c r="S1004" s="1789"/>
      <c r="T1004" s="1789"/>
      <c r="U1004" s="1789"/>
      <c r="V1004" s="1789"/>
      <c r="W1004" s="1789"/>
      <c r="X1004" s="1789"/>
      <c r="Y1004" s="1789"/>
      <c r="Z1004" s="1789"/>
      <c r="AA1004" s="1789"/>
      <c r="AB1004" s="1789"/>
      <c r="AC1004" s="1789"/>
      <c r="AD1004" s="1789"/>
      <c r="AE1004" s="1790"/>
      <c r="AF1004" s="73"/>
      <c r="AG1004" s="14"/>
      <c r="AH1004" s="14"/>
      <c r="AI1004" s="83"/>
      <c r="AJ1004" s="1746"/>
      <c r="AK1004" s="1747"/>
      <c r="AL1004" s="1747"/>
      <c r="AM1004" s="1747"/>
      <c r="AN1004" s="1747"/>
      <c r="AO1004" s="1747"/>
      <c r="AP1004" s="1747"/>
      <c r="AQ1004" s="1748"/>
      <c r="AR1004" s="68"/>
      <c r="AS1004" s="68"/>
      <c r="AT1004" s="68"/>
      <c r="AU1004" s="68"/>
      <c r="AV1004" s="68"/>
      <c r="AW1004" s="68"/>
      <c r="AX1004" s="68"/>
      <c r="AY1004" s="14"/>
      <c r="AZ1004" s="34"/>
      <c r="BB1004" s="34"/>
    </row>
    <row r="1005" spans="1:55" ht="13" customHeight="1">
      <c r="A1005" s="14"/>
      <c r="B1005" s="258"/>
      <c r="C1005" s="82"/>
      <c r="D1005" s="1788"/>
      <c r="E1005" s="1789"/>
      <c r="F1005" s="1789"/>
      <c r="G1005" s="1789"/>
      <c r="H1005" s="1789"/>
      <c r="I1005" s="1789"/>
      <c r="J1005" s="1789"/>
      <c r="K1005" s="1789"/>
      <c r="L1005" s="1789"/>
      <c r="M1005" s="1789"/>
      <c r="N1005" s="1789"/>
      <c r="O1005" s="1789"/>
      <c r="P1005" s="1789"/>
      <c r="Q1005" s="1789"/>
      <c r="R1005" s="1789"/>
      <c r="S1005" s="1789"/>
      <c r="T1005" s="1789"/>
      <c r="U1005" s="1789"/>
      <c r="V1005" s="1789"/>
      <c r="W1005" s="1789"/>
      <c r="X1005" s="1789"/>
      <c r="Y1005" s="1789"/>
      <c r="Z1005" s="1789"/>
      <c r="AA1005" s="1789"/>
      <c r="AB1005" s="1789"/>
      <c r="AC1005" s="1789"/>
      <c r="AD1005" s="1789"/>
      <c r="AE1005" s="1790"/>
      <c r="AF1005" s="73"/>
      <c r="AG1005" s="14"/>
      <c r="AH1005" s="14"/>
      <c r="AI1005" s="83"/>
      <c r="AJ1005" s="1746"/>
      <c r="AK1005" s="1747"/>
      <c r="AL1005" s="1747"/>
      <c r="AM1005" s="1747"/>
      <c r="AN1005" s="1747"/>
      <c r="AO1005" s="1747"/>
      <c r="AP1005" s="1747"/>
      <c r="AQ1005" s="1748"/>
      <c r="AR1005" s="68"/>
      <c r="AS1005" s="68"/>
      <c r="AT1005" s="68"/>
      <c r="AU1005" s="68"/>
      <c r="AV1005" s="68"/>
      <c r="AW1005" s="68"/>
      <c r="AX1005" s="68"/>
      <c r="AY1005" s="914">
        <f>ROUNDDOWN(X1048/I1048,2)</f>
        <v>0</v>
      </c>
      <c r="AZ1005" s="34"/>
      <c r="BB1005" s="34"/>
    </row>
    <row r="1006" spans="1:55" ht="13" customHeight="1">
      <c r="A1006" s="14"/>
      <c r="B1006" s="75"/>
      <c r="C1006" s="76"/>
      <c r="D1006" s="1791"/>
      <c r="E1006" s="1792"/>
      <c r="F1006" s="1792"/>
      <c r="G1006" s="1792"/>
      <c r="H1006" s="1792"/>
      <c r="I1006" s="1792"/>
      <c r="J1006" s="1792"/>
      <c r="K1006" s="1792"/>
      <c r="L1006" s="1792"/>
      <c r="M1006" s="1792"/>
      <c r="N1006" s="1792"/>
      <c r="O1006" s="1792"/>
      <c r="P1006" s="1792"/>
      <c r="Q1006" s="1792"/>
      <c r="R1006" s="1792"/>
      <c r="S1006" s="1792"/>
      <c r="T1006" s="1792"/>
      <c r="U1006" s="1792"/>
      <c r="V1006" s="1792"/>
      <c r="W1006" s="1792"/>
      <c r="X1006" s="1792"/>
      <c r="Y1006" s="1792"/>
      <c r="Z1006" s="1792"/>
      <c r="AA1006" s="1792"/>
      <c r="AB1006" s="1792"/>
      <c r="AC1006" s="1792"/>
      <c r="AD1006" s="1792"/>
      <c r="AE1006" s="1793"/>
      <c r="AF1006" s="77"/>
      <c r="AG1006" s="7"/>
      <c r="AH1006" s="7"/>
      <c r="AI1006" s="78"/>
      <c r="AJ1006" s="1749"/>
      <c r="AK1006" s="1750"/>
      <c r="AL1006" s="1750"/>
      <c r="AM1006" s="1750"/>
      <c r="AN1006" s="1750"/>
      <c r="AO1006" s="1750"/>
      <c r="AP1006" s="1750"/>
      <c r="AQ1006" s="1751"/>
      <c r="AR1006" s="68"/>
      <c r="AS1006" s="68"/>
      <c r="AT1006" s="68"/>
      <c r="AU1006" s="68"/>
      <c r="AV1006" s="68"/>
      <c r="AW1006" s="68"/>
      <c r="AX1006" s="68"/>
      <c r="AY1006" s="914">
        <f>ROUNDDOWN(X1052/I1052,2)</f>
        <v>0.39</v>
      </c>
      <c r="AZ1006" s="34"/>
      <c r="BB1006" s="34"/>
    </row>
    <row r="1007" spans="1:55" ht="13" customHeight="1">
      <c r="A1007" s="14"/>
      <c r="B1007" s="256"/>
      <c r="C1007" s="80" t="s">
        <v>673</v>
      </c>
      <c r="D1007" s="1785" t="s">
        <v>1683</v>
      </c>
      <c r="E1007" s="1786"/>
      <c r="F1007" s="1786"/>
      <c r="G1007" s="1786"/>
      <c r="H1007" s="1786"/>
      <c r="I1007" s="1786"/>
      <c r="J1007" s="1786"/>
      <c r="K1007" s="1786"/>
      <c r="L1007" s="1786"/>
      <c r="M1007" s="1786"/>
      <c r="N1007" s="1786"/>
      <c r="O1007" s="1786"/>
      <c r="P1007" s="1786"/>
      <c r="Q1007" s="1786"/>
      <c r="R1007" s="1786"/>
      <c r="S1007" s="1786"/>
      <c r="T1007" s="1786"/>
      <c r="U1007" s="1786"/>
      <c r="V1007" s="1786"/>
      <c r="W1007" s="1786"/>
      <c r="X1007" s="1786"/>
      <c r="Y1007" s="1786"/>
      <c r="Z1007" s="1786"/>
      <c r="AA1007" s="1786"/>
      <c r="AB1007" s="1786"/>
      <c r="AC1007" s="1786"/>
      <c r="AD1007" s="1786"/>
      <c r="AE1007" s="1787"/>
      <c r="AF1007" s="86"/>
      <c r="AG1007" s="1778" t="s">
        <v>670</v>
      </c>
      <c r="AH1007" s="1779"/>
      <c r="AI1007" s="87"/>
      <c r="AJ1007" s="1743">
        <f>ROUND(IF(AG1007="yes",AJ992*0.1,0),0)</f>
        <v>0</v>
      </c>
      <c r="AK1007" s="1744"/>
      <c r="AL1007" s="1744"/>
      <c r="AM1007" s="1744"/>
      <c r="AN1007" s="1744"/>
      <c r="AO1007" s="1744"/>
      <c r="AP1007" s="1744"/>
      <c r="AQ1007" s="1745"/>
      <c r="AR1007" s="68"/>
      <c r="AS1007" s="68"/>
      <c r="AT1007" s="68"/>
      <c r="AU1007" s="68"/>
      <c r="AV1007" s="68"/>
      <c r="AW1007" s="68"/>
      <c r="AX1007" s="68"/>
      <c r="BB1007" s="34"/>
    </row>
    <row r="1008" spans="1:55" ht="13" customHeight="1">
      <c r="A1008" s="14"/>
      <c r="B1008" s="73"/>
      <c r="C1008" s="74"/>
      <c r="D1008" s="1715" t="s">
        <v>1285</v>
      </c>
      <c r="E1008" s="1716"/>
      <c r="F1008" s="1716"/>
      <c r="G1008" s="1716"/>
      <c r="H1008" s="1716"/>
      <c r="I1008" s="1716"/>
      <c r="J1008" s="1716"/>
      <c r="K1008" s="1716"/>
      <c r="L1008" s="1716"/>
      <c r="M1008" s="1716"/>
      <c r="N1008" s="1716"/>
      <c r="O1008" s="1716"/>
      <c r="P1008" s="1716"/>
      <c r="Q1008" s="1716"/>
      <c r="R1008" s="1716"/>
      <c r="S1008" s="1716"/>
      <c r="T1008" s="1716"/>
      <c r="U1008" s="1716"/>
      <c r="V1008" s="1716"/>
      <c r="W1008" s="1716"/>
      <c r="X1008" s="1716"/>
      <c r="Y1008" s="1716"/>
      <c r="Z1008" s="1716"/>
      <c r="AA1008" s="1716"/>
      <c r="AB1008" s="1716"/>
      <c r="AC1008" s="1716"/>
      <c r="AD1008" s="1716"/>
      <c r="AE1008" s="1717"/>
      <c r="AF1008" s="73"/>
      <c r="AI1008" s="83"/>
      <c r="AJ1008" s="1746"/>
      <c r="AK1008" s="1747"/>
      <c r="AL1008" s="1747"/>
      <c r="AM1008" s="1747"/>
      <c r="AN1008" s="1747"/>
      <c r="AO1008" s="1747"/>
      <c r="AP1008" s="1747"/>
      <c r="AQ1008" s="1748"/>
      <c r="AR1008" s="68"/>
      <c r="AS1008" s="68"/>
      <c r="AT1008" s="68"/>
      <c r="AU1008" s="68"/>
      <c r="AV1008" s="68"/>
      <c r="AW1008" s="68"/>
      <c r="AX1008" s="68"/>
    </row>
    <row r="1009" spans="1:51" ht="13" customHeight="1">
      <c r="A1009" s="14"/>
      <c r="B1009" s="73"/>
      <c r="C1009" s="74"/>
      <c r="D1009" s="1715"/>
      <c r="E1009" s="1716"/>
      <c r="F1009" s="1716"/>
      <c r="G1009" s="1716"/>
      <c r="H1009" s="1716"/>
      <c r="I1009" s="1716"/>
      <c r="J1009" s="1716"/>
      <c r="K1009" s="1716"/>
      <c r="L1009" s="1716"/>
      <c r="M1009" s="1716"/>
      <c r="N1009" s="1716"/>
      <c r="O1009" s="1716"/>
      <c r="P1009" s="1716"/>
      <c r="Q1009" s="1716"/>
      <c r="R1009" s="1716"/>
      <c r="S1009" s="1716"/>
      <c r="T1009" s="1716"/>
      <c r="U1009" s="1716"/>
      <c r="V1009" s="1716"/>
      <c r="W1009" s="1716"/>
      <c r="X1009" s="1716"/>
      <c r="Y1009" s="1716"/>
      <c r="Z1009" s="1716"/>
      <c r="AA1009" s="1716"/>
      <c r="AB1009" s="1716"/>
      <c r="AC1009" s="1716"/>
      <c r="AD1009" s="1716"/>
      <c r="AE1009" s="1717"/>
      <c r="AF1009" s="73"/>
      <c r="AG1009" s="14"/>
      <c r="AH1009" s="14"/>
      <c r="AI1009" s="83"/>
      <c r="AJ1009" s="1746"/>
      <c r="AK1009" s="1747"/>
      <c r="AL1009" s="1747"/>
      <c r="AM1009" s="1747"/>
      <c r="AN1009" s="1747"/>
      <c r="AO1009" s="1747"/>
      <c r="AP1009" s="1747"/>
      <c r="AQ1009" s="1748"/>
      <c r="AR1009" s="68"/>
      <c r="AS1009" s="68"/>
      <c r="AT1009" s="68"/>
      <c r="AU1009" s="68"/>
      <c r="AV1009" s="68"/>
      <c r="AW1009" s="68"/>
      <c r="AX1009" s="68"/>
    </row>
    <row r="1010" spans="1:51" ht="13" customHeight="1">
      <c r="A1010" s="14"/>
      <c r="B1010" s="85"/>
      <c r="C1010" s="76"/>
      <c r="D1010" s="1773"/>
      <c r="E1010" s="1774"/>
      <c r="F1010" s="1774"/>
      <c r="G1010" s="1774"/>
      <c r="H1010" s="1774"/>
      <c r="I1010" s="1774"/>
      <c r="J1010" s="1774"/>
      <c r="K1010" s="1774"/>
      <c r="L1010" s="1774"/>
      <c r="M1010" s="1774"/>
      <c r="N1010" s="1774"/>
      <c r="O1010" s="1774"/>
      <c r="P1010" s="1774"/>
      <c r="Q1010" s="1774"/>
      <c r="R1010" s="1774"/>
      <c r="S1010" s="1774"/>
      <c r="T1010" s="1774"/>
      <c r="U1010" s="1774"/>
      <c r="V1010" s="1774"/>
      <c r="W1010" s="1774"/>
      <c r="X1010" s="1774"/>
      <c r="Y1010" s="1774"/>
      <c r="Z1010" s="1774"/>
      <c r="AA1010" s="1774"/>
      <c r="AB1010" s="1774"/>
      <c r="AC1010" s="1774"/>
      <c r="AD1010" s="1774"/>
      <c r="AE1010" s="1775"/>
      <c r="AF1010" s="77"/>
      <c r="AG1010" s="7"/>
      <c r="AH1010" s="7"/>
      <c r="AI1010" s="78"/>
      <c r="AJ1010" s="1749"/>
      <c r="AK1010" s="1750"/>
      <c r="AL1010" s="1750"/>
      <c r="AM1010" s="1750"/>
      <c r="AN1010" s="1750"/>
      <c r="AO1010" s="1750"/>
      <c r="AP1010" s="1750"/>
      <c r="AQ1010" s="1751"/>
      <c r="AR1010" s="68"/>
      <c r="AS1010" s="68"/>
      <c r="AT1010" s="68"/>
      <c r="AU1010" s="68"/>
      <c r="AV1010" s="68"/>
      <c r="AW1010" s="68"/>
      <c r="AX1010" s="68"/>
    </row>
    <row r="1011" spans="1:51" ht="13" customHeight="1">
      <c r="A1011" s="14"/>
      <c r="B1011" s="79"/>
      <c r="C1011" s="80" t="s">
        <v>212</v>
      </c>
      <c r="D1011" s="1785" t="s">
        <v>1287</v>
      </c>
      <c r="E1011" s="1786"/>
      <c r="F1011" s="1786"/>
      <c r="G1011" s="1786"/>
      <c r="H1011" s="1786"/>
      <c r="I1011" s="1786"/>
      <c r="J1011" s="1786"/>
      <c r="K1011" s="1786"/>
      <c r="L1011" s="1786"/>
      <c r="M1011" s="1786"/>
      <c r="N1011" s="1786"/>
      <c r="O1011" s="1786"/>
      <c r="P1011" s="1786"/>
      <c r="Q1011" s="1786"/>
      <c r="R1011" s="1786"/>
      <c r="S1011" s="1786"/>
      <c r="T1011" s="1786"/>
      <c r="U1011" s="1786"/>
      <c r="V1011" s="1786"/>
      <c r="W1011" s="1786"/>
      <c r="X1011" s="1786"/>
      <c r="Y1011" s="1786"/>
      <c r="Z1011" s="1786"/>
      <c r="AA1011" s="1786"/>
      <c r="AB1011" s="1786"/>
      <c r="AC1011" s="1786"/>
      <c r="AD1011" s="1786"/>
      <c r="AE1011" s="1787"/>
      <c r="AF1011" s="79"/>
      <c r="AG1011" s="1778" t="s">
        <v>670</v>
      </c>
      <c r="AH1011" s="1779"/>
      <c r="AI1011" s="87"/>
      <c r="AJ1011" s="1743">
        <f>ROUND(IF(AG1011="yes",AJ992*0.02,0),0)</f>
        <v>0</v>
      </c>
      <c r="AK1011" s="1744"/>
      <c r="AL1011" s="1744"/>
      <c r="AM1011" s="1744"/>
      <c r="AN1011" s="1744"/>
      <c r="AO1011" s="1744"/>
      <c r="AP1011" s="1744"/>
      <c r="AQ1011" s="1745"/>
      <c r="AR1011" s="68"/>
      <c r="AS1011" s="68"/>
      <c r="AT1011" s="68"/>
      <c r="AU1011" s="68"/>
      <c r="AV1011" s="68"/>
      <c r="AW1011" s="68"/>
      <c r="AX1011" s="68"/>
      <c r="AY1011" s="202">
        <f>IF(SUM(AY1015:AY1023)&lt;=0.2,SUM(AY1015:AY1023),0.2)</f>
        <v>0</v>
      </c>
    </row>
    <row r="1012" spans="1:51" ht="14.25" customHeight="1">
      <c r="A1012" s="14"/>
      <c r="B1012" s="73"/>
      <c r="C1012" s="74"/>
      <c r="D1012" s="1773" t="s">
        <v>1288</v>
      </c>
      <c r="E1012" s="1774"/>
      <c r="F1012" s="1774"/>
      <c r="G1012" s="1774"/>
      <c r="H1012" s="1774"/>
      <c r="I1012" s="1774"/>
      <c r="J1012" s="1774"/>
      <c r="K1012" s="1774"/>
      <c r="L1012" s="1774"/>
      <c r="M1012" s="1774"/>
      <c r="N1012" s="1774"/>
      <c r="O1012" s="1774"/>
      <c r="P1012" s="1774"/>
      <c r="Q1012" s="1774"/>
      <c r="R1012" s="1774"/>
      <c r="S1012" s="1774"/>
      <c r="T1012" s="1774"/>
      <c r="U1012" s="1774"/>
      <c r="V1012" s="1774"/>
      <c r="W1012" s="1774"/>
      <c r="X1012" s="1774"/>
      <c r="Y1012" s="1774"/>
      <c r="Z1012" s="1774"/>
      <c r="AA1012" s="1774"/>
      <c r="AB1012" s="1774"/>
      <c r="AC1012" s="1774"/>
      <c r="AD1012" s="1774"/>
      <c r="AE1012" s="1775"/>
      <c r="AF1012" s="77"/>
      <c r="AG1012" s="7"/>
      <c r="AH1012" s="7"/>
      <c r="AI1012" s="78"/>
      <c r="AJ1012" s="1749"/>
      <c r="AK1012" s="1750"/>
      <c r="AL1012" s="1750"/>
      <c r="AM1012" s="1750"/>
      <c r="AN1012" s="1750"/>
      <c r="AO1012" s="1750"/>
      <c r="AP1012" s="1750"/>
      <c r="AQ1012" s="1751"/>
      <c r="AR1012" s="68"/>
      <c r="AS1012" s="68"/>
      <c r="AT1012" s="68"/>
      <c r="AU1012" s="68"/>
      <c r="AV1012" s="68"/>
      <c r="AW1012" s="68"/>
      <c r="AX1012" s="68"/>
    </row>
    <row r="1013" spans="1:51" ht="13" customHeight="1">
      <c r="A1013" s="14"/>
      <c r="B1013" s="79"/>
      <c r="C1013" s="80" t="s">
        <v>215</v>
      </c>
      <c r="D1013" s="1785" t="s">
        <v>1289</v>
      </c>
      <c r="E1013" s="1786"/>
      <c r="F1013" s="1786"/>
      <c r="G1013" s="1786"/>
      <c r="H1013" s="1786"/>
      <c r="I1013" s="1786"/>
      <c r="J1013" s="1786"/>
      <c r="K1013" s="1786"/>
      <c r="L1013" s="1786"/>
      <c r="M1013" s="1786"/>
      <c r="N1013" s="1786"/>
      <c r="O1013" s="1786"/>
      <c r="P1013" s="1786"/>
      <c r="Q1013" s="1786"/>
      <c r="R1013" s="1786"/>
      <c r="S1013" s="1786"/>
      <c r="T1013" s="1786"/>
      <c r="U1013" s="1786"/>
      <c r="V1013" s="1786"/>
      <c r="W1013" s="1786"/>
      <c r="X1013" s="1786"/>
      <c r="Y1013" s="1786"/>
      <c r="Z1013" s="1786"/>
      <c r="AA1013" s="1786"/>
      <c r="AB1013" s="1786"/>
      <c r="AC1013" s="1786"/>
      <c r="AD1013" s="1786"/>
      <c r="AE1013" s="1787"/>
      <c r="AF1013" s="79"/>
      <c r="AG1013" s="1778" t="s">
        <v>670</v>
      </c>
      <c r="AH1013" s="1779"/>
      <c r="AI1013" s="79"/>
      <c r="AJ1013" s="1743">
        <f>ROUND(IF(AG1013="yes",AJ992*0.02,0),0)</f>
        <v>0</v>
      </c>
      <c r="AK1013" s="1744"/>
      <c r="AL1013" s="1744"/>
      <c r="AM1013" s="1744"/>
      <c r="AN1013" s="1744"/>
      <c r="AO1013" s="1744"/>
      <c r="AP1013" s="1744"/>
      <c r="AQ1013" s="1745"/>
      <c r="AR1013" s="68"/>
      <c r="AS1013" s="68"/>
      <c r="AT1013" s="68"/>
      <c r="AU1013" s="68"/>
      <c r="AV1013" s="68"/>
      <c r="AW1013" s="68"/>
      <c r="AX1013" s="68"/>
      <c r="AY1013" s="200">
        <f>IF(A1065="Yes",0.2,0)</f>
        <v>0</v>
      </c>
    </row>
    <row r="1014" spans="1:51" ht="13" customHeight="1">
      <c r="A1014" s="14"/>
      <c r="B1014" s="73"/>
      <c r="C1014" s="74"/>
      <c r="D1014" s="1715" t="s">
        <v>1290</v>
      </c>
      <c r="E1014" s="1716"/>
      <c r="F1014" s="1716"/>
      <c r="G1014" s="1716"/>
      <c r="H1014" s="1716"/>
      <c r="I1014" s="1716"/>
      <c r="J1014" s="1716"/>
      <c r="K1014" s="1716"/>
      <c r="L1014" s="1716"/>
      <c r="M1014" s="1716"/>
      <c r="N1014" s="1716"/>
      <c r="O1014" s="1716"/>
      <c r="P1014" s="1716"/>
      <c r="Q1014" s="1716"/>
      <c r="R1014" s="1716"/>
      <c r="S1014" s="1716"/>
      <c r="T1014" s="1716"/>
      <c r="U1014" s="1716"/>
      <c r="V1014" s="1716"/>
      <c r="W1014" s="1716"/>
      <c r="X1014" s="1716"/>
      <c r="Y1014" s="1716"/>
      <c r="Z1014" s="1716"/>
      <c r="AA1014" s="1716"/>
      <c r="AB1014" s="1716"/>
      <c r="AC1014" s="1716"/>
      <c r="AD1014" s="1716"/>
      <c r="AE1014" s="1717"/>
      <c r="AF1014" s="1821" t="str">
        <f>IF(AND(AG1013="yes",T212&lt;&gt;1),"The project may not be eligible for this boost","")</f>
        <v/>
      </c>
      <c r="AG1014" s="1822"/>
      <c r="AH1014" s="1822"/>
      <c r="AI1014" s="1823"/>
      <c r="AJ1014" s="1746"/>
      <c r="AK1014" s="1747"/>
      <c r="AL1014" s="1747"/>
      <c r="AM1014" s="1747"/>
      <c r="AN1014" s="1747"/>
      <c r="AO1014" s="1747"/>
      <c r="AP1014" s="1747"/>
      <c r="AQ1014" s="1748"/>
      <c r="AR1014" s="68"/>
      <c r="AS1014" s="68"/>
      <c r="AT1014" s="68"/>
      <c r="AU1014" s="68"/>
      <c r="AV1014" s="68"/>
      <c r="AW1014" s="68"/>
      <c r="AX1014" s="68"/>
      <c r="AY1014" s="200">
        <f>IF(A1067="Yes",0.15,0)</f>
        <v>0</v>
      </c>
    </row>
    <row r="1015" spans="1:51" ht="13" customHeight="1">
      <c r="A1015" s="14"/>
      <c r="B1015" s="75"/>
      <c r="C1015" s="76"/>
      <c r="D1015" s="1773"/>
      <c r="E1015" s="1774"/>
      <c r="F1015" s="1774"/>
      <c r="G1015" s="1774"/>
      <c r="H1015" s="1774"/>
      <c r="I1015" s="1774"/>
      <c r="J1015" s="1774"/>
      <c r="K1015" s="1774"/>
      <c r="L1015" s="1774"/>
      <c r="M1015" s="1774"/>
      <c r="N1015" s="1774"/>
      <c r="O1015" s="1774"/>
      <c r="P1015" s="1774"/>
      <c r="Q1015" s="1774"/>
      <c r="R1015" s="1774"/>
      <c r="S1015" s="1774"/>
      <c r="T1015" s="1774"/>
      <c r="U1015" s="1774"/>
      <c r="V1015" s="1774"/>
      <c r="W1015" s="1774"/>
      <c r="X1015" s="1774"/>
      <c r="Y1015" s="1774"/>
      <c r="Z1015" s="1774"/>
      <c r="AA1015" s="1774"/>
      <c r="AB1015" s="1774"/>
      <c r="AC1015" s="1774"/>
      <c r="AD1015" s="1774"/>
      <c r="AE1015" s="1775"/>
      <c r="AF1015" s="1824"/>
      <c r="AG1015" s="1825"/>
      <c r="AH1015" s="1825"/>
      <c r="AI1015" s="1826"/>
      <c r="AJ1015" s="1749"/>
      <c r="AK1015" s="1750"/>
      <c r="AL1015" s="1750"/>
      <c r="AM1015" s="1750"/>
      <c r="AN1015" s="1750"/>
      <c r="AO1015" s="1750"/>
      <c r="AP1015" s="1750"/>
      <c r="AQ1015" s="1751"/>
      <c r="AR1015" s="68"/>
      <c r="AS1015" s="68"/>
      <c r="AT1015" s="68"/>
      <c r="AU1015" s="68"/>
      <c r="AV1015" s="68"/>
      <c r="AW1015" s="68"/>
      <c r="AX1015" s="68"/>
      <c r="AY1015" s="200">
        <f>IF(A1070="Yes",0.05,0)</f>
        <v>0</v>
      </c>
    </row>
    <row r="1016" spans="1:51" ht="13" customHeight="1">
      <c r="A1016" s="14"/>
      <c r="B1016" s="79"/>
      <c r="C1016" s="80" t="s">
        <v>218</v>
      </c>
      <c r="D1016" s="1752" t="s">
        <v>2239</v>
      </c>
      <c r="E1016" s="1753"/>
      <c r="F1016" s="1753"/>
      <c r="G1016" s="1753"/>
      <c r="H1016" s="1753"/>
      <c r="I1016" s="1753"/>
      <c r="J1016" s="1753"/>
      <c r="K1016" s="1753"/>
      <c r="L1016" s="1753"/>
      <c r="M1016" s="1753"/>
      <c r="N1016" s="1753"/>
      <c r="O1016" s="1753"/>
      <c r="P1016" s="1753"/>
      <c r="Q1016" s="1753"/>
      <c r="R1016" s="1753"/>
      <c r="S1016" s="1753"/>
      <c r="T1016" s="1753"/>
      <c r="U1016" s="1753"/>
      <c r="V1016" s="1753"/>
      <c r="W1016" s="1753"/>
      <c r="X1016" s="1753"/>
      <c r="Y1016" s="1753"/>
      <c r="Z1016" s="1753"/>
      <c r="AA1016" s="1753"/>
      <c r="AB1016" s="1753"/>
      <c r="AC1016" s="1753"/>
      <c r="AD1016" s="1753"/>
      <c r="AE1016" s="1754"/>
      <c r="AF1016" s="79"/>
      <c r="AG1016" s="1778" t="s">
        <v>670</v>
      </c>
      <c r="AH1016" s="1779"/>
      <c r="AI1016" s="87"/>
      <c r="AJ1016" s="1743">
        <f>IF(AG1016="yes",AJ992*AY1011,0)</f>
        <v>0</v>
      </c>
      <c r="AK1016" s="1744"/>
      <c r="AL1016" s="1744"/>
      <c r="AM1016" s="1744"/>
      <c r="AN1016" s="1744"/>
      <c r="AO1016" s="1744"/>
      <c r="AP1016" s="1744"/>
      <c r="AQ1016" s="1745"/>
      <c r="AR1016" s="68"/>
      <c r="AS1016" s="68"/>
      <c r="AT1016" s="68"/>
      <c r="AU1016" s="68"/>
      <c r="AV1016" s="68"/>
      <c r="AW1016" s="68"/>
      <c r="AX1016" s="68"/>
      <c r="AY1016" s="200">
        <f>IF(A1075="Yes",0.02,0)</f>
        <v>0</v>
      </c>
    </row>
    <row r="1017" spans="1:51" ht="13" customHeight="1">
      <c r="A1017" s="14"/>
      <c r="B1017" s="73"/>
      <c r="C1017" s="74"/>
      <c r="D1017" s="1715" t="s">
        <v>1291</v>
      </c>
      <c r="E1017" s="1716"/>
      <c r="F1017" s="1716"/>
      <c r="G1017" s="1716"/>
      <c r="H1017" s="1716"/>
      <c r="I1017" s="1716"/>
      <c r="J1017" s="1716"/>
      <c r="K1017" s="1716"/>
      <c r="L1017" s="1716"/>
      <c r="M1017" s="1716"/>
      <c r="N1017" s="1716"/>
      <c r="O1017" s="1716"/>
      <c r="P1017" s="1716"/>
      <c r="Q1017" s="1716"/>
      <c r="R1017" s="1716"/>
      <c r="S1017" s="1716"/>
      <c r="T1017" s="1716"/>
      <c r="U1017" s="1716"/>
      <c r="V1017" s="1716"/>
      <c r="W1017" s="1716"/>
      <c r="X1017" s="1716"/>
      <c r="Y1017" s="1716"/>
      <c r="Z1017" s="1716"/>
      <c r="AA1017" s="1716"/>
      <c r="AB1017" s="1716"/>
      <c r="AC1017" s="1716"/>
      <c r="AD1017" s="1716"/>
      <c r="AE1017" s="1717"/>
      <c r="AF1017" s="1815" t="str">
        <f>IF(AND(AG1016="Yes",AY1011=0),AY1027,"")</f>
        <v/>
      </c>
      <c r="AG1017" s="1816"/>
      <c r="AH1017" s="1816"/>
      <c r="AI1017" s="1817"/>
      <c r="AJ1017" s="1746"/>
      <c r="AK1017" s="1747"/>
      <c r="AL1017" s="1747"/>
      <c r="AM1017" s="1747"/>
      <c r="AN1017" s="1747"/>
      <c r="AO1017" s="1747"/>
      <c r="AP1017" s="1747"/>
      <c r="AQ1017" s="1748"/>
      <c r="AR1017" s="68"/>
      <c r="AS1017" s="68"/>
      <c r="AT1017" s="68"/>
      <c r="AU1017" s="68"/>
      <c r="AV1017" s="68"/>
      <c r="AW1017" s="68"/>
      <c r="AX1017" s="68"/>
      <c r="AY1017" s="200">
        <f>IF(A1081="Yes",0.04,0)</f>
        <v>0</v>
      </c>
    </row>
    <row r="1018" spans="1:51" ht="13" customHeight="1">
      <c r="A1018" s="14"/>
      <c r="B1018" s="73"/>
      <c r="C1018" s="74"/>
      <c r="D1018" s="1715"/>
      <c r="E1018" s="1716"/>
      <c r="F1018" s="1716"/>
      <c r="G1018" s="1716"/>
      <c r="H1018" s="1716"/>
      <c r="I1018" s="1716"/>
      <c r="J1018" s="1716"/>
      <c r="K1018" s="1716"/>
      <c r="L1018" s="1716"/>
      <c r="M1018" s="1716"/>
      <c r="N1018" s="1716"/>
      <c r="O1018" s="1716"/>
      <c r="P1018" s="1716"/>
      <c r="Q1018" s="1716"/>
      <c r="R1018" s="1716"/>
      <c r="S1018" s="1716"/>
      <c r="T1018" s="1716"/>
      <c r="U1018" s="1716"/>
      <c r="V1018" s="1716"/>
      <c r="W1018" s="1716"/>
      <c r="X1018" s="1716"/>
      <c r="Y1018" s="1716"/>
      <c r="Z1018" s="1716"/>
      <c r="AA1018" s="1716"/>
      <c r="AB1018" s="1716"/>
      <c r="AC1018" s="1716"/>
      <c r="AD1018" s="1716"/>
      <c r="AE1018" s="1717"/>
      <c r="AF1018" s="1815"/>
      <c r="AG1018" s="1816"/>
      <c r="AH1018" s="1816"/>
      <c r="AI1018" s="1817"/>
      <c r="AJ1018" s="1746"/>
      <c r="AK1018" s="1747"/>
      <c r="AL1018" s="1747"/>
      <c r="AM1018" s="1747"/>
      <c r="AN1018" s="1747"/>
      <c r="AO1018" s="1747"/>
      <c r="AP1018" s="1747"/>
      <c r="AQ1018" s="1748"/>
      <c r="AR1018" s="68"/>
      <c r="AS1018" s="68"/>
      <c r="AT1018" s="68"/>
      <c r="AU1018" s="68"/>
      <c r="AV1018" s="68"/>
      <c r="AW1018" s="68"/>
      <c r="AX1018" s="68"/>
      <c r="AY1018" s="200">
        <f>IF(A1085="Yes",0.04,0)</f>
        <v>0</v>
      </c>
    </row>
    <row r="1019" spans="1:51" ht="13" customHeight="1">
      <c r="A1019" s="14"/>
      <c r="B1019" s="81"/>
      <c r="C1019" s="82"/>
      <c r="D1019" s="1773"/>
      <c r="E1019" s="1774"/>
      <c r="F1019" s="1774"/>
      <c r="G1019" s="1774"/>
      <c r="H1019" s="1774"/>
      <c r="I1019" s="1774"/>
      <c r="J1019" s="1774"/>
      <c r="K1019" s="1774"/>
      <c r="L1019" s="1774"/>
      <c r="M1019" s="1774"/>
      <c r="N1019" s="1774"/>
      <c r="O1019" s="1774"/>
      <c r="P1019" s="1774"/>
      <c r="Q1019" s="1774"/>
      <c r="R1019" s="1774"/>
      <c r="S1019" s="1774"/>
      <c r="T1019" s="1774"/>
      <c r="U1019" s="1774"/>
      <c r="V1019" s="1774"/>
      <c r="W1019" s="1774"/>
      <c r="X1019" s="1774"/>
      <c r="Y1019" s="1774"/>
      <c r="Z1019" s="1774"/>
      <c r="AA1019" s="1774"/>
      <c r="AB1019" s="1774"/>
      <c r="AC1019" s="1774"/>
      <c r="AD1019" s="1774"/>
      <c r="AE1019" s="1775"/>
      <c r="AF1019" s="1818"/>
      <c r="AG1019" s="1819"/>
      <c r="AH1019" s="1819"/>
      <c r="AI1019" s="1820"/>
      <c r="AJ1019" s="1749"/>
      <c r="AK1019" s="1750"/>
      <c r="AL1019" s="1750"/>
      <c r="AM1019" s="1750"/>
      <c r="AN1019" s="1750"/>
      <c r="AO1019" s="1750"/>
      <c r="AP1019" s="1750"/>
      <c r="AQ1019" s="1751"/>
      <c r="AR1019" s="68"/>
      <c r="AS1019" s="68"/>
      <c r="AT1019" s="68"/>
      <c r="AU1019" s="68"/>
      <c r="AV1019" s="68"/>
      <c r="AW1019" s="68"/>
      <c r="AX1019" s="68"/>
      <c r="AY1019" s="200">
        <f>IF(A1089="Yes",0.01,0)</f>
        <v>0</v>
      </c>
    </row>
    <row r="1020" spans="1:51" ht="13" customHeight="1">
      <c r="A1020" s="14"/>
      <c r="B1020" s="79"/>
      <c r="C1020" s="80" t="s">
        <v>223</v>
      </c>
      <c r="D1020" s="1836" t="s">
        <v>1292</v>
      </c>
      <c r="E1020" s="1837"/>
      <c r="F1020" s="1837"/>
      <c r="G1020" s="1837"/>
      <c r="H1020" s="1837"/>
      <c r="I1020" s="1837"/>
      <c r="J1020" s="1837"/>
      <c r="K1020" s="1837"/>
      <c r="L1020" s="1837"/>
      <c r="M1020" s="1837"/>
      <c r="N1020" s="1837"/>
      <c r="O1020" s="1837"/>
      <c r="P1020" s="1837"/>
      <c r="Q1020" s="1837"/>
      <c r="R1020" s="1837"/>
      <c r="S1020" s="1837"/>
      <c r="T1020" s="1837"/>
      <c r="U1020" s="1837"/>
      <c r="V1020" s="1837"/>
      <c r="W1020" s="1837"/>
      <c r="X1020" s="1837"/>
      <c r="Y1020" s="1837"/>
      <c r="Z1020" s="1837"/>
      <c r="AA1020" s="1837"/>
      <c r="AB1020" s="1837"/>
      <c r="AC1020" s="1837"/>
      <c r="AD1020" s="1837"/>
      <c r="AE1020" s="1838"/>
      <c r="AF1020" s="79"/>
      <c r="AG1020" s="1778" t="s">
        <v>670</v>
      </c>
      <c r="AH1020" s="1779"/>
      <c r="AI1020" s="87"/>
      <c r="AJ1020" s="1743">
        <f>ROUND(IF(AND(AG1020="Yes",J1024&lt;&gt;"N/A",AF1023&lt;&gt;""),MIN(AF1023,(0.15*AJ992)),0),0)</f>
        <v>0</v>
      </c>
      <c r="AK1020" s="1744"/>
      <c r="AL1020" s="1744"/>
      <c r="AM1020" s="1744"/>
      <c r="AN1020" s="1744"/>
      <c r="AO1020" s="1744"/>
      <c r="AP1020" s="1744"/>
      <c r="AQ1020" s="1745"/>
      <c r="AR1020" s="68"/>
      <c r="AS1020" s="68"/>
      <c r="AT1020" s="68"/>
      <c r="AU1020" s="68"/>
      <c r="AV1020" s="68"/>
      <c r="AW1020" s="68"/>
      <c r="AX1020" s="68"/>
      <c r="AY1020" s="200">
        <f>IF(A1094="Yes",0.01,0)</f>
        <v>0</v>
      </c>
    </row>
    <row r="1021" spans="1:51" ht="13" customHeight="1">
      <c r="A1021" s="14"/>
      <c r="B1021" s="81"/>
      <c r="C1021" s="84"/>
      <c r="D1021" s="1839"/>
      <c r="E1021" s="1840"/>
      <c r="F1021" s="1840"/>
      <c r="G1021" s="1840"/>
      <c r="H1021" s="1840"/>
      <c r="I1021" s="1840"/>
      <c r="J1021" s="1840"/>
      <c r="K1021" s="1840"/>
      <c r="L1021" s="1840"/>
      <c r="M1021" s="1840"/>
      <c r="N1021" s="1840"/>
      <c r="O1021" s="1840"/>
      <c r="P1021" s="1840"/>
      <c r="Q1021" s="1840"/>
      <c r="R1021" s="1840"/>
      <c r="S1021" s="1840"/>
      <c r="T1021" s="1840"/>
      <c r="U1021" s="1840"/>
      <c r="V1021" s="1840"/>
      <c r="W1021" s="1840"/>
      <c r="X1021" s="1840"/>
      <c r="Y1021" s="1840"/>
      <c r="Z1021" s="1840"/>
      <c r="AA1021" s="1840"/>
      <c r="AB1021" s="1840"/>
      <c r="AC1021" s="1840"/>
      <c r="AD1021" s="1840"/>
      <c r="AE1021" s="1841"/>
      <c r="AF1021" s="1849" t="str">
        <f>IF(AG1020="yes","Please Select Type and Enter Amount:","")</f>
        <v/>
      </c>
      <c r="AG1021" s="1850"/>
      <c r="AH1021" s="1850"/>
      <c r="AI1021" s="1851"/>
      <c r="AJ1021" s="1746"/>
      <c r="AK1021" s="1747"/>
      <c r="AL1021" s="1747"/>
      <c r="AM1021" s="1747"/>
      <c r="AN1021" s="1747"/>
      <c r="AO1021" s="1747"/>
      <c r="AP1021" s="1747"/>
      <c r="AQ1021" s="1748"/>
      <c r="AR1021" s="68"/>
      <c r="AS1021" s="68"/>
      <c r="AT1021" s="68"/>
      <c r="AU1021" s="68"/>
      <c r="AV1021" s="68"/>
      <c r="AW1021" s="68"/>
      <c r="AX1021" s="68"/>
      <c r="AY1021" s="200">
        <f>IF(A1097="Yes",0.01,0)</f>
        <v>0</v>
      </c>
    </row>
    <row r="1022" spans="1:51" ht="13" customHeight="1">
      <c r="A1022" s="14"/>
      <c r="B1022" s="81"/>
      <c r="C1022" s="84"/>
      <c r="D1022" s="1715" t="s">
        <v>1293</v>
      </c>
      <c r="E1022" s="1716"/>
      <c r="F1022" s="1716"/>
      <c r="G1022" s="1716"/>
      <c r="H1022" s="1716"/>
      <c r="I1022" s="1716"/>
      <c r="J1022" s="1716"/>
      <c r="K1022" s="1716"/>
      <c r="L1022" s="1716"/>
      <c r="M1022" s="1716"/>
      <c r="N1022" s="1716"/>
      <c r="O1022" s="1716"/>
      <c r="P1022" s="1716"/>
      <c r="Q1022" s="1716"/>
      <c r="R1022" s="1716"/>
      <c r="S1022" s="1716"/>
      <c r="T1022" s="1716"/>
      <c r="U1022" s="1716"/>
      <c r="V1022" s="1716"/>
      <c r="W1022" s="1716"/>
      <c r="X1022" s="1716"/>
      <c r="Y1022" s="1716"/>
      <c r="Z1022" s="1716"/>
      <c r="AA1022" s="1716"/>
      <c r="AB1022" s="1716"/>
      <c r="AC1022" s="1716"/>
      <c r="AD1022" s="1716"/>
      <c r="AE1022" s="1717"/>
      <c r="AF1022" s="1849"/>
      <c r="AG1022" s="1850"/>
      <c r="AH1022" s="1850"/>
      <c r="AI1022" s="1851"/>
      <c r="AJ1022" s="1746"/>
      <c r="AK1022" s="1747"/>
      <c r="AL1022" s="1747"/>
      <c r="AM1022" s="1747"/>
      <c r="AN1022" s="1747"/>
      <c r="AO1022" s="1747"/>
      <c r="AP1022" s="1747"/>
      <c r="AQ1022" s="1748"/>
      <c r="AR1022" s="68"/>
      <c r="AS1022" s="68"/>
      <c r="AT1022" s="68"/>
      <c r="AU1022" s="68"/>
      <c r="AV1022" s="68"/>
      <c r="AW1022" s="68"/>
      <c r="AX1022" s="68"/>
      <c r="AY1022" s="200">
        <f>IF(A1100="Yes",0.02,0)</f>
        <v>0</v>
      </c>
    </row>
    <row r="1023" spans="1:51" ht="13" customHeight="1">
      <c r="A1023" s="14"/>
      <c r="B1023" s="81"/>
      <c r="C1023" s="84"/>
      <c r="D1023" s="1715"/>
      <c r="E1023" s="1716"/>
      <c r="F1023" s="1716"/>
      <c r="G1023" s="1716"/>
      <c r="H1023" s="1716"/>
      <c r="I1023" s="1716"/>
      <c r="J1023" s="1716"/>
      <c r="K1023" s="1716"/>
      <c r="L1023" s="1716"/>
      <c r="M1023" s="1716"/>
      <c r="N1023" s="1716"/>
      <c r="O1023" s="1716"/>
      <c r="P1023" s="1716"/>
      <c r="Q1023" s="1716"/>
      <c r="R1023" s="1716"/>
      <c r="S1023" s="1716"/>
      <c r="T1023" s="1716"/>
      <c r="U1023" s="1716"/>
      <c r="V1023" s="1716"/>
      <c r="W1023" s="1716"/>
      <c r="X1023" s="1716"/>
      <c r="Y1023" s="1716"/>
      <c r="Z1023" s="1716"/>
      <c r="AA1023" s="1716"/>
      <c r="AB1023" s="1716"/>
      <c r="AC1023" s="1716"/>
      <c r="AD1023" s="1716"/>
      <c r="AE1023" s="1717"/>
      <c r="AF1023" s="1794"/>
      <c r="AG1023" s="1794"/>
      <c r="AH1023" s="1794"/>
      <c r="AI1023" s="1794"/>
      <c r="AJ1023" s="1746"/>
      <c r="AK1023" s="1747"/>
      <c r="AL1023" s="1747"/>
      <c r="AM1023" s="1747"/>
      <c r="AN1023" s="1747"/>
      <c r="AO1023" s="1747"/>
      <c r="AP1023" s="1747"/>
      <c r="AQ1023" s="1748"/>
      <c r="AR1023" s="68"/>
      <c r="AS1023" s="68"/>
      <c r="AT1023" s="68"/>
      <c r="AU1023" s="68"/>
      <c r="AV1023" s="68"/>
      <c r="AW1023" s="68"/>
      <c r="AX1023" s="68"/>
      <c r="AY1023" s="201">
        <f>IF(A1103="Yes",0.02,0)</f>
        <v>0</v>
      </c>
    </row>
    <row r="1024" spans="1:51" ht="13" customHeight="1">
      <c r="A1024" s="14"/>
      <c r="B1024" s="81"/>
      <c r="C1024" s="84"/>
      <c r="D1024" s="527" t="s">
        <v>359</v>
      </c>
      <c r="E1024" s="90"/>
      <c r="F1024" s="90"/>
      <c r="G1024" s="104"/>
      <c r="H1024" s="104"/>
      <c r="I1024" s="49"/>
      <c r="J1024" s="1800" t="s">
        <v>592</v>
      </c>
      <c r="K1024" s="1801"/>
      <c r="L1024" s="1801"/>
      <c r="M1024" s="1801"/>
      <c r="N1024" s="1801"/>
      <c r="O1024" s="1801"/>
      <c r="P1024" s="1801"/>
      <c r="Q1024" s="1801"/>
      <c r="R1024" s="1801"/>
      <c r="S1024" s="1801"/>
      <c r="T1024" s="1801"/>
      <c r="U1024" s="1801"/>
      <c r="V1024" s="1801"/>
      <c r="W1024" s="1801"/>
      <c r="X1024" s="1801"/>
      <c r="Y1024" s="1801"/>
      <c r="Z1024" s="1801"/>
      <c r="AA1024" s="1801"/>
      <c r="AB1024" s="1801"/>
      <c r="AC1024" s="1801"/>
      <c r="AD1024" s="1801"/>
      <c r="AE1024" s="1802"/>
      <c r="AF1024" s="1794"/>
      <c r="AG1024" s="1794"/>
      <c r="AH1024" s="1794"/>
      <c r="AI1024" s="1794"/>
      <c r="AJ1024" s="1749"/>
      <c r="AK1024" s="1750"/>
      <c r="AL1024" s="1750"/>
      <c r="AM1024" s="1750"/>
      <c r="AN1024" s="1750"/>
      <c r="AO1024" s="1750"/>
      <c r="AP1024" s="1750"/>
      <c r="AQ1024" s="1751"/>
      <c r="AR1024" s="68"/>
      <c r="AS1024" s="68"/>
      <c r="AT1024" s="68"/>
      <c r="AU1024" s="68"/>
      <c r="AV1024" s="68"/>
      <c r="AW1024" s="68"/>
      <c r="AX1024" s="68"/>
      <c r="AY1024" s="68"/>
    </row>
    <row r="1025" spans="1:57" ht="13" customHeight="1">
      <c r="A1025" s="14"/>
      <c r="B1025" s="79"/>
      <c r="C1025" s="80" t="s">
        <v>229</v>
      </c>
      <c r="D1025" s="1785" t="s">
        <v>1294</v>
      </c>
      <c r="E1025" s="1786"/>
      <c r="F1025" s="1786"/>
      <c r="G1025" s="1786"/>
      <c r="H1025" s="1786"/>
      <c r="I1025" s="1786"/>
      <c r="J1025" s="1786"/>
      <c r="K1025" s="1786"/>
      <c r="L1025" s="1786"/>
      <c r="M1025" s="1786"/>
      <c r="N1025" s="1786"/>
      <c r="O1025" s="1786"/>
      <c r="P1025" s="1786"/>
      <c r="Q1025" s="1786"/>
      <c r="R1025" s="1786"/>
      <c r="S1025" s="1786"/>
      <c r="T1025" s="1786"/>
      <c r="U1025" s="1786"/>
      <c r="V1025" s="1786"/>
      <c r="W1025" s="1786"/>
      <c r="X1025" s="1786"/>
      <c r="Y1025" s="1786"/>
      <c r="Z1025" s="1786"/>
      <c r="AA1025" s="1786"/>
      <c r="AB1025" s="1786"/>
      <c r="AC1025" s="1786"/>
      <c r="AD1025" s="1786"/>
      <c r="AE1025" s="1787"/>
      <c r="AF1025" s="79"/>
      <c r="AG1025" s="1778" t="s">
        <v>546</v>
      </c>
      <c r="AH1025" s="1779"/>
      <c r="AI1025" s="87"/>
      <c r="AJ1025" s="1743">
        <f>ROUND(IF(AG1025="Yes",AF1027,0),0)</f>
        <v>923589</v>
      </c>
      <c r="AK1025" s="1744"/>
      <c r="AL1025" s="1744"/>
      <c r="AM1025" s="1744"/>
      <c r="AN1025" s="1744"/>
      <c r="AO1025" s="1744"/>
      <c r="AP1025" s="1744"/>
      <c r="AQ1025" s="1745"/>
      <c r="AR1025" s="68"/>
      <c r="AS1025" s="68"/>
      <c r="AT1025" s="68"/>
      <c r="AU1025" s="68"/>
      <c r="AV1025" s="68"/>
      <c r="AW1025" s="68"/>
      <c r="AX1025" s="68"/>
      <c r="AY1025" s="68"/>
    </row>
    <row r="1026" spans="1:57" ht="13" customHeight="1">
      <c r="A1026" s="14"/>
      <c r="B1026" s="73"/>
      <c r="C1026" s="74"/>
      <c r="D1026" s="1715" t="s">
        <v>1690</v>
      </c>
      <c r="E1026" s="1716"/>
      <c r="F1026" s="1716"/>
      <c r="G1026" s="1716"/>
      <c r="H1026" s="1716"/>
      <c r="I1026" s="1716"/>
      <c r="J1026" s="1716"/>
      <c r="K1026" s="1716"/>
      <c r="L1026" s="1716"/>
      <c r="M1026" s="1716"/>
      <c r="N1026" s="1716"/>
      <c r="O1026" s="1716"/>
      <c r="P1026" s="1716"/>
      <c r="Q1026" s="1716"/>
      <c r="R1026" s="1716"/>
      <c r="S1026" s="1716"/>
      <c r="T1026" s="1716"/>
      <c r="U1026" s="1716"/>
      <c r="V1026" s="1716"/>
      <c r="W1026" s="1716"/>
      <c r="X1026" s="1716"/>
      <c r="Y1026" s="1716"/>
      <c r="Z1026" s="1716"/>
      <c r="AA1026" s="1716"/>
      <c r="AB1026" s="1716"/>
      <c r="AC1026" s="1716"/>
      <c r="AD1026" s="1716"/>
      <c r="AE1026" s="1717"/>
      <c r="AF1026" s="1842" t="str">
        <f>IF(AG1025="yes","Enter Amount:","")</f>
        <v>Enter Amount:</v>
      </c>
      <c r="AG1026" s="1843"/>
      <c r="AH1026" s="1843"/>
      <c r="AI1026" s="1844"/>
      <c r="AJ1026" s="1746"/>
      <c r="AK1026" s="1747"/>
      <c r="AL1026" s="1747"/>
      <c r="AM1026" s="1747"/>
      <c r="AN1026" s="1747"/>
      <c r="AO1026" s="1747"/>
      <c r="AP1026" s="1747"/>
      <c r="AQ1026" s="1748"/>
      <c r="AR1026" s="68"/>
      <c r="AS1026" s="68"/>
      <c r="AT1026" s="68"/>
      <c r="AU1026" s="68"/>
      <c r="AV1026" s="68"/>
      <c r="AW1026" s="68"/>
      <c r="AX1026" s="68"/>
      <c r="AY1026" s="68"/>
    </row>
    <row r="1027" spans="1:57" ht="13" customHeight="1">
      <c r="A1027" s="14"/>
      <c r="B1027" s="73"/>
      <c r="C1027" s="74"/>
      <c r="D1027" s="1715"/>
      <c r="E1027" s="1716"/>
      <c r="F1027" s="1716"/>
      <c r="G1027" s="1716"/>
      <c r="H1027" s="1716"/>
      <c r="I1027" s="1716"/>
      <c r="J1027" s="1716"/>
      <c r="K1027" s="1716"/>
      <c r="L1027" s="1716"/>
      <c r="M1027" s="1716"/>
      <c r="N1027" s="1716"/>
      <c r="O1027" s="1716"/>
      <c r="P1027" s="1716"/>
      <c r="Q1027" s="1716"/>
      <c r="R1027" s="1716"/>
      <c r="S1027" s="1716"/>
      <c r="T1027" s="1716"/>
      <c r="U1027" s="1716"/>
      <c r="V1027" s="1716"/>
      <c r="W1027" s="1716"/>
      <c r="X1027" s="1716"/>
      <c r="Y1027" s="1716"/>
      <c r="Z1027" s="1716"/>
      <c r="AA1027" s="1716"/>
      <c r="AB1027" s="1716"/>
      <c r="AC1027" s="1716"/>
      <c r="AD1027" s="1716"/>
      <c r="AE1027" s="1717"/>
      <c r="AF1027" s="1794">
        <f>'Sources and Uses Budget'!C85</f>
        <v>923589</v>
      </c>
      <c r="AG1027" s="1794"/>
      <c r="AH1027" s="1794"/>
      <c r="AI1027" s="1794"/>
      <c r="AJ1027" s="1746"/>
      <c r="AK1027" s="1747"/>
      <c r="AL1027" s="1747"/>
      <c r="AM1027" s="1747"/>
      <c r="AN1027" s="1747"/>
      <c r="AO1027" s="1747"/>
      <c r="AP1027" s="1747"/>
      <c r="AQ1027" s="1748"/>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773"/>
      <c r="E1028" s="1774"/>
      <c r="F1028" s="1774"/>
      <c r="G1028" s="1774"/>
      <c r="H1028" s="1774"/>
      <c r="I1028" s="1774"/>
      <c r="J1028" s="1774"/>
      <c r="K1028" s="1774"/>
      <c r="L1028" s="1774"/>
      <c r="M1028" s="1774"/>
      <c r="N1028" s="1774"/>
      <c r="O1028" s="1774"/>
      <c r="P1028" s="1774"/>
      <c r="Q1028" s="1774"/>
      <c r="R1028" s="1774"/>
      <c r="S1028" s="1774"/>
      <c r="T1028" s="1774"/>
      <c r="U1028" s="1774"/>
      <c r="V1028" s="1774"/>
      <c r="W1028" s="1774"/>
      <c r="X1028" s="1774"/>
      <c r="Y1028" s="1774"/>
      <c r="Z1028" s="1774"/>
      <c r="AA1028" s="1774"/>
      <c r="AB1028" s="1774"/>
      <c r="AC1028" s="1774"/>
      <c r="AD1028" s="1774"/>
      <c r="AE1028" s="1775"/>
      <c r="AF1028" s="1794"/>
      <c r="AG1028" s="1794"/>
      <c r="AH1028" s="1794"/>
      <c r="AI1028" s="1794"/>
      <c r="AJ1028" s="1749"/>
      <c r="AK1028" s="1750"/>
      <c r="AL1028" s="1750"/>
      <c r="AM1028" s="1750"/>
      <c r="AN1028" s="1750"/>
      <c r="AO1028" s="1750"/>
      <c r="AP1028" s="1750"/>
      <c r="AQ1028" s="1751"/>
      <c r="AR1028" s="68"/>
      <c r="AS1028" s="68"/>
      <c r="AT1028" s="68"/>
      <c r="AU1028" s="68"/>
      <c r="AV1028" s="68"/>
      <c r="AW1028" s="68"/>
      <c r="AX1028" s="68"/>
      <c r="AY1028" s="68"/>
    </row>
    <row r="1029" spans="1:57" ht="13" customHeight="1">
      <c r="A1029" s="14"/>
      <c r="B1029" s="79"/>
      <c r="C1029" s="80" t="s">
        <v>234</v>
      </c>
      <c r="D1029" s="1752" t="s">
        <v>1295</v>
      </c>
      <c r="E1029" s="1753"/>
      <c r="F1029" s="1753"/>
      <c r="G1029" s="1753"/>
      <c r="H1029" s="1753"/>
      <c r="I1029" s="1753"/>
      <c r="J1029" s="1753"/>
      <c r="K1029" s="1753"/>
      <c r="L1029" s="1753"/>
      <c r="M1029" s="1753"/>
      <c r="N1029" s="1753"/>
      <c r="O1029" s="1753"/>
      <c r="P1029" s="1753"/>
      <c r="Q1029" s="1753"/>
      <c r="R1029" s="1753"/>
      <c r="S1029" s="1753"/>
      <c r="T1029" s="1753"/>
      <c r="U1029" s="1753"/>
      <c r="V1029" s="1753"/>
      <c r="W1029" s="1753"/>
      <c r="X1029" s="1753"/>
      <c r="Y1029" s="1753"/>
      <c r="Z1029" s="1753"/>
      <c r="AA1029" s="1753"/>
      <c r="AB1029" s="1753"/>
      <c r="AC1029" s="1753"/>
      <c r="AD1029" s="1753"/>
      <c r="AE1029" s="1754"/>
      <c r="AF1029" s="79"/>
      <c r="AG1029" s="1778" t="s">
        <v>546</v>
      </c>
      <c r="AH1029" s="1779"/>
      <c r="AI1029" s="87"/>
      <c r="AJ1029" s="1743">
        <f>ROUND(IF(AG1029="yes",(AJ992*0.1),0),0)</f>
        <v>13746457</v>
      </c>
      <c r="AK1029" s="1744"/>
      <c r="AL1029" s="1744"/>
      <c r="AM1029" s="1744"/>
      <c r="AN1029" s="1744"/>
      <c r="AO1029" s="1744"/>
      <c r="AP1029" s="1744"/>
      <c r="AQ1029" s="1745"/>
      <c r="AR1029" s="68"/>
      <c r="AS1029" s="68"/>
      <c r="AT1029" s="68"/>
      <c r="AU1029" s="68"/>
      <c r="AV1029" s="68"/>
      <c r="AW1029" s="68"/>
      <c r="AX1029" s="68"/>
      <c r="AY1029" s="68"/>
    </row>
    <row r="1030" spans="1:57" ht="13" customHeight="1">
      <c r="A1030" s="14"/>
      <c r="B1030" s="73"/>
      <c r="C1030" s="74"/>
      <c r="D1030" s="1715" t="s">
        <v>1296</v>
      </c>
      <c r="E1030" s="1716"/>
      <c r="F1030" s="1716"/>
      <c r="G1030" s="1716"/>
      <c r="H1030" s="1716"/>
      <c r="I1030" s="1716"/>
      <c r="J1030" s="1716"/>
      <c r="K1030" s="1716"/>
      <c r="L1030" s="1716"/>
      <c r="M1030" s="1716"/>
      <c r="N1030" s="1716"/>
      <c r="O1030" s="1716"/>
      <c r="P1030" s="1716"/>
      <c r="Q1030" s="1716"/>
      <c r="R1030" s="1716"/>
      <c r="S1030" s="1716"/>
      <c r="T1030" s="1716"/>
      <c r="U1030" s="1716"/>
      <c r="V1030" s="1716"/>
      <c r="W1030" s="1716"/>
      <c r="X1030" s="1716"/>
      <c r="Y1030" s="1716"/>
      <c r="Z1030" s="1716"/>
      <c r="AA1030" s="1716"/>
      <c r="AB1030" s="1716"/>
      <c r="AC1030" s="1716"/>
      <c r="AD1030" s="1716"/>
      <c r="AE1030" s="1717"/>
      <c r="AF1030" s="73"/>
      <c r="AG1030" s="14"/>
      <c r="AH1030" s="14"/>
      <c r="AI1030" s="83"/>
      <c r="AJ1030" s="1746"/>
      <c r="AK1030" s="1747"/>
      <c r="AL1030" s="1747"/>
      <c r="AM1030" s="1747"/>
      <c r="AN1030" s="1747"/>
      <c r="AO1030" s="1747"/>
      <c r="AP1030" s="1747"/>
      <c r="AQ1030" s="1748"/>
      <c r="AR1030" s="68"/>
      <c r="AS1030" s="68"/>
      <c r="AT1030" s="68"/>
      <c r="AU1030" s="68"/>
      <c r="AV1030" s="68"/>
      <c r="AW1030" s="68"/>
      <c r="AX1030" s="68"/>
      <c r="AY1030" s="68"/>
    </row>
    <row r="1031" spans="1:57" ht="13" customHeight="1">
      <c r="A1031" s="14"/>
      <c r="B1031" s="77"/>
      <c r="C1031" s="74"/>
      <c r="D1031" s="1773"/>
      <c r="E1031" s="1774"/>
      <c r="F1031" s="1774"/>
      <c r="G1031" s="1774"/>
      <c r="H1031" s="1774"/>
      <c r="I1031" s="1774"/>
      <c r="J1031" s="1774"/>
      <c r="K1031" s="1774"/>
      <c r="L1031" s="1774"/>
      <c r="M1031" s="1774"/>
      <c r="N1031" s="1774"/>
      <c r="O1031" s="1774"/>
      <c r="P1031" s="1774"/>
      <c r="Q1031" s="1774"/>
      <c r="R1031" s="1774"/>
      <c r="S1031" s="1774"/>
      <c r="T1031" s="1774"/>
      <c r="U1031" s="1774"/>
      <c r="V1031" s="1774"/>
      <c r="W1031" s="1774"/>
      <c r="X1031" s="1774"/>
      <c r="Y1031" s="1774"/>
      <c r="Z1031" s="1774"/>
      <c r="AA1031" s="1774"/>
      <c r="AB1031" s="1774"/>
      <c r="AC1031" s="1774"/>
      <c r="AD1031" s="1774"/>
      <c r="AE1031" s="1775"/>
      <c r="AF1031" s="73"/>
      <c r="AG1031" s="14"/>
      <c r="AH1031" s="14"/>
      <c r="AI1031" s="83"/>
      <c r="AJ1031" s="1749"/>
      <c r="AK1031" s="1750"/>
      <c r="AL1031" s="1750"/>
      <c r="AM1031" s="1750"/>
      <c r="AN1031" s="1750"/>
      <c r="AO1031" s="1750"/>
      <c r="AP1031" s="1750"/>
      <c r="AQ1031" s="1751"/>
      <c r="AR1031" s="68"/>
      <c r="AS1031" s="68"/>
      <c r="AT1031" s="68"/>
      <c r="AU1031" s="68"/>
      <c r="AV1031" s="68"/>
      <c r="AW1031" s="68"/>
      <c r="AX1031" s="68"/>
      <c r="AY1031" s="68"/>
    </row>
    <row r="1032" spans="1:57" ht="13" customHeight="1">
      <c r="A1032" s="14"/>
      <c r="B1032" s="73"/>
      <c r="C1032" s="340" t="s">
        <v>688</v>
      </c>
      <c r="D1032" s="1785" t="s">
        <v>1686</v>
      </c>
      <c r="E1032" s="1786"/>
      <c r="F1032" s="1786"/>
      <c r="G1032" s="1786"/>
      <c r="H1032" s="1786"/>
      <c r="I1032" s="1786"/>
      <c r="J1032" s="1786"/>
      <c r="K1032" s="1786"/>
      <c r="L1032" s="1786"/>
      <c r="M1032" s="1786"/>
      <c r="N1032" s="1786"/>
      <c r="O1032" s="1786"/>
      <c r="P1032" s="1786"/>
      <c r="Q1032" s="1786"/>
      <c r="R1032" s="1786"/>
      <c r="S1032" s="1786"/>
      <c r="T1032" s="1786"/>
      <c r="U1032" s="1786"/>
      <c r="V1032" s="1786"/>
      <c r="W1032" s="1786"/>
      <c r="X1032" s="1786"/>
      <c r="Y1032" s="1786"/>
      <c r="Z1032" s="1786"/>
      <c r="AA1032" s="1786"/>
      <c r="AB1032" s="1786"/>
      <c r="AC1032" s="1786"/>
      <c r="AD1032" s="1786"/>
      <c r="AE1032" s="1787"/>
      <c r="AF1032" s="79"/>
      <c r="AG1032" s="1778" t="s">
        <v>546</v>
      </c>
      <c r="AH1032" s="1779"/>
      <c r="AI1032" s="87"/>
      <c r="AJ1032" s="1743">
        <f>ROUND(IF(AG1032="yes",(AJ992*0.15),0),0)</f>
        <v>20619686</v>
      </c>
      <c r="AK1032" s="1744"/>
      <c r="AL1032" s="1744"/>
      <c r="AM1032" s="1744"/>
      <c r="AN1032" s="1744"/>
      <c r="AO1032" s="1744"/>
      <c r="AP1032" s="1744"/>
      <c r="AQ1032" s="1745"/>
      <c r="AR1032" s="68"/>
      <c r="AS1032" s="68"/>
      <c r="AT1032" s="68"/>
      <c r="AU1032" s="68"/>
      <c r="AV1032" s="68"/>
      <c r="AW1032" s="68"/>
      <c r="AX1032" s="68"/>
      <c r="AY1032" s="68"/>
    </row>
    <row r="1033" spans="1:57" ht="13" customHeight="1">
      <c r="A1033" s="14"/>
      <c r="B1033" s="73"/>
      <c r="C1033" s="74"/>
      <c r="D1033" s="1831" t="s">
        <v>1687</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832"/>
      <c r="AF1033" s="916"/>
      <c r="AG1033" s="917"/>
      <c r="AH1033" s="917"/>
      <c r="AI1033" s="918"/>
      <c r="AJ1033" s="1746"/>
      <c r="AK1033" s="1747"/>
      <c r="AL1033" s="1747"/>
      <c r="AM1033" s="1747"/>
      <c r="AN1033" s="1747"/>
      <c r="AO1033" s="1747"/>
      <c r="AP1033" s="1747"/>
      <c r="AQ1033" s="1748"/>
      <c r="AR1033" s="68"/>
      <c r="AS1033" s="68"/>
      <c r="AT1033" s="68"/>
      <c r="AU1033" s="68"/>
      <c r="AV1033" s="68"/>
      <c r="AW1033" s="68"/>
      <c r="AX1033" s="68"/>
      <c r="AY1033" s="68"/>
    </row>
    <row r="1034" spans="1:57" ht="13" customHeight="1">
      <c r="A1034" s="14"/>
      <c r="B1034" s="73"/>
      <c r="C1034" s="74"/>
      <c r="D1034" s="1831"/>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832"/>
      <c r="AF1034" s="916"/>
      <c r="AG1034" s="917"/>
      <c r="AH1034" s="917"/>
      <c r="AI1034" s="918"/>
      <c r="AJ1034" s="1746"/>
      <c r="AK1034" s="1747"/>
      <c r="AL1034" s="1747"/>
      <c r="AM1034" s="1747"/>
      <c r="AN1034" s="1747"/>
      <c r="AO1034" s="1747"/>
      <c r="AP1034" s="1747"/>
      <c r="AQ1034" s="1748"/>
      <c r="AR1034" s="68"/>
      <c r="AS1034" s="68"/>
      <c r="AT1034" s="68"/>
      <c r="AU1034" s="68"/>
      <c r="AV1034" s="68"/>
      <c r="AW1034" s="68"/>
      <c r="AX1034" s="68"/>
      <c r="AY1034" s="68"/>
    </row>
    <row r="1035" spans="1:57" ht="13" customHeight="1">
      <c r="A1035" s="14"/>
      <c r="B1035" s="73"/>
      <c r="C1035" s="74"/>
      <c r="D1035" s="1833"/>
      <c r="E1035" s="1834"/>
      <c r="F1035" s="1834"/>
      <c r="G1035" s="1834"/>
      <c r="H1035" s="1834"/>
      <c r="I1035" s="1834"/>
      <c r="J1035" s="1834"/>
      <c r="K1035" s="1834"/>
      <c r="L1035" s="1834"/>
      <c r="M1035" s="1834"/>
      <c r="N1035" s="1834"/>
      <c r="O1035" s="1834"/>
      <c r="P1035" s="1834"/>
      <c r="Q1035" s="1834"/>
      <c r="R1035" s="1834"/>
      <c r="S1035" s="1834"/>
      <c r="T1035" s="1834"/>
      <c r="U1035" s="1834"/>
      <c r="V1035" s="1834"/>
      <c r="W1035" s="1834"/>
      <c r="X1035" s="1834"/>
      <c r="Y1035" s="1834"/>
      <c r="Z1035" s="1834"/>
      <c r="AA1035" s="1834"/>
      <c r="AB1035" s="1834"/>
      <c r="AC1035" s="1834"/>
      <c r="AD1035" s="1834"/>
      <c r="AE1035" s="1835"/>
      <c r="AF1035" s="919"/>
      <c r="AG1035" s="920"/>
      <c r="AH1035" s="920"/>
      <c r="AI1035" s="921"/>
      <c r="AJ1035" s="1749"/>
      <c r="AK1035" s="1750"/>
      <c r="AL1035" s="1750"/>
      <c r="AM1035" s="1750"/>
      <c r="AN1035" s="1750"/>
      <c r="AO1035" s="1750"/>
      <c r="AP1035" s="1750"/>
      <c r="AQ1035" s="1751"/>
      <c r="AR1035" s="68"/>
      <c r="AS1035" s="68"/>
      <c r="AT1035" s="68"/>
      <c r="AU1035" s="68"/>
      <c r="AV1035" s="68"/>
      <c r="AW1035" s="68"/>
      <c r="AX1035" s="68"/>
      <c r="AY1035" s="68"/>
    </row>
    <row r="1036" spans="1:57" ht="13" customHeight="1">
      <c r="A1036" s="14"/>
      <c r="B1036" s="73"/>
      <c r="C1036" s="340" t="s">
        <v>688</v>
      </c>
      <c r="D1036" s="1752" t="s">
        <v>1688</v>
      </c>
      <c r="E1036" s="1753"/>
      <c r="F1036" s="1753"/>
      <c r="G1036" s="1753"/>
      <c r="H1036" s="1753"/>
      <c r="I1036" s="1753"/>
      <c r="J1036" s="1753"/>
      <c r="K1036" s="1753"/>
      <c r="L1036" s="1753"/>
      <c r="M1036" s="1753"/>
      <c r="N1036" s="1753"/>
      <c r="O1036" s="1753"/>
      <c r="P1036" s="1753"/>
      <c r="Q1036" s="1753"/>
      <c r="R1036" s="1753"/>
      <c r="S1036" s="1753"/>
      <c r="T1036" s="1753"/>
      <c r="U1036" s="1753"/>
      <c r="V1036" s="1753"/>
      <c r="W1036" s="1753"/>
      <c r="X1036" s="1753"/>
      <c r="Y1036" s="1753"/>
      <c r="Z1036" s="1753"/>
      <c r="AA1036" s="1753"/>
      <c r="AB1036" s="1753"/>
      <c r="AC1036" s="1753"/>
      <c r="AD1036" s="1753"/>
      <c r="AE1036" s="1754"/>
      <c r="AF1036" s="73"/>
      <c r="AG1036" s="1780" t="s">
        <v>670</v>
      </c>
      <c r="AH1036" s="1781"/>
      <c r="AI1036" s="83"/>
      <c r="AJ1036" s="1743">
        <f>ROUND(IF(AND(AG1036="yes",AJ1032=0),(AJ992*0.1),0),0)</f>
        <v>0</v>
      </c>
      <c r="AK1036" s="1744"/>
      <c r="AL1036" s="1744"/>
      <c r="AM1036" s="1744"/>
      <c r="AN1036" s="1744"/>
      <c r="AO1036" s="1744"/>
      <c r="AP1036" s="1744"/>
      <c r="AQ1036" s="1745"/>
      <c r="AR1036" s="68"/>
      <c r="AS1036" s="68"/>
      <c r="AT1036" s="68"/>
      <c r="AU1036" s="68"/>
      <c r="AV1036" s="68"/>
      <c r="AW1036" s="68"/>
      <c r="AX1036" s="68"/>
      <c r="AY1036" s="68"/>
    </row>
    <row r="1037" spans="1:57" ht="13" customHeight="1">
      <c r="A1037" s="14"/>
      <c r="B1037" s="73"/>
      <c r="C1037" s="74"/>
      <c r="D1037" s="1831" t="s">
        <v>1689</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832"/>
      <c r="AF1037" s="73"/>
      <c r="AG1037" s="14"/>
      <c r="AH1037" s="14"/>
      <c r="AI1037" s="83"/>
      <c r="AJ1037" s="1746"/>
      <c r="AK1037" s="1747"/>
      <c r="AL1037" s="1747"/>
      <c r="AM1037" s="1747"/>
      <c r="AN1037" s="1747"/>
      <c r="AO1037" s="1747"/>
      <c r="AP1037" s="1747"/>
      <c r="AQ1037" s="1748"/>
      <c r="AR1037" s="68"/>
      <c r="AS1037" s="68"/>
      <c r="AT1037" s="68"/>
      <c r="AU1037" s="68"/>
      <c r="AV1037" s="68"/>
      <c r="AW1037" s="68"/>
      <c r="AX1037" s="68"/>
      <c r="AY1037" s="68"/>
    </row>
    <row r="1038" spans="1:57" ht="13" customHeight="1">
      <c r="A1038" s="14"/>
      <c r="B1038" s="73"/>
      <c r="C1038" s="74"/>
      <c r="D1038" s="1831"/>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832"/>
      <c r="AF1038" s="73"/>
      <c r="AG1038" s="14"/>
      <c r="AH1038" s="14"/>
      <c r="AI1038" s="83"/>
      <c r="AJ1038" s="1746"/>
      <c r="AK1038" s="1747"/>
      <c r="AL1038" s="1747"/>
      <c r="AM1038" s="1747"/>
      <c r="AN1038" s="1747"/>
      <c r="AO1038" s="1747"/>
      <c r="AP1038" s="1747"/>
      <c r="AQ1038" s="1748"/>
      <c r="AR1038" s="68"/>
      <c r="AS1038" s="68"/>
      <c r="AT1038" s="68"/>
      <c r="AU1038" s="68"/>
      <c r="AV1038" s="68"/>
      <c r="AW1038" s="68"/>
      <c r="AX1038" s="68"/>
      <c r="AY1038" s="68"/>
      <c r="BA1038" s="1185">
        <f>IFERROR(('Sources and Uses Budget'!$C$17+'Sources and Uses Budget'!$C$18+'Sources and Uses Budget'!$C$22)/$AG$437,0)</f>
        <v>159924.15352697094</v>
      </c>
      <c r="BB1038" s="1185" t="s">
        <v>2492</v>
      </c>
      <c r="BC1038" s="1185"/>
      <c r="BD1038" s="1185"/>
      <c r="BE1038" s="1185"/>
    </row>
    <row r="1039" spans="1:57" ht="13" customHeight="1">
      <c r="A1039" s="14"/>
      <c r="B1039" s="73"/>
      <c r="C1039" s="74"/>
      <c r="D1039" s="1831"/>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832"/>
      <c r="AF1039" s="73"/>
      <c r="AG1039" s="14"/>
      <c r="AH1039" s="14"/>
      <c r="AI1039" s="83"/>
      <c r="AJ1039" s="1746"/>
      <c r="AK1039" s="1747"/>
      <c r="AL1039" s="1747"/>
      <c r="AM1039" s="1747"/>
      <c r="AN1039" s="1747"/>
      <c r="AO1039" s="1747"/>
      <c r="AP1039" s="1747"/>
      <c r="AQ1039" s="1748"/>
      <c r="AR1039" s="68"/>
      <c r="AS1039" s="68"/>
      <c r="AT1039" s="68"/>
      <c r="AU1039" s="68"/>
      <c r="AV1039" s="68"/>
      <c r="AW1039" s="68"/>
      <c r="AX1039" s="68"/>
      <c r="AY1039" s="68"/>
      <c r="BA1039">
        <f>IFERROR((($CI$753+$CM$753)/$AG$440),0)</f>
        <v>0.40167364016736401</v>
      </c>
      <c r="BB1039" s="3" t="s">
        <v>2496</v>
      </c>
    </row>
    <row r="1040" spans="1:57" ht="13" customHeight="1">
      <c r="A1040" s="14"/>
      <c r="B1040" s="73"/>
      <c r="C1040" s="74"/>
      <c r="D1040" s="1833"/>
      <c r="E1040" s="1834"/>
      <c r="F1040" s="1834"/>
      <c r="G1040" s="1834"/>
      <c r="H1040" s="1834"/>
      <c r="I1040" s="1834"/>
      <c r="J1040" s="1834"/>
      <c r="K1040" s="1834"/>
      <c r="L1040" s="1834"/>
      <c r="M1040" s="1834"/>
      <c r="N1040" s="1834"/>
      <c r="O1040" s="1834"/>
      <c r="P1040" s="1834"/>
      <c r="Q1040" s="1834"/>
      <c r="R1040" s="1834"/>
      <c r="S1040" s="1834"/>
      <c r="T1040" s="1834"/>
      <c r="U1040" s="1834"/>
      <c r="V1040" s="1834"/>
      <c r="W1040" s="1834"/>
      <c r="X1040" s="1834"/>
      <c r="Y1040" s="1834"/>
      <c r="Z1040" s="1834"/>
      <c r="AA1040" s="1834"/>
      <c r="AB1040" s="1834"/>
      <c r="AC1040" s="1834"/>
      <c r="AD1040" s="1834"/>
      <c r="AE1040" s="1835"/>
      <c r="AF1040" s="73"/>
      <c r="AG1040" s="14"/>
      <c r="AH1040" s="14"/>
      <c r="AI1040" s="83"/>
      <c r="AJ1040" s="1746"/>
      <c r="AK1040" s="1747"/>
      <c r="AL1040" s="1747"/>
      <c r="AM1040" s="1747"/>
      <c r="AN1040" s="1747"/>
      <c r="AO1040" s="1747"/>
      <c r="AP1040" s="1747"/>
      <c r="AQ1040" s="1748"/>
      <c r="AR1040" s="68"/>
      <c r="AS1040" s="68"/>
      <c r="AT1040" s="68"/>
      <c r="AU1040" s="68"/>
      <c r="AV1040" s="68"/>
      <c r="AW1040" s="68"/>
      <c r="AX1040" s="68"/>
      <c r="AY1040" s="68"/>
      <c r="BA1040" t="b">
        <f>'Points System'!AJ164="Yes"</f>
        <v>0</v>
      </c>
      <c r="BB1040" s="3" t="s">
        <v>2493</v>
      </c>
    </row>
    <row r="1041" spans="1:56" ht="13" customHeight="1">
      <c r="A1041" s="14"/>
      <c r="B1041" s="79"/>
      <c r="C1041" s="131" t="s">
        <v>1010</v>
      </c>
      <c r="D1041" s="1785" t="s">
        <v>1297</v>
      </c>
      <c r="E1041" s="1786"/>
      <c r="F1041" s="1786"/>
      <c r="G1041" s="1786"/>
      <c r="H1041" s="1786"/>
      <c r="I1041" s="1786"/>
      <c r="J1041" s="1786"/>
      <c r="K1041" s="1786"/>
      <c r="L1041" s="1786"/>
      <c r="M1041" s="1786"/>
      <c r="N1041" s="1786"/>
      <c r="O1041" s="1786"/>
      <c r="P1041" s="1786"/>
      <c r="Q1041" s="1786"/>
      <c r="R1041" s="1786"/>
      <c r="S1041" s="1786"/>
      <c r="T1041" s="1786"/>
      <c r="U1041" s="1786"/>
      <c r="V1041" s="1786"/>
      <c r="W1041" s="1786"/>
      <c r="X1041" s="1786"/>
      <c r="Y1041" s="1786"/>
      <c r="Z1041" s="1786"/>
      <c r="AA1041" s="1786"/>
      <c r="AB1041" s="1786"/>
      <c r="AC1041" s="1786"/>
      <c r="AD1041" s="1786"/>
      <c r="AE1041" s="1787"/>
      <c r="AF1041" s="79"/>
      <c r="AG1041" s="1778" t="s">
        <v>670</v>
      </c>
      <c r="AH1041" s="1779"/>
      <c r="AI1041" s="87"/>
      <c r="AJ1041" s="1743">
        <f>ROUND(IF(AG1041="yes",(AJ992*0.1),0),0)</f>
        <v>0</v>
      </c>
      <c r="AK1041" s="1744"/>
      <c r="AL1041" s="1744"/>
      <c r="AM1041" s="1744"/>
      <c r="AN1041" s="1744"/>
      <c r="AO1041" s="1744"/>
      <c r="AP1041" s="1744"/>
      <c r="AQ1041" s="1745"/>
      <c r="AR1041" s="68"/>
      <c r="AS1041" s="68"/>
      <c r="AT1041" s="68"/>
      <c r="AU1041" s="68"/>
      <c r="AV1041" s="68"/>
      <c r="AW1041" s="68"/>
      <c r="AX1041" s="68"/>
      <c r="AY1041" s="68"/>
      <c r="BA1041">
        <f>Q212</f>
        <v>0</v>
      </c>
      <c r="BB1041" s="3" t="s">
        <v>2494</v>
      </c>
    </row>
    <row r="1042" spans="1:56" ht="13" customHeight="1">
      <c r="A1042" s="14"/>
      <c r="B1042" s="73"/>
      <c r="C1042" s="74"/>
      <c r="D1042" s="1715" t="s">
        <v>2146</v>
      </c>
      <c r="E1042" s="1716"/>
      <c r="F1042" s="1716"/>
      <c r="G1042" s="1716"/>
      <c r="H1042" s="1716"/>
      <c r="I1042" s="1716"/>
      <c r="J1042" s="1716"/>
      <c r="K1042" s="1716"/>
      <c r="L1042" s="1716"/>
      <c r="M1042" s="1716"/>
      <c r="N1042" s="1716"/>
      <c r="O1042" s="1716"/>
      <c r="P1042" s="1716"/>
      <c r="Q1042" s="1716"/>
      <c r="R1042" s="1716"/>
      <c r="S1042" s="1716"/>
      <c r="T1042" s="1716"/>
      <c r="U1042" s="1716"/>
      <c r="V1042" s="1716"/>
      <c r="W1042" s="1716"/>
      <c r="X1042" s="1716"/>
      <c r="Y1042" s="1716"/>
      <c r="Z1042" s="1716"/>
      <c r="AA1042" s="1716"/>
      <c r="AB1042" s="1716"/>
      <c r="AC1042" s="1716"/>
      <c r="AD1042" s="1716"/>
      <c r="AE1042" s="1717"/>
      <c r="AF1042" s="73"/>
      <c r="AG1042" s="14"/>
      <c r="AH1042" s="14"/>
      <c r="AI1042" s="83"/>
      <c r="AJ1042" s="1746"/>
      <c r="AK1042" s="1747"/>
      <c r="AL1042" s="1747"/>
      <c r="AM1042" s="1747"/>
      <c r="AN1042" s="1747"/>
      <c r="AO1042" s="1747"/>
      <c r="AP1042" s="1747"/>
      <c r="AQ1042" s="1748"/>
      <c r="AR1042" s="68"/>
      <c r="AS1042" s="68"/>
      <c r="AT1042" s="68"/>
      <c r="AU1042" s="68"/>
      <c r="AV1042" s="68"/>
      <c r="AW1042" s="68"/>
      <c r="AX1042" s="68"/>
      <c r="AY1042" s="68"/>
      <c r="BA1042" s="1186">
        <f>T212</f>
        <v>0</v>
      </c>
      <c r="BB1042" s="3" t="s">
        <v>2495</v>
      </c>
    </row>
    <row r="1043" spans="1:56" ht="13" customHeight="1">
      <c r="A1043" s="14"/>
      <c r="B1043" s="73"/>
      <c r="C1043" s="74"/>
      <c r="D1043" s="1715"/>
      <c r="E1043" s="1716"/>
      <c r="F1043" s="1716"/>
      <c r="G1043" s="1716"/>
      <c r="H1043" s="1716"/>
      <c r="I1043" s="1716"/>
      <c r="J1043" s="1716"/>
      <c r="K1043" s="1716"/>
      <c r="L1043" s="1716"/>
      <c r="M1043" s="1716"/>
      <c r="N1043" s="1716"/>
      <c r="O1043" s="1716"/>
      <c r="P1043" s="1716"/>
      <c r="Q1043" s="1716"/>
      <c r="R1043" s="1716"/>
      <c r="S1043" s="1716"/>
      <c r="T1043" s="1716"/>
      <c r="U1043" s="1716"/>
      <c r="V1043" s="1716"/>
      <c r="W1043" s="1716"/>
      <c r="X1043" s="1716"/>
      <c r="Y1043" s="1716"/>
      <c r="Z1043" s="1716"/>
      <c r="AA1043" s="1716"/>
      <c r="AB1043" s="1716"/>
      <c r="AC1043" s="1716"/>
      <c r="AD1043" s="1716"/>
      <c r="AE1043" s="1717"/>
      <c r="AF1043" s="73"/>
      <c r="AG1043" s="14"/>
      <c r="AH1043" s="14"/>
      <c r="AI1043" s="83"/>
      <c r="AJ1043" s="1746"/>
      <c r="AK1043" s="1747"/>
      <c r="AL1043" s="1747"/>
      <c r="AM1043" s="1747"/>
      <c r="AN1043" s="1747"/>
      <c r="AO1043" s="1747"/>
      <c r="AP1043" s="1747"/>
      <c r="AQ1043" s="1748"/>
      <c r="AR1043" s="68"/>
      <c r="AS1043" s="68"/>
      <c r="AT1043" s="68"/>
      <c r="AU1043" s="68"/>
      <c r="AV1043" s="68"/>
      <c r="AW1043" s="68"/>
      <c r="AX1043" s="68"/>
      <c r="AY1043" s="68"/>
    </row>
    <row r="1044" spans="1:56" ht="13" customHeight="1">
      <c r="A1044" s="14"/>
      <c r="B1044" s="73"/>
      <c r="C1044" s="74"/>
      <c r="D1044" s="1773"/>
      <c r="E1044" s="1774"/>
      <c r="F1044" s="1774"/>
      <c r="G1044" s="1774"/>
      <c r="H1044" s="1774"/>
      <c r="I1044" s="1774"/>
      <c r="J1044" s="1774"/>
      <c r="K1044" s="1774"/>
      <c r="L1044" s="1774"/>
      <c r="M1044" s="1774"/>
      <c r="N1044" s="1774"/>
      <c r="O1044" s="1774"/>
      <c r="P1044" s="1774"/>
      <c r="Q1044" s="1774"/>
      <c r="R1044" s="1774"/>
      <c r="S1044" s="1774"/>
      <c r="T1044" s="1774"/>
      <c r="U1044" s="1774"/>
      <c r="V1044" s="1774"/>
      <c r="W1044" s="1774"/>
      <c r="X1044" s="1774"/>
      <c r="Y1044" s="1774"/>
      <c r="Z1044" s="1774"/>
      <c r="AA1044" s="1774"/>
      <c r="AB1044" s="1774"/>
      <c r="AC1044" s="1774"/>
      <c r="AD1044" s="1774"/>
      <c r="AE1044" s="1775"/>
      <c r="AF1044" s="73"/>
      <c r="AG1044" s="14"/>
      <c r="AH1044" s="14"/>
      <c r="AI1044" s="83"/>
      <c r="AJ1044" s="1749"/>
      <c r="AK1044" s="1750"/>
      <c r="AL1044" s="1750"/>
      <c r="AM1044" s="1750"/>
      <c r="AN1044" s="1750"/>
      <c r="AO1044" s="1750"/>
      <c r="AP1044" s="1750"/>
      <c r="AQ1044" s="1751"/>
      <c r="AR1044" s="68"/>
      <c r="AS1044" s="68"/>
      <c r="AT1044" s="68"/>
      <c r="AU1044" s="68"/>
      <c r="AV1044" s="68"/>
      <c r="AW1044" s="68"/>
      <c r="AX1044" s="68"/>
      <c r="AY1044" s="68"/>
    </row>
    <row r="1045" spans="1:56" ht="13" customHeight="1">
      <c r="A1045" s="14"/>
      <c r="B1045" s="79"/>
      <c r="C1045" s="131" t="s">
        <v>1684</v>
      </c>
      <c r="D1045" s="1752" t="s">
        <v>1865</v>
      </c>
      <c r="E1045" s="1753"/>
      <c r="F1045" s="1753"/>
      <c r="G1045" s="1753"/>
      <c r="H1045" s="1753"/>
      <c r="I1045" s="1753"/>
      <c r="J1045" s="1753"/>
      <c r="K1045" s="1753"/>
      <c r="L1045" s="1753"/>
      <c r="M1045" s="1753"/>
      <c r="N1045" s="1753"/>
      <c r="O1045" s="1753"/>
      <c r="P1045" s="1753"/>
      <c r="Q1045" s="1753"/>
      <c r="R1045" s="1753"/>
      <c r="S1045" s="1753"/>
      <c r="T1045" s="1753"/>
      <c r="U1045" s="1753"/>
      <c r="V1045" s="1753"/>
      <c r="W1045" s="1753"/>
      <c r="X1045" s="1753"/>
      <c r="Y1045" s="1753"/>
      <c r="Z1045" s="1753"/>
      <c r="AA1045" s="1753"/>
      <c r="AB1045" s="1753"/>
      <c r="AC1045" s="1753"/>
      <c r="AD1045" s="1753"/>
      <c r="AE1045" s="1754"/>
      <c r="AF1045" s="79"/>
      <c r="AG1045" s="1776" t="str">
        <f>IF(X1048&gt;0,"Yes","No")</f>
        <v>Yes</v>
      </c>
      <c r="AH1045" s="1777"/>
      <c r="AI1045" s="87"/>
      <c r="AJ1045" s="1743">
        <f>IF((X1048=0),0,AY1005*AJ992)</f>
        <v>0</v>
      </c>
      <c r="AK1045" s="1744"/>
      <c r="AL1045" s="1744"/>
      <c r="AM1045" s="1744"/>
      <c r="AN1045" s="1744"/>
      <c r="AO1045" s="1744"/>
      <c r="AP1045" s="1744"/>
      <c r="AQ1045" s="1745"/>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3" customHeight="1">
      <c r="A1046" s="14"/>
      <c r="B1046" s="73"/>
      <c r="C1046" s="443"/>
      <c r="D1046" s="1715" t="s">
        <v>1299</v>
      </c>
      <c r="E1046" s="1716"/>
      <c r="F1046" s="1716"/>
      <c r="G1046" s="1716"/>
      <c r="H1046" s="1716"/>
      <c r="I1046" s="1716"/>
      <c r="J1046" s="1716"/>
      <c r="K1046" s="1716"/>
      <c r="L1046" s="1716"/>
      <c r="M1046" s="1716"/>
      <c r="N1046" s="1716"/>
      <c r="O1046" s="1716"/>
      <c r="P1046" s="1716"/>
      <c r="Q1046" s="1716"/>
      <c r="R1046" s="1716"/>
      <c r="S1046" s="1716"/>
      <c r="T1046" s="1716"/>
      <c r="U1046" s="1716"/>
      <c r="V1046" s="1716"/>
      <c r="W1046" s="1716"/>
      <c r="X1046" s="1716"/>
      <c r="Y1046" s="1716"/>
      <c r="Z1046" s="1716"/>
      <c r="AA1046" s="1716"/>
      <c r="AB1046" s="1716"/>
      <c r="AC1046" s="1716"/>
      <c r="AD1046" s="1716"/>
      <c r="AE1046" s="1717"/>
      <c r="AF1046" s="73"/>
      <c r="AG1046" s="444"/>
      <c r="AH1046" s="444"/>
      <c r="AI1046" s="83"/>
      <c r="AJ1046" s="1746"/>
      <c r="AK1046" s="1747"/>
      <c r="AL1046" s="1747"/>
      <c r="AM1046" s="1747"/>
      <c r="AN1046" s="1747"/>
      <c r="AO1046" s="1747"/>
      <c r="AP1046" s="1747"/>
      <c r="AQ1046" s="1748"/>
      <c r="AR1046" s="68"/>
      <c r="AS1046" s="68"/>
      <c r="AT1046" s="68"/>
      <c r="AU1046" s="13"/>
      <c r="AV1046" s="68"/>
      <c r="AW1046" s="68"/>
      <c r="AX1046" s="68"/>
      <c r="AY1046" s="68"/>
      <c r="AZ1046" s="963">
        <f>'Sources and Uses Budget'!S97*BA1046</f>
        <v>8397213.9000000004</v>
      </c>
      <c r="BA1046" s="1184">
        <f>IF(BA1040,20%,15%)</f>
        <v>0.15</v>
      </c>
      <c r="BB1046" s="3" t="s">
        <v>2482</v>
      </c>
      <c r="BC1046" s="3" t="s">
        <v>2483</v>
      </c>
      <c r="BD1046" s="3"/>
    </row>
    <row r="1047" spans="1:56" ht="13" customHeight="1">
      <c r="A1047" s="14"/>
      <c r="B1047" s="73"/>
      <c r="C1047" s="443"/>
      <c r="D1047" s="1715"/>
      <c r="E1047" s="1716"/>
      <c r="F1047" s="1716"/>
      <c r="G1047" s="1716"/>
      <c r="H1047" s="1716"/>
      <c r="I1047" s="1716"/>
      <c r="J1047" s="1716"/>
      <c r="K1047" s="1716"/>
      <c r="L1047" s="1716"/>
      <c r="M1047" s="1716"/>
      <c r="N1047" s="1716"/>
      <c r="O1047" s="1716"/>
      <c r="P1047" s="1716"/>
      <c r="Q1047" s="1716"/>
      <c r="R1047" s="1716"/>
      <c r="S1047" s="1716"/>
      <c r="T1047" s="1716"/>
      <c r="U1047" s="1716"/>
      <c r="V1047" s="1716"/>
      <c r="W1047" s="1716"/>
      <c r="X1047" s="1716"/>
      <c r="Y1047" s="1716"/>
      <c r="Z1047" s="1716"/>
      <c r="AA1047" s="1716"/>
      <c r="AB1047" s="1716"/>
      <c r="AC1047" s="1716"/>
      <c r="AD1047" s="1716"/>
      <c r="AE1047" s="1717"/>
      <c r="AF1047" s="73"/>
      <c r="AG1047" s="444"/>
      <c r="AH1047" s="444"/>
      <c r="AI1047" s="83"/>
      <c r="AJ1047" s="1746"/>
      <c r="AK1047" s="1747"/>
      <c r="AL1047" s="1747"/>
      <c r="AM1047" s="1747"/>
      <c r="AN1047" s="1747"/>
      <c r="AO1047" s="1747"/>
      <c r="AP1047" s="1747"/>
      <c r="AQ1047" s="1748"/>
      <c r="AR1047" s="68"/>
      <c r="AS1047" s="68"/>
      <c r="AT1047" s="68"/>
      <c r="AU1047" s="13"/>
      <c r="AV1047" s="68"/>
      <c r="AW1047" s="68"/>
      <c r="AX1047" s="68"/>
      <c r="AY1047" s="68"/>
      <c r="AZ1047" s="963">
        <f>IF(M356="N/A",0,'Sources and Uses Budget'!T97*BA1047)</f>
        <v>4635000</v>
      </c>
      <c r="BA1047" s="1184">
        <v>0.15</v>
      </c>
      <c r="BB1047" s="3" t="s">
        <v>2482</v>
      </c>
      <c r="BC1047" s="3" t="s">
        <v>2484</v>
      </c>
      <c r="BD1047" s="3"/>
    </row>
    <row r="1048" spans="1:56" ht="13" customHeight="1">
      <c r="A1048" s="14"/>
      <c r="B1048" s="77"/>
      <c r="C1048" s="78"/>
      <c r="D1048" s="132" t="s">
        <v>972</v>
      </c>
      <c r="E1048" s="133"/>
      <c r="F1048" s="133"/>
      <c r="G1048" s="133"/>
      <c r="H1048" s="133"/>
      <c r="I1048" s="1847">
        <f>AY1003</f>
        <v>239</v>
      </c>
      <c r="J1048" s="1848"/>
      <c r="K1048" s="7"/>
      <c r="L1048" s="133"/>
      <c r="M1048" s="133"/>
      <c r="N1048" s="133"/>
      <c r="O1048" s="133"/>
      <c r="P1048" s="133"/>
      <c r="Q1048" s="133"/>
      <c r="R1048" s="133"/>
      <c r="S1048" s="133"/>
      <c r="T1048" s="133"/>
      <c r="U1048" s="133"/>
      <c r="V1048" s="134" t="s">
        <v>973</v>
      </c>
      <c r="W1048" s="48"/>
      <c r="X1048" s="1845">
        <f>CI753</f>
        <v>1</v>
      </c>
      <c r="Y1048" s="1846"/>
      <c r="Z1048" s="48"/>
      <c r="AA1048" s="48"/>
      <c r="AB1048" s="48"/>
      <c r="AC1048" s="48"/>
      <c r="AD1048" s="48"/>
      <c r="AE1048" s="49"/>
      <c r="AF1048" s="925"/>
      <c r="AG1048" s="926"/>
      <c r="AH1048" s="926"/>
      <c r="AI1048" s="927"/>
      <c r="AJ1048" s="1749"/>
      <c r="AK1048" s="1750"/>
      <c r="AL1048" s="1750"/>
      <c r="AM1048" s="1750"/>
      <c r="AN1048" s="1750"/>
      <c r="AO1048" s="1750"/>
      <c r="AP1048" s="1750"/>
      <c r="AQ1048" s="1751"/>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2482</v>
      </c>
      <c r="BC1048" s="3" t="s">
        <v>2485</v>
      </c>
      <c r="BD1048" s="3"/>
    </row>
    <row r="1049" spans="1:56" ht="13" customHeight="1">
      <c r="A1049" s="14"/>
      <c r="B1049" s="79"/>
      <c r="C1049" s="131" t="s">
        <v>1685</v>
      </c>
      <c r="D1049" s="1785" t="s">
        <v>2172</v>
      </c>
      <c r="E1049" s="1786"/>
      <c r="F1049" s="1786"/>
      <c r="G1049" s="1786"/>
      <c r="H1049" s="1786"/>
      <c r="I1049" s="1786"/>
      <c r="J1049" s="1786"/>
      <c r="K1049" s="1786"/>
      <c r="L1049" s="1786"/>
      <c r="M1049" s="1786"/>
      <c r="N1049" s="1786"/>
      <c r="O1049" s="1786"/>
      <c r="P1049" s="1786"/>
      <c r="Q1049" s="1786"/>
      <c r="R1049" s="1786"/>
      <c r="S1049" s="1786"/>
      <c r="T1049" s="1786"/>
      <c r="U1049" s="1786"/>
      <c r="V1049" s="1786"/>
      <c r="W1049" s="1786"/>
      <c r="X1049" s="1786"/>
      <c r="Y1049" s="1786"/>
      <c r="Z1049" s="1786"/>
      <c r="AA1049" s="1786"/>
      <c r="AB1049" s="1786"/>
      <c r="AC1049" s="1786"/>
      <c r="AD1049" s="1786"/>
      <c r="AE1049" s="1787"/>
      <c r="AF1049" s="73"/>
      <c r="AG1049" s="1776" t="str">
        <f>IF(X1052&gt;0,"Yes","No")</f>
        <v>Yes</v>
      </c>
      <c r="AH1049" s="1777"/>
      <c r="AI1049" s="83"/>
      <c r="AJ1049" s="1743">
        <f>IF((X1052=0),0,(2*AY1006)*AJ992)</f>
        <v>107222367.72</v>
      </c>
      <c r="AK1049" s="1744"/>
      <c r="AL1049" s="1744"/>
      <c r="AM1049" s="1744"/>
      <c r="AN1049" s="1744"/>
      <c r="AO1049" s="1744"/>
      <c r="AP1049" s="1744"/>
      <c r="AQ1049" s="1745"/>
      <c r="AR1049" s="68"/>
      <c r="AS1049" s="68"/>
      <c r="AT1049" s="68"/>
      <c r="AU1049" s="14"/>
      <c r="AV1049" s="68"/>
      <c r="AW1049" s="68"/>
      <c r="AX1049" s="68"/>
      <c r="AY1049" s="68"/>
      <c r="AZ1049" s="963">
        <f>AZ1045*BA1049</f>
        <v>0</v>
      </c>
      <c r="BA1049" s="1184">
        <v>0.15</v>
      </c>
      <c r="BB1049" s="3" t="s">
        <v>2482</v>
      </c>
      <c r="BC1049" s="3" t="s">
        <v>2486</v>
      </c>
      <c r="BD1049" s="3"/>
    </row>
    <row r="1050" spans="1:56" ht="13" customHeight="1">
      <c r="A1050" s="14"/>
      <c r="B1050" s="73"/>
      <c r="C1050" s="443"/>
      <c r="D1050" s="1715" t="s">
        <v>1298</v>
      </c>
      <c r="E1050" s="1716"/>
      <c r="F1050" s="1716"/>
      <c r="G1050" s="1716"/>
      <c r="H1050" s="1716"/>
      <c r="I1050" s="1716"/>
      <c r="J1050" s="1716"/>
      <c r="K1050" s="1716"/>
      <c r="L1050" s="1716"/>
      <c r="M1050" s="1716"/>
      <c r="N1050" s="1716"/>
      <c r="O1050" s="1716"/>
      <c r="P1050" s="1716"/>
      <c r="Q1050" s="1716"/>
      <c r="R1050" s="1716"/>
      <c r="S1050" s="1716"/>
      <c r="T1050" s="1716"/>
      <c r="U1050" s="1716"/>
      <c r="V1050" s="1716"/>
      <c r="W1050" s="1716"/>
      <c r="X1050" s="1716"/>
      <c r="Y1050" s="1716"/>
      <c r="Z1050" s="1716"/>
      <c r="AA1050" s="1716"/>
      <c r="AB1050" s="1716"/>
      <c r="AC1050" s="1716"/>
      <c r="AD1050" s="1716"/>
      <c r="AE1050" s="1717"/>
      <c r="AF1050" s="73"/>
      <c r="AG1050" s="444"/>
      <c r="AH1050" s="444"/>
      <c r="AI1050" s="83"/>
      <c r="AJ1050" s="1746"/>
      <c r="AK1050" s="1747"/>
      <c r="AL1050" s="1747"/>
      <c r="AM1050" s="1747"/>
      <c r="AN1050" s="1747"/>
      <c r="AO1050" s="1747"/>
      <c r="AP1050" s="1747"/>
      <c r="AQ1050" s="1748"/>
      <c r="AR1050" s="68"/>
      <c r="AS1050" s="68"/>
      <c r="AT1050" s="68"/>
      <c r="AU1050" s="68"/>
      <c r="AV1050" s="68"/>
      <c r="AW1050" s="68"/>
      <c r="AX1050" s="68"/>
      <c r="AY1050" s="68"/>
      <c r="AZ1050" s="963"/>
      <c r="BA1050" s="3"/>
      <c r="BB1050" s="3"/>
      <c r="BC1050" s="3"/>
      <c r="BD1050" s="3"/>
    </row>
    <row r="1051" spans="1:56" ht="13" customHeight="1">
      <c r="A1051" s="14"/>
      <c r="B1051" s="73"/>
      <c r="C1051" s="83"/>
      <c r="D1051" s="1715"/>
      <c r="E1051" s="1716"/>
      <c r="F1051" s="1716"/>
      <c r="G1051" s="1716"/>
      <c r="H1051" s="1716"/>
      <c r="I1051" s="1716"/>
      <c r="J1051" s="1716"/>
      <c r="K1051" s="1716"/>
      <c r="L1051" s="1716"/>
      <c r="M1051" s="1716"/>
      <c r="N1051" s="1716"/>
      <c r="O1051" s="1716"/>
      <c r="P1051" s="1716"/>
      <c r="Q1051" s="1716"/>
      <c r="R1051" s="1716"/>
      <c r="S1051" s="1716"/>
      <c r="T1051" s="1716"/>
      <c r="U1051" s="1716"/>
      <c r="V1051" s="1716"/>
      <c r="W1051" s="1716"/>
      <c r="X1051" s="1716"/>
      <c r="Y1051" s="1716"/>
      <c r="Z1051" s="1716"/>
      <c r="AA1051" s="1716"/>
      <c r="AB1051" s="1716"/>
      <c r="AC1051" s="1716"/>
      <c r="AD1051" s="1716"/>
      <c r="AE1051" s="1717"/>
      <c r="AF1051" s="922"/>
      <c r="AG1051" s="923"/>
      <c r="AH1051" s="923"/>
      <c r="AI1051" s="924"/>
      <c r="AJ1051" s="1746"/>
      <c r="AK1051" s="1747"/>
      <c r="AL1051" s="1747"/>
      <c r="AM1051" s="1747"/>
      <c r="AN1051" s="1747"/>
      <c r="AO1051" s="1747"/>
      <c r="AP1051" s="1747"/>
      <c r="AQ1051" s="1748"/>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847">
        <f>AY1003</f>
        <v>239</v>
      </c>
      <c r="J1052" s="1848"/>
      <c r="K1052" s="14"/>
      <c r="L1052" s="133"/>
      <c r="M1052" s="133"/>
      <c r="N1052" s="133"/>
      <c r="O1052" s="133"/>
      <c r="P1052" s="133"/>
      <c r="Q1052" s="133"/>
      <c r="R1052" s="133"/>
      <c r="S1052" s="133"/>
      <c r="T1052" s="133"/>
      <c r="U1052" s="133"/>
      <c r="V1052" s="134" t="s">
        <v>974</v>
      </c>
      <c r="X1052" s="1845">
        <f>CM753</f>
        <v>95</v>
      </c>
      <c r="Y1052" s="1846"/>
      <c r="AF1052" s="925"/>
      <c r="AG1052" s="926"/>
      <c r="AH1052" s="926"/>
      <c r="AI1052" s="927"/>
      <c r="AJ1052" s="1749"/>
      <c r="AK1052" s="1750"/>
      <c r="AL1052" s="1750"/>
      <c r="AM1052" s="1750"/>
      <c r="AN1052" s="1750"/>
      <c r="AO1052" s="1750"/>
      <c r="AP1052" s="1750"/>
      <c r="AQ1052" s="1751"/>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3" customHeight="1">
      <c r="A1053" s="14"/>
      <c r="B1053" s="102"/>
      <c r="C1053" s="103"/>
      <c r="D1053" s="1758" t="s">
        <v>514</v>
      </c>
      <c r="E1053" s="1758"/>
      <c r="F1053" s="1758"/>
      <c r="G1053" s="1758"/>
      <c r="H1053" s="1758"/>
      <c r="I1053" s="1758"/>
      <c r="J1053" s="1758"/>
      <c r="K1053" s="1758"/>
      <c r="L1053" s="1758"/>
      <c r="M1053" s="1758"/>
      <c r="N1053" s="1758"/>
      <c r="O1053" s="1758"/>
      <c r="P1053" s="1758"/>
      <c r="Q1053" s="1758"/>
      <c r="R1053" s="1758"/>
      <c r="S1053" s="1758"/>
      <c r="T1053" s="1758"/>
      <c r="U1053" s="1758"/>
      <c r="V1053" s="1758"/>
      <c r="W1053" s="1758"/>
      <c r="X1053" s="1758"/>
      <c r="Y1053" s="1758"/>
      <c r="Z1053" s="1758"/>
      <c r="AA1053" s="1758"/>
      <c r="AB1053" s="1758"/>
      <c r="AC1053" s="1758"/>
      <c r="AD1053" s="1758"/>
      <c r="AE1053" s="1758"/>
      <c r="AF1053" s="1758"/>
      <c r="AG1053" s="1758"/>
      <c r="AH1053" s="1758"/>
      <c r="AI1053" s="1759"/>
      <c r="AJ1053" s="1828">
        <f>SUM(AJ992:AQ1052)</f>
        <v>279976673.72000003</v>
      </c>
      <c r="AK1053" s="1829"/>
      <c r="AL1053" s="1829"/>
      <c r="AM1053" s="1829"/>
      <c r="AN1053" s="1829"/>
      <c r="AO1053" s="1829"/>
      <c r="AP1053" s="1829"/>
      <c r="AQ1053" s="1830"/>
      <c r="AR1053" s="68"/>
      <c r="AS1053" s="68"/>
      <c r="AT1053" s="68"/>
      <c r="AU1053" s="68"/>
      <c r="AV1053" s="68"/>
      <c r="AW1053" s="68"/>
      <c r="AX1053" s="68"/>
      <c r="AY1053" s="68"/>
      <c r="AZ1053" s="1183">
        <v>6000000</v>
      </c>
      <c r="BA1053" s="3" t="s">
        <v>2489</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3"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40">
        <f>'Sources and Uses Budget'!S107+'Sources and Uses Budget'!T107</f>
        <v>102712711</v>
      </c>
      <c r="AB1056" s="1340"/>
      <c r="AC1056" s="1340"/>
      <c r="AD1056" s="1340"/>
      <c r="AE1056" s="1340"/>
      <c r="AF1056" s="1340"/>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13032213.9</v>
      </c>
      <c r="BB1056" s="3" t="s">
        <v>2491</v>
      </c>
      <c r="BC1056" s="3"/>
      <c r="BD1056" s="3"/>
    </row>
    <row r="1057" spans="1:54" ht="13"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1">
        <f>IFERROR((AA1056-BA1059)/(AJ1053-AJ1045-AJ1049),"")</f>
        <v>0.51739043772373461</v>
      </c>
      <c r="AB1057" s="1342"/>
      <c r="AC1057" s="1342"/>
      <c r="AD1057" s="1342"/>
      <c r="AE1057" s="1342"/>
      <c r="AF1057" s="1343"/>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7">
        <f>'Sources and Uses Budget'!$S$104+'Sources and Uses Budget'!$T$104</f>
        <v>15831285</v>
      </c>
      <c r="BB1058" s="3" t="s">
        <v>2497</v>
      </c>
    </row>
    <row r="1059" spans="1:54" ht="13" customHeight="1">
      <c r="A1059" s="14"/>
      <c r="B1059" s="14"/>
      <c r="C1059" s="209"/>
      <c r="D1059" s="859"/>
      <c r="E1059" s="859"/>
      <c r="F1059" s="859"/>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8">
        <f>MAX($BA$1058-$BA$1055,0)</f>
        <v>13331285</v>
      </c>
      <c r="BB1059" s="3" t="s">
        <v>2498</v>
      </c>
    </row>
    <row r="1060" spans="1:54" ht="13" customHeight="1">
      <c r="A1060" s="88"/>
      <c r="B1060" s="1174"/>
      <c r="C1060" s="1174"/>
      <c r="D1060" s="1174"/>
      <c r="E1060" s="1174"/>
      <c r="F1060" s="1174"/>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4"/>
      <c r="AP1060" s="1174"/>
      <c r="AQ1060" s="68"/>
      <c r="AR1060" s="68"/>
      <c r="AS1060" s="68"/>
      <c r="AT1060" s="68"/>
      <c r="AU1060" s="68"/>
      <c r="AV1060" s="68"/>
      <c r="AW1060" s="68"/>
      <c r="AX1060" s="68"/>
      <c r="AY1060" s="68"/>
    </row>
    <row r="1061" spans="1:54" ht="13" customHeight="1">
      <c r="A1061" s="1809" t="s">
        <v>795</v>
      </c>
      <c r="B1061" s="1809"/>
      <c r="C1061" s="1809"/>
      <c r="D1061" s="1809"/>
      <c r="E1061" s="1809"/>
      <c r="F1061" s="1809"/>
      <c r="G1061" s="1809"/>
      <c r="H1061" s="1809"/>
      <c r="I1061" s="1809"/>
      <c r="J1061" s="1809"/>
      <c r="K1061" s="1809"/>
      <c r="L1061" s="1809"/>
      <c r="M1061" s="1809"/>
      <c r="N1061" s="1809"/>
      <c r="O1061" s="1809"/>
      <c r="P1061" s="1809"/>
      <c r="Q1061" s="1809"/>
      <c r="R1061" s="1809"/>
      <c r="S1061" s="1809"/>
      <c r="T1061" s="1809"/>
      <c r="U1061" s="1809"/>
      <c r="V1061" s="1809"/>
      <c r="W1061" s="1809"/>
      <c r="X1061" s="1809"/>
      <c r="Y1061" s="1809"/>
      <c r="Z1061" s="1809"/>
      <c r="AA1061" s="1809"/>
      <c r="AB1061" s="1809"/>
      <c r="AC1061" s="1809"/>
      <c r="AD1061" s="1809"/>
      <c r="AE1061" s="1809"/>
      <c r="AF1061" s="1809"/>
      <c r="AG1061" s="1809"/>
      <c r="AH1061" s="1809"/>
      <c r="AI1061" s="1809"/>
      <c r="AJ1061" s="1809"/>
      <c r="AK1061" s="1809"/>
      <c r="AL1061" s="1809"/>
      <c r="AM1061" s="1809"/>
      <c r="AN1061" s="1809"/>
      <c r="AO1061" s="1809"/>
      <c r="AP1061" s="1809"/>
      <c r="AQ1061" s="1809"/>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97" t="s">
        <v>592</v>
      </c>
      <c r="B1065" s="1397"/>
      <c r="C1065" s="1856">
        <v>1</v>
      </c>
      <c r="D1065" s="1856"/>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6"/>
      <c r="D1066" s="185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97" t="s">
        <v>592</v>
      </c>
      <c r="B1067" s="1397"/>
      <c r="C1067" s="1856">
        <v>2</v>
      </c>
      <c r="D1067" s="1856"/>
      <c r="E1067" s="1855" t="s">
        <v>2241</v>
      </c>
      <c r="F1067" s="1855"/>
      <c r="G1067" s="1855"/>
      <c r="H1067" s="1855"/>
      <c r="I1067" s="1855"/>
      <c r="J1067" s="1855"/>
      <c r="K1067" s="1855"/>
      <c r="L1067" s="1855"/>
      <c r="M1067" s="1855"/>
      <c r="N1067" s="1855"/>
      <c r="O1067" s="1855"/>
      <c r="P1067" s="1855"/>
      <c r="Q1067" s="1855"/>
      <c r="R1067" s="1855"/>
      <c r="S1067" s="1855"/>
      <c r="T1067" s="1855"/>
      <c r="U1067" s="1855"/>
      <c r="V1067" s="1855"/>
      <c r="W1067" s="1855"/>
      <c r="X1067" s="1855"/>
      <c r="Y1067" s="1855"/>
      <c r="Z1067" s="1855"/>
      <c r="AA1067" s="1855"/>
      <c r="AB1067" s="1855"/>
      <c r="AC1067" s="1855"/>
      <c r="AD1067" s="1855"/>
      <c r="AE1067" s="1855"/>
      <c r="AF1067" s="1855"/>
      <c r="AG1067" s="1855"/>
      <c r="AH1067" s="1855"/>
      <c r="AI1067" s="1855"/>
      <c r="AJ1067" s="1855"/>
      <c r="AK1067" s="1855"/>
      <c r="AL1067" s="1855"/>
      <c r="AM1067" s="1855"/>
      <c r="AN1067" s="1855"/>
      <c r="AO1067" s="1855"/>
      <c r="AP1067" s="1855"/>
      <c r="AQ1067" s="1855"/>
      <c r="AR1067" s="1855"/>
      <c r="AS1067" s="14"/>
      <c r="AT1067" s="14"/>
      <c r="AV1067" s="68"/>
      <c r="AW1067" s="68"/>
      <c r="AX1067" s="68"/>
      <c r="AY1067" s="68"/>
    </row>
    <row r="1068" spans="1:54" ht="13" customHeight="1">
      <c r="A1068" s="198"/>
      <c r="B1068" s="67"/>
      <c r="C1068" s="1856"/>
      <c r="D1068" s="1856"/>
      <c r="E1068" s="1855"/>
      <c r="F1068" s="1855"/>
      <c r="G1068" s="1855"/>
      <c r="H1068" s="1855"/>
      <c r="I1068" s="1855"/>
      <c r="J1068" s="1855"/>
      <c r="K1068" s="1855"/>
      <c r="L1068" s="1855"/>
      <c r="M1068" s="1855"/>
      <c r="N1068" s="1855"/>
      <c r="O1068" s="1855"/>
      <c r="P1068" s="1855"/>
      <c r="Q1068" s="1855"/>
      <c r="R1068" s="1855"/>
      <c r="S1068" s="1855"/>
      <c r="T1068" s="1855"/>
      <c r="U1068" s="1855"/>
      <c r="V1068" s="1855"/>
      <c r="W1068" s="1855"/>
      <c r="X1068" s="1855"/>
      <c r="Y1068" s="1855"/>
      <c r="Z1068" s="1855"/>
      <c r="AA1068" s="1855"/>
      <c r="AB1068" s="1855"/>
      <c r="AC1068" s="1855"/>
      <c r="AD1068" s="1855"/>
      <c r="AE1068" s="1855"/>
      <c r="AF1068" s="1855"/>
      <c r="AG1068" s="1855"/>
      <c r="AH1068" s="1855"/>
      <c r="AI1068" s="1855"/>
      <c r="AJ1068" s="1855"/>
      <c r="AK1068" s="1855"/>
      <c r="AL1068" s="1855"/>
      <c r="AM1068" s="1855"/>
      <c r="AN1068" s="1855"/>
      <c r="AO1068" s="1855"/>
      <c r="AP1068" s="1855"/>
      <c r="AQ1068" s="1855"/>
      <c r="AR1068" s="1855"/>
      <c r="AS1068" s="14"/>
      <c r="AT1068" s="14"/>
      <c r="AV1068" s="68"/>
      <c r="AW1068" s="68"/>
      <c r="AX1068" s="68"/>
      <c r="AY1068" s="68"/>
    </row>
    <row r="1069" spans="1:54" ht="13" customHeight="1">
      <c r="A1069" s="198"/>
      <c r="B1069" s="67"/>
      <c r="C1069" s="1856"/>
      <c r="D1069" s="185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97" t="s">
        <v>592</v>
      </c>
      <c r="B1070" s="1397"/>
      <c r="C1070" s="1391">
        <v>3</v>
      </c>
      <c r="D1070" s="1391"/>
      <c r="E1070" s="1327" t="s">
        <v>1080</v>
      </c>
      <c r="F1070" s="1327"/>
      <c r="G1070" s="1327"/>
      <c r="H1070" s="1327"/>
      <c r="I1070" s="1327"/>
      <c r="J1070" s="1327"/>
      <c r="K1070" s="1327"/>
      <c r="L1070" s="1327"/>
      <c r="M1070" s="1327"/>
      <c r="N1070" s="1327"/>
      <c r="O1070" s="1327"/>
      <c r="P1070" s="1327"/>
      <c r="Q1070" s="1327"/>
      <c r="R1070" s="1327"/>
      <c r="S1070" s="1327"/>
      <c r="T1070" s="1327"/>
      <c r="U1070" s="1327"/>
      <c r="V1070" s="1327"/>
      <c r="W1070" s="1327"/>
      <c r="X1070" s="1327"/>
      <c r="Y1070" s="1327"/>
      <c r="Z1070" s="1327"/>
      <c r="AA1070" s="1327"/>
      <c r="AB1070" s="1327"/>
      <c r="AC1070" s="1327"/>
      <c r="AD1070" s="1327"/>
      <c r="AE1070" s="1327"/>
      <c r="AF1070" s="1327"/>
      <c r="AG1070" s="1327"/>
      <c r="AH1070" s="1327"/>
      <c r="AI1070" s="1327"/>
      <c r="AJ1070" s="1327"/>
      <c r="AK1070" s="1327"/>
      <c r="AL1070" s="1327"/>
      <c r="AM1070" s="1327"/>
      <c r="AN1070" s="1327"/>
      <c r="AO1070" s="1327"/>
      <c r="AP1070" s="1327"/>
      <c r="AQ1070" s="1327"/>
      <c r="AR1070" s="1327"/>
      <c r="AS1070" s="14"/>
      <c r="AT1070" s="68"/>
      <c r="AV1070" s="68"/>
      <c r="AW1070" s="68"/>
      <c r="AX1070" s="68"/>
      <c r="AY1070" s="68"/>
    </row>
    <row r="1071" spans="1:54" ht="13" customHeight="1">
      <c r="A1071" s="1"/>
      <c r="B1071" s="1"/>
      <c r="C1071" s="1391"/>
      <c r="D1071" s="1391"/>
      <c r="E1071" s="1327"/>
      <c r="F1071" s="1327"/>
      <c r="G1071" s="1327"/>
      <c r="H1071" s="1327"/>
      <c r="I1071" s="1327"/>
      <c r="J1071" s="1327"/>
      <c r="K1071" s="1327"/>
      <c r="L1071" s="1327"/>
      <c r="M1071" s="1327"/>
      <c r="N1071" s="1327"/>
      <c r="O1071" s="1327"/>
      <c r="P1071" s="1327"/>
      <c r="Q1071" s="1327"/>
      <c r="R1071" s="1327"/>
      <c r="S1071" s="1327"/>
      <c r="T1071" s="1327"/>
      <c r="U1071" s="1327"/>
      <c r="V1071" s="1327"/>
      <c r="W1071" s="1327"/>
      <c r="X1071" s="1327"/>
      <c r="Y1071" s="1327"/>
      <c r="Z1071" s="1327"/>
      <c r="AA1071" s="1327"/>
      <c r="AB1071" s="1327"/>
      <c r="AC1071" s="1327"/>
      <c r="AD1071" s="1327"/>
      <c r="AE1071" s="1327"/>
      <c r="AF1071" s="1327"/>
      <c r="AG1071" s="1327"/>
      <c r="AH1071" s="1327"/>
      <c r="AI1071" s="1327"/>
      <c r="AJ1071" s="1327"/>
      <c r="AK1071" s="1327"/>
      <c r="AL1071" s="1327"/>
      <c r="AM1071" s="1327"/>
      <c r="AN1071" s="1327"/>
      <c r="AO1071" s="1327"/>
      <c r="AP1071" s="1327"/>
      <c r="AQ1071" s="1327"/>
      <c r="AR1071" s="1327"/>
      <c r="AS1071" s="14"/>
      <c r="AT1071" s="68"/>
      <c r="AV1071" s="68"/>
      <c r="AW1071" s="68"/>
      <c r="AX1071" s="68"/>
      <c r="AY1071" s="68"/>
    </row>
    <row r="1072" spans="1:54" ht="13" customHeight="1">
      <c r="A1072" s="1"/>
      <c r="B1072" s="1"/>
      <c r="C1072" s="1391"/>
      <c r="D1072" s="1391"/>
      <c r="E1072" s="1327"/>
      <c r="F1072" s="1327"/>
      <c r="G1072" s="1327"/>
      <c r="H1072" s="1327"/>
      <c r="I1072" s="1327"/>
      <c r="J1072" s="1327"/>
      <c r="K1072" s="1327"/>
      <c r="L1072" s="1327"/>
      <c r="M1072" s="1327"/>
      <c r="N1072" s="1327"/>
      <c r="O1072" s="1327"/>
      <c r="P1072" s="1327"/>
      <c r="Q1072" s="1327"/>
      <c r="R1072" s="1327"/>
      <c r="S1072" s="1327"/>
      <c r="T1072" s="1327"/>
      <c r="U1072" s="1327"/>
      <c r="V1072" s="1327"/>
      <c r="W1072" s="1327"/>
      <c r="X1072" s="1327"/>
      <c r="Y1072" s="1327"/>
      <c r="Z1072" s="1327"/>
      <c r="AA1072" s="1327"/>
      <c r="AB1072" s="1327"/>
      <c r="AC1072" s="1327"/>
      <c r="AD1072" s="1327"/>
      <c r="AE1072" s="1327"/>
      <c r="AF1072" s="1327"/>
      <c r="AG1072" s="1327"/>
      <c r="AH1072" s="1327"/>
      <c r="AI1072" s="1327"/>
      <c r="AJ1072" s="1327"/>
      <c r="AK1072" s="1327"/>
      <c r="AL1072" s="1327"/>
      <c r="AM1072" s="1327"/>
      <c r="AN1072" s="1327"/>
      <c r="AO1072" s="1327"/>
      <c r="AP1072" s="1327"/>
      <c r="AQ1072" s="1327"/>
      <c r="AR1072" s="1327"/>
      <c r="AS1072" s="14"/>
      <c r="AT1072" s="68"/>
      <c r="AV1072" s="68"/>
      <c r="AW1072" s="68"/>
      <c r="AX1072" s="68"/>
      <c r="AY1072" s="68"/>
    </row>
    <row r="1073" spans="1:51" ht="13" customHeight="1">
      <c r="A1073" s="1"/>
      <c r="B1073" s="1"/>
      <c r="C1073" s="1391"/>
      <c r="D1073" s="1391"/>
      <c r="E1073" s="1327"/>
      <c r="F1073" s="1327"/>
      <c r="G1073" s="1327"/>
      <c r="H1073" s="1327"/>
      <c r="I1073" s="1327"/>
      <c r="J1073" s="1327"/>
      <c r="K1073" s="1327"/>
      <c r="L1073" s="1327"/>
      <c r="M1073" s="1327"/>
      <c r="N1073" s="1327"/>
      <c r="O1073" s="1327"/>
      <c r="P1073" s="1327"/>
      <c r="Q1073" s="1327"/>
      <c r="R1073" s="1327"/>
      <c r="S1073" s="1327"/>
      <c r="T1073" s="1327"/>
      <c r="U1073" s="1327"/>
      <c r="V1073" s="1327"/>
      <c r="W1073" s="1327"/>
      <c r="X1073" s="1327"/>
      <c r="Y1073" s="1327"/>
      <c r="Z1073" s="1327"/>
      <c r="AA1073" s="1327"/>
      <c r="AB1073" s="1327"/>
      <c r="AC1073" s="1327"/>
      <c r="AD1073" s="1327"/>
      <c r="AE1073" s="1327"/>
      <c r="AF1073" s="1327"/>
      <c r="AG1073" s="1327"/>
      <c r="AH1073" s="1327"/>
      <c r="AI1073" s="1327"/>
      <c r="AJ1073" s="1327"/>
      <c r="AK1073" s="1327"/>
      <c r="AL1073" s="1327"/>
      <c r="AM1073" s="1327"/>
      <c r="AN1073" s="1327"/>
      <c r="AO1073" s="1327"/>
      <c r="AP1073" s="1327"/>
      <c r="AQ1073" s="1327"/>
      <c r="AR1073" s="1327"/>
      <c r="AS1073" s="14"/>
      <c r="AT1073" s="68"/>
      <c r="AV1073" s="68"/>
      <c r="AW1073" s="68"/>
      <c r="AX1073" s="68"/>
      <c r="AY1073" s="68"/>
    </row>
    <row r="1074" spans="1:51" ht="13" customHeight="1">
      <c r="A1074" s="2"/>
      <c r="B1074" s="25"/>
      <c r="C1074" s="1391"/>
      <c r="D1074" s="1391"/>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397" t="s">
        <v>592</v>
      </c>
      <c r="B1075" s="1397"/>
      <c r="C1075" s="1391">
        <v>4</v>
      </c>
      <c r="D1075" s="1391"/>
      <c r="E1075" s="1327" t="s">
        <v>1079</v>
      </c>
      <c r="F1075" s="1327"/>
      <c r="G1075" s="1327"/>
      <c r="H1075" s="1327"/>
      <c r="I1075" s="1327"/>
      <c r="J1075" s="1327"/>
      <c r="K1075" s="1327"/>
      <c r="L1075" s="1327"/>
      <c r="M1075" s="1327"/>
      <c r="N1075" s="1327"/>
      <c r="O1075" s="1327"/>
      <c r="P1075" s="1327"/>
      <c r="Q1075" s="1327"/>
      <c r="R1075" s="1327"/>
      <c r="S1075" s="1327"/>
      <c r="T1075" s="1327"/>
      <c r="U1075" s="1327"/>
      <c r="V1075" s="1327"/>
      <c r="W1075" s="1327"/>
      <c r="X1075" s="1327"/>
      <c r="Y1075" s="1327"/>
      <c r="Z1075" s="1327"/>
      <c r="AA1075" s="1327"/>
      <c r="AB1075" s="1327"/>
      <c r="AC1075" s="1327"/>
      <c r="AD1075" s="1327"/>
      <c r="AE1075" s="1327"/>
      <c r="AF1075" s="1327"/>
      <c r="AG1075" s="1327"/>
      <c r="AH1075" s="1327"/>
      <c r="AI1075" s="1327"/>
      <c r="AJ1075" s="1327"/>
      <c r="AK1075" s="1327"/>
      <c r="AL1075" s="1327"/>
      <c r="AM1075" s="1327"/>
      <c r="AN1075" s="1327"/>
      <c r="AO1075" s="1327"/>
      <c r="AP1075" s="1327"/>
      <c r="AQ1075" s="1327"/>
      <c r="AR1075" s="1327"/>
      <c r="AS1075" s="14"/>
      <c r="AT1075" s="68"/>
    </row>
    <row r="1076" spans="1:51" ht="13" customHeight="1">
      <c r="A1076" s="1"/>
      <c r="B1076" s="1"/>
      <c r="C1076" s="1391"/>
      <c r="D1076" s="1391"/>
      <c r="E1076" s="1327"/>
      <c r="F1076" s="1327"/>
      <c r="G1076" s="1327"/>
      <c r="H1076" s="1327"/>
      <c r="I1076" s="1327"/>
      <c r="J1076" s="1327"/>
      <c r="K1076" s="1327"/>
      <c r="L1076" s="1327"/>
      <c r="M1076" s="1327"/>
      <c r="N1076" s="1327"/>
      <c r="O1076" s="1327"/>
      <c r="P1076" s="1327"/>
      <c r="Q1076" s="1327"/>
      <c r="R1076" s="1327"/>
      <c r="S1076" s="1327"/>
      <c r="T1076" s="1327"/>
      <c r="U1076" s="1327"/>
      <c r="V1076" s="1327"/>
      <c r="W1076" s="1327"/>
      <c r="X1076" s="1327"/>
      <c r="Y1076" s="1327"/>
      <c r="Z1076" s="1327"/>
      <c r="AA1076" s="1327"/>
      <c r="AB1076" s="1327"/>
      <c r="AC1076" s="1327"/>
      <c r="AD1076" s="1327"/>
      <c r="AE1076" s="1327"/>
      <c r="AF1076" s="1327"/>
      <c r="AG1076" s="1327"/>
      <c r="AH1076" s="1327"/>
      <c r="AI1076" s="1327"/>
      <c r="AJ1076" s="1327"/>
      <c r="AK1076" s="1327"/>
      <c r="AL1076" s="1327"/>
      <c r="AM1076" s="1327"/>
      <c r="AN1076" s="1327"/>
      <c r="AO1076" s="1327"/>
      <c r="AP1076" s="1327"/>
      <c r="AQ1076" s="1327"/>
      <c r="AR1076" s="1327"/>
      <c r="AS1076" s="14"/>
      <c r="AT1076" s="68"/>
    </row>
    <row r="1077" spans="1:51" ht="13" customHeight="1">
      <c r="A1077" s="1"/>
      <c r="B1077" s="1"/>
      <c r="C1077" s="1391"/>
      <c r="D1077" s="1391"/>
      <c r="E1077" s="1327"/>
      <c r="F1077" s="1327"/>
      <c r="G1077" s="1327"/>
      <c r="H1077" s="1327"/>
      <c r="I1077" s="1327"/>
      <c r="J1077" s="1327"/>
      <c r="K1077" s="1327"/>
      <c r="L1077" s="1327"/>
      <c r="M1077" s="1327"/>
      <c r="N1077" s="1327"/>
      <c r="O1077" s="1327"/>
      <c r="P1077" s="1327"/>
      <c r="Q1077" s="1327"/>
      <c r="R1077" s="1327"/>
      <c r="S1077" s="1327"/>
      <c r="T1077" s="1327"/>
      <c r="U1077" s="1327"/>
      <c r="V1077" s="1327"/>
      <c r="W1077" s="1327"/>
      <c r="X1077" s="1327"/>
      <c r="Y1077" s="1327"/>
      <c r="Z1077" s="1327"/>
      <c r="AA1077" s="1327"/>
      <c r="AB1077" s="1327"/>
      <c r="AC1077" s="1327"/>
      <c r="AD1077" s="1327"/>
      <c r="AE1077" s="1327"/>
      <c r="AF1077" s="1327"/>
      <c r="AG1077" s="1327"/>
      <c r="AH1077" s="1327"/>
      <c r="AI1077" s="1327"/>
      <c r="AJ1077" s="1327"/>
      <c r="AK1077" s="1327"/>
      <c r="AL1077" s="1327"/>
      <c r="AM1077" s="1327"/>
      <c r="AN1077" s="1327"/>
      <c r="AO1077" s="1327"/>
      <c r="AP1077" s="1327"/>
      <c r="AQ1077" s="1327"/>
      <c r="AR1077" s="1327"/>
      <c r="AS1077" s="14"/>
      <c r="AT1077" s="68"/>
    </row>
    <row r="1078" spans="1:51" ht="13" customHeight="1">
      <c r="A1078" s="1"/>
      <c r="B1078" s="1"/>
      <c r="C1078" s="1391"/>
      <c r="D1078" s="1391"/>
      <c r="E1078" s="1327"/>
      <c r="F1078" s="1327"/>
      <c r="G1078" s="1327"/>
      <c r="H1078" s="1327"/>
      <c r="I1078" s="1327"/>
      <c r="J1078" s="1327"/>
      <c r="K1078" s="1327"/>
      <c r="L1078" s="1327"/>
      <c r="M1078" s="1327"/>
      <c r="N1078" s="1327"/>
      <c r="O1078" s="1327"/>
      <c r="P1078" s="1327"/>
      <c r="Q1078" s="1327"/>
      <c r="R1078" s="1327"/>
      <c r="S1078" s="1327"/>
      <c r="T1078" s="1327"/>
      <c r="U1078" s="1327"/>
      <c r="V1078" s="1327"/>
      <c r="W1078" s="1327"/>
      <c r="X1078" s="1327"/>
      <c r="Y1078" s="1327"/>
      <c r="Z1078" s="1327"/>
      <c r="AA1078" s="1327"/>
      <c r="AB1078" s="1327"/>
      <c r="AC1078" s="1327"/>
      <c r="AD1078" s="1327"/>
      <c r="AE1078" s="1327"/>
      <c r="AF1078" s="1327"/>
      <c r="AG1078" s="1327"/>
      <c r="AH1078" s="1327"/>
      <c r="AI1078" s="1327"/>
      <c r="AJ1078" s="1327"/>
      <c r="AK1078" s="1327"/>
      <c r="AL1078" s="1327"/>
      <c r="AM1078" s="1327"/>
      <c r="AN1078" s="1327"/>
      <c r="AO1078" s="1327"/>
      <c r="AP1078" s="1327"/>
      <c r="AQ1078" s="1327"/>
      <c r="AR1078" s="1327"/>
      <c r="AS1078" s="14"/>
      <c r="AT1078" s="68"/>
    </row>
    <row r="1079" spans="1:51" ht="13" customHeight="1">
      <c r="A1079" s="1"/>
      <c r="B1079" s="1"/>
      <c r="C1079" s="1391"/>
      <c r="D1079" s="1391"/>
      <c r="E1079" s="1327"/>
      <c r="F1079" s="1327"/>
      <c r="G1079" s="1327"/>
      <c r="H1079" s="1327"/>
      <c r="I1079" s="1327"/>
      <c r="J1079" s="1327"/>
      <c r="K1079" s="1327"/>
      <c r="L1079" s="1327"/>
      <c r="M1079" s="1327"/>
      <c r="N1079" s="1327"/>
      <c r="O1079" s="1327"/>
      <c r="P1079" s="1327"/>
      <c r="Q1079" s="1327"/>
      <c r="R1079" s="1327"/>
      <c r="S1079" s="1327"/>
      <c r="T1079" s="1327"/>
      <c r="U1079" s="1327"/>
      <c r="V1079" s="1327"/>
      <c r="W1079" s="1327"/>
      <c r="X1079" s="1327"/>
      <c r="Y1079" s="1327"/>
      <c r="Z1079" s="1327"/>
      <c r="AA1079" s="1327"/>
      <c r="AB1079" s="1327"/>
      <c r="AC1079" s="1327"/>
      <c r="AD1079" s="1327"/>
      <c r="AE1079" s="1327"/>
      <c r="AF1079" s="1327"/>
      <c r="AG1079" s="1327"/>
      <c r="AH1079" s="1327"/>
      <c r="AI1079" s="1327"/>
      <c r="AJ1079" s="1327"/>
      <c r="AK1079" s="1327"/>
      <c r="AL1079" s="1327"/>
      <c r="AM1079" s="1327"/>
      <c r="AN1079" s="1327"/>
      <c r="AO1079" s="1327"/>
      <c r="AP1079" s="1327"/>
      <c r="AQ1079" s="1327"/>
      <c r="AR1079" s="1327"/>
      <c r="AS1079" s="14"/>
      <c r="AT1079" s="68"/>
    </row>
    <row r="1080" spans="1:51" ht="13" customHeight="1">
      <c r="A1080" s="1"/>
      <c r="B1080" s="1"/>
      <c r="C1080" s="1391"/>
      <c r="D1080" s="1391"/>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397" t="s">
        <v>592</v>
      </c>
      <c r="B1081" s="1397"/>
      <c r="C1081" s="1391">
        <v>5</v>
      </c>
      <c r="D1081" s="1391"/>
      <c r="E1081" s="1327" t="s">
        <v>2245</v>
      </c>
      <c r="F1081" s="1327"/>
      <c r="G1081" s="1327"/>
      <c r="H1081" s="1327"/>
      <c r="I1081" s="1327"/>
      <c r="J1081" s="1327"/>
      <c r="K1081" s="1327"/>
      <c r="L1081" s="1327"/>
      <c r="M1081" s="1327"/>
      <c r="N1081" s="1327"/>
      <c r="O1081" s="1327"/>
      <c r="P1081" s="1327"/>
      <c r="Q1081" s="1327"/>
      <c r="R1081" s="1327"/>
      <c r="S1081" s="1327"/>
      <c r="T1081" s="1327"/>
      <c r="U1081" s="1327"/>
      <c r="V1081" s="1327"/>
      <c r="W1081" s="1327"/>
      <c r="X1081" s="1327"/>
      <c r="Y1081" s="1327"/>
      <c r="Z1081" s="1327"/>
      <c r="AA1081" s="1327"/>
      <c r="AB1081" s="1327"/>
      <c r="AC1081" s="1327"/>
      <c r="AD1081" s="1327"/>
      <c r="AE1081" s="1327"/>
      <c r="AF1081" s="1327"/>
      <c r="AG1081" s="1327"/>
      <c r="AH1081" s="1327"/>
      <c r="AI1081" s="1327"/>
      <c r="AJ1081" s="1327"/>
      <c r="AK1081" s="1327"/>
      <c r="AL1081" s="1327"/>
      <c r="AM1081" s="1327"/>
      <c r="AN1081" s="1327"/>
      <c r="AO1081" s="1327"/>
      <c r="AP1081" s="1327"/>
      <c r="AQ1081" s="1327"/>
      <c r="AR1081" s="1327"/>
      <c r="AS1081" s="14"/>
    </row>
    <row r="1082" spans="1:51" ht="13" customHeight="1">
      <c r="A1082" s="4"/>
      <c r="B1082" s="4"/>
      <c r="C1082" s="1391"/>
      <c r="D1082" s="1391"/>
      <c r="E1082" s="1327"/>
      <c r="F1082" s="1327"/>
      <c r="G1082" s="1327"/>
      <c r="H1082" s="1327"/>
      <c r="I1082" s="1327"/>
      <c r="J1082" s="1327"/>
      <c r="K1082" s="1327"/>
      <c r="L1082" s="1327"/>
      <c r="M1082" s="1327"/>
      <c r="N1082" s="1327"/>
      <c r="O1082" s="1327"/>
      <c r="P1082" s="1327"/>
      <c r="Q1082" s="1327"/>
      <c r="R1082" s="1327"/>
      <c r="S1082" s="1327"/>
      <c r="T1082" s="1327"/>
      <c r="U1082" s="1327"/>
      <c r="V1082" s="1327"/>
      <c r="W1082" s="1327"/>
      <c r="X1082" s="1327"/>
      <c r="Y1082" s="1327"/>
      <c r="Z1082" s="1327"/>
      <c r="AA1082" s="1327"/>
      <c r="AB1082" s="1327"/>
      <c r="AC1082" s="1327"/>
      <c r="AD1082" s="1327"/>
      <c r="AE1082" s="1327"/>
      <c r="AF1082" s="1327"/>
      <c r="AG1082" s="1327"/>
      <c r="AH1082" s="1327"/>
      <c r="AI1082" s="1327"/>
      <c r="AJ1082" s="1327"/>
      <c r="AK1082" s="1327"/>
      <c r="AL1082" s="1327"/>
      <c r="AM1082" s="1327"/>
      <c r="AN1082" s="1327"/>
      <c r="AO1082" s="1327"/>
      <c r="AP1082" s="1327"/>
      <c r="AQ1082" s="1327"/>
      <c r="AR1082" s="1327"/>
      <c r="AS1082" s="14"/>
    </row>
    <row r="1083" spans="1:51" ht="13" customHeight="1">
      <c r="A1083" s="4"/>
      <c r="B1083" s="4"/>
      <c r="C1083" s="1391"/>
      <c r="D1083" s="1391"/>
      <c r="E1083" s="1327"/>
      <c r="F1083" s="1327"/>
      <c r="G1083" s="1327"/>
      <c r="H1083" s="1327"/>
      <c r="I1083" s="1327"/>
      <c r="J1083" s="1327"/>
      <c r="K1083" s="1327"/>
      <c r="L1083" s="1327"/>
      <c r="M1083" s="1327"/>
      <c r="N1083" s="1327"/>
      <c r="O1083" s="1327"/>
      <c r="P1083" s="1327"/>
      <c r="Q1083" s="1327"/>
      <c r="R1083" s="1327"/>
      <c r="S1083" s="1327"/>
      <c r="T1083" s="1327"/>
      <c r="U1083" s="1327"/>
      <c r="V1083" s="1327"/>
      <c r="W1083" s="1327"/>
      <c r="X1083" s="1327"/>
      <c r="Y1083" s="1327"/>
      <c r="Z1083" s="1327"/>
      <c r="AA1083" s="1327"/>
      <c r="AB1083" s="1327"/>
      <c r="AC1083" s="1327"/>
      <c r="AD1083" s="1327"/>
      <c r="AE1083" s="1327"/>
      <c r="AF1083" s="1327"/>
      <c r="AG1083" s="1327"/>
      <c r="AH1083" s="1327"/>
      <c r="AI1083" s="1327"/>
      <c r="AJ1083" s="1327"/>
      <c r="AK1083" s="1327"/>
      <c r="AL1083" s="1327"/>
      <c r="AM1083" s="1327"/>
      <c r="AN1083" s="1327"/>
      <c r="AO1083" s="1327"/>
      <c r="AP1083" s="1327"/>
      <c r="AQ1083" s="1327"/>
      <c r="AR1083" s="1327"/>
      <c r="AS1083" s="14"/>
    </row>
    <row r="1084" spans="1:51" ht="13" customHeight="1">
      <c r="A1084" s="35"/>
      <c r="B1084" s="25"/>
      <c r="C1084" s="1391"/>
      <c r="D1084" s="1391"/>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397" t="s">
        <v>592</v>
      </c>
      <c r="B1085" s="1397"/>
      <c r="C1085" s="1391">
        <v>6</v>
      </c>
      <c r="D1085" s="1391"/>
      <c r="E1085" s="1327" t="s">
        <v>2246</v>
      </c>
      <c r="F1085" s="1327"/>
      <c r="G1085" s="1327"/>
      <c r="H1085" s="1327"/>
      <c r="I1085" s="1327"/>
      <c r="J1085" s="1327"/>
      <c r="K1085" s="1327"/>
      <c r="L1085" s="1327"/>
      <c r="M1085" s="1327"/>
      <c r="N1085" s="1327"/>
      <c r="O1085" s="1327"/>
      <c r="P1085" s="1327"/>
      <c r="Q1085" s="1327"/>
      <c r="R1085" s="1327"/>
      <c r="S1085" s="1327"/>
      <c r="T1085" s="1327"/>
      <c r="U1085" s="1327"/>
      <c r="V1085" s="1327"/>
      <c r="W1085" s="1327"/>
      <c r="X1085" s="1327"/>
      <c r="Y1085" s="1327"/>
      <c r="Z1085" s="1327"/>
      <c r="AA1085" s="1327"/>
      <c r="AB1085" s="1327"/>
      <c r="AC1085" s="1327"/>
      <c r="AD1085" s="1327"/>
      <c r="AE1085" s="1327"/>
      <c r="AF1085" s="1327"/>
      <c r="AG1085" s="1327"/>
      <c r="AH1085" s="1327"/>
      <c r="AI1085" s="1327"/>
      <c r="AJ1085" s="1327"/>
      <c r="AK1085" s="1327"/>
      <c r="AL1085" s="1327"/>
      <c r="AM1085" s="1327"/>
      <c r="AN1085" s="1327"/>
      <c r="AO1085" s="1327"/>
      <c r="AP1085" s="1327"/>
      <c r="AQ1085" s="1327"/>
      <c r="AR1085" s="1327"/>
      <c r="AS1085" s="14"/>
    </row>
    <row r="1086" spans="1:51" ht="13" customHeight="1">
      <c r="A1086" s="1"/>
      <c r="B1086" s="1"/>
      <c r="C1086" s="1"/>
      <c r="D1086" s="1"/>
      <c r="E1086" s="1327"/>
      <c r="F1086" s="1327"/>
      <c r="G1086" s="1327"/>
      <c r="H1086" s="1327"/>
      <c r="I1086" s="1327"/>
      <c r="J1086" s="1327"/>
      <c r="K1086" s="1327"/>
      <c r="L1086" s="1327"/>
      <c r="M1086" s="1327"/>
      <c r="N1086" s="1327"/>
      <c r="O1086" s="1327"/>
      <c r="P1086" s="1327"/>
      <c r="Q1086" s="1327"/>
      <c r="R1086" s="1327"/>
      <c r="S1086" s="1327"/>
      <c r="T1086" s="1327"/>
      <c r="U1086" s="1327"/>
      <c r="V1086" s="1327"/>
      <c r="W1086" s="1327"/>
      <c r="X1086" s="1327"/>
      <c r="Y1086" s="1327"/>
      <c r="Z1086" s="1327"/>
      <c r="AA1086" s="1327"/>
      <c r="AB1086" s="1327"/>
      <c r="AC1086" s="1327"/>
      <c r="AD1086" s="1327"/>
      <c r="AE1086" s="1327"/>
      <c r="AF1086" s="1327"/>
      <c r="AG1086" s="1327"/>
      <c r="AH1086" s="1327"/>
      <c r="AI1086" s="1327"/>
      <c r="AJ1086" s="1327"/>
      <c r="AK1086" s="1327"/>
      <c r="AL1086" s="1327"/>
      <c r="AM1086" s="1327"/>
      <c r="AN1086" s="1327"/>
      <c r="AO1086" s="1327"/>
      <c r="AP1086" s="1327"/>
      <c r="AQ1086" s="1327"/>
      <c r="AR1086" s="1327"/>
      <c r="AS1086" s="14"/>
    </row>
    <row r="1087" spans="1:51" ht="13" customHeight="1">
      <c r="A1087" s="1"/>
      <c r="B1087" s="1"/>
      <c r="C1087" s="1391"/>
      <c r="D1087" s="1391"/>
      <c r="E1087" s="1327"/>
      <c r="F1087" s="1327"/>
      <c r="G1087" s="1327"/>
      <c r="H1087" s="1327"/>
      <c r="I1087" s="1327"/>
      <c r="J1087" s="1327"/>
      <c r="K1087" s="1327"/>
      <c r="L1087" s="1327"/>
      <c r="M1087" s="1327"/>
      <c r="N1087" s="1327"/>
      <c r="O1087" s="1327"/>
      <c r="P1087" s="1327"/>
      <c r="Q1087" s="1327"/>
      <c r="R1087" s="1327"/>
      <c r="S1087" s="1327"/>
      <c r="T1087" s="1327"/>
      <c r="U1087" s="1327"/>
      <c r="V1087" s="1327"/>
      <c r="W1087" s="1327"/>
      <c r="X1087" s="1327"/>
      <c r="Y1087" s="1327"/>
      <c r="Z1087" s="1327"/>
      <c r="AA1087" s="1327"/>
      <c r="AB1087" s="1327"/>
      <c r="AC1087" s="1327"/>
      <c r="AD1087" s="1327"/>
      <c r="AE1087" s="1327"/>
      <c r="AF1087" s="1327"/>
      <c r="AG1087" s="1327"/>
      <c r="AH1087" s="1327"/>
      <c r="AI1087" s="1327"/>
      <c r="AJ1087" s="1327"/>
      <c r="AK1087" s="1327"/>
      <c r="AL1087" s="1327"/>
      <c r="AM1087" s="1327"/>
      <c r="AN1087" s="1327"/>
      <c r="AO1087" s="1327"/>
      <c r="AP1087" s="1327"/>
      <c r="AQ1087" s="1327"/>
      <c r="AR1087" s="1327"/>
      <c r="AS1087" s="14"/>
    </row>
    <row r="1088" spans="1:51" ht="13" customHeight="1">
      <c r="A1088" s="35"/>
      <c r="B1088" s="25"/>
      <c r="C1088" s="1391"/>
      <c r="D1088" s="1391"/>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397" t="s">
        <v>592</v>
      </c>
      <c r="B1089" s="1397"/>
      <c r="C1089" s="1391">
        <v>7</v>
      </c>
      <c r="D1089" s="1391"/>
      <c r="E1089" s="1327" t="s">
        <v>2140</v>
      </c>
      <c r="F1089" s="1327"/>
      <c r="G1089" s="1327"/>
      <c r="H1089" s="1327"/>
      <c r="I1089" s="1327"/>
      <c r="J1089" s="1327"/>
      <c r="K1089" s="1327"/>
      <c r="L1089" s="1327"/>
      <c r="M1089" s="1327"/>
      <c r="N1089" s="1327"/>
      <c r="O1089" s="1327"/>
      <c r="P1089" s="1327"/>
      <c r="Q1089" s="1327"/>
      <c r="R1089" s="1327"/>
      <c r="S1089" s="1327"/>
      <c r="T1089" s="1327"/>
      <c r="U1089" s="1327"/>
      <c r="V1089" s="1327"/>
      <c r="W1089" s="1327"/>
      <c r="X1089" s="1327"/>
      <c r="Y1089" s="1327"/>
      <c r="Z1089" s="1327"/>
      <c r="AA1089" s="1327"/>
      <c r="AB1089" s="1327"/>
      <c r="AC1089" s="1327"/>
      <c r="AD1089" s="1327"/>
      <c r="AE1089" s="1327"/>
      <c r="AF1089" s="1327"/>
      <c r="AG1089" s="1327"/>
      <c r="AH1089" s="1327"/>
      <c r="AI1089" s="1327"/>
      <c r="AJ1089" s="1327"/>
      <c r="AK1089" s="1327"/>
      <c r="AL1089" s="1327"/>
      <c r="AM1089" s="1327"/>
      <c r="AN1089" s="1327"/>
      <c r="AO1089" s="1327"/>
      <c r="AP1089" s="1327"/>
      <c r="AQ1089" s="1327"/>
      <c r="AR1089" s="1327"/>
      <c r="AS1089" s="14"/>
    </row>
    <row r="1090" spans="1:45" ht="13" customHeight="1">
      <c r="A1090" s="1"/>
      <c r="B1090" s="1"/>
      <c r="C1090" s="1391"/>
      <c r="D1090" s="1391"/>
      <c r="E1090" s="1327"/>
      <c r="F1090" s="1327"/>
      <c r="G1090" s="1327"/>
      <c r="H1090" s="1327"/>
      <c r="I1090" s="1327"/>
      <c r="J1090" s="1327"/>
      <c r="K1090" s="1327"/>
      <c r="L1090" s="1327"/>
      <c r="M1090" s="1327"/>
      <c r="N1090" s="1327"/>
      <c r="O1090" s="1327"/>
      <c r="P1090" s="1327"/>
      <c r="Q1090" s="1327"/>
      <c r="R1090" s="1327"/>
      <c r="S1090" s="1327"/>
      <c r="T1090" s="1327"/>
      <c r="U1090" s="1327"/>
      <c r="V1090" s="1327"/>
      <c r="W1090" s="1327"/>
      <c r="X1090" s="1327"/>
      <c r="Y1090" s="1327"/>
      <c r="Z1090" s="1327"/>
      <c r="AA1090" s="1327"/>
      <c r="AB1090" s="1327"/>
      <c r="AC1090" s="1327"/>
      <c r="AD1090" s="1327"/>
      <c r="AE1090" s="1327"/>
      <c r="AF1090" s="1327"/>
      <c r="AG1090" s="1327"/>
      <c r="AH1090" s="1327"/>
      <c r="AI1090" s="1327"/>
      <c r="AJ1090" s="1327"/>
      <c r="AK1090" s="1327"/>
      <c r="AL1090" s="1327"/>
      <c r="AM1090" s="1327"/>
      <c r="AN1090" s="1327"/>
      <c r="AO1090" s="1327"/>
      <c r="AP1090" s="1327"/>
      <c r="AQ1090" s="1327"/>
      <c r="AR1090" s="1327"/>
      <c r="AS1090" s="14"/>
    </row>
    <row r="1091" spans="1:45" ht="13" customHeight="1">
      <c r="A1091" s="1"/>
      <c r="B1091" s="1"/>
      <c r="C1091" s="1391"/>
      <c r="D1091" s="1391"/>
      <c r="E1091" s="1327"/>
      <c r="F1091" s="1327"/>
      <c r="G1091" s="1327"/>
      <c r="H1091" s="1327"/>
      <c r="I1091" s="1327"/>
      <c r="J1091" s="1327"/>
      <c r="K1091" s="1327"/>
      <c r="L1091" s="1327"/>
      <c r="M1091" s="1327"/>
      <c r="N1091" s="1327"/>
      <c r="O1091" s="1327"/>
      <c r="P1091" s="1327"/>
      <c r="Q1091" s="1327"/>
      <c r="R1091" s="1327"/>
      <c r="S1091" s="1327"/>
      <c r="T1091" s="1327"/>
      <c r="U1091" s="1327"/>
      <c r="V1091" s="1327"/>
      <c r="W1091" s="1327"/>
      <c r="X1091" s="1327"/>
      <c r="Y1091" s="1327"/>
      <c r="Z1091" s="1327"/>
      <c r="AA1091" s="1327"/>
      <c r="AB1091" s="1327"/>
      <c r="AC1091" s="1327"/>
      <c r="AD1091" s="1327"/>
      <c r="AE1091" s="1327"/>
      <c r="AF1091" s="1327"/>
      <c r="AG1091" s="1327"/>
      <c r="AH1091" s="1327"/>
      <c r="AI1091" s="1327"/>
      <c r="AJ1091" s="1327"/>
      <c r="AK1091" s="1327"/>
      <c r="AL1091" s="1327"/>
      <c r="AM1091" s="1327"/>
      <c r="AN1091" s="1327"/>
      <c r="AO1091" s="1327"/>
      <c r="AP1091" s="1327"/>
      <c r="AQ1091" s="1327"/>
      <c r="AR1091" s="1327"/>
      <c r="AS1091" s="14"/>
    </row>
    <row r="1092" spans="1:45" ht="13" customHeight="1">
      <c r="A1092" s="1"/>
      <c r="B1092" s="1"/>
      <c r="C1092" s="1391"/>
      <c r="D1092" s="1391"/>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391"/>
      <c r="D1093" s="1391"/>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397" t="s">
        <v>592</v>
      </c>
      <c r="B1094" s="1397"/>
      <c r="C1094" s="1391">
        <v>8</v>
      </c>
      <c r="D1094" s="1391"/>
      <c r="E1094" s="1327" t="s">
        <v>1073</v>
      </c>
      <c r="F1094" s="1327"/>
      <c r="G1094" s="1327"/>
      <c r="H1094" s="1327"/>
      <c r="I1094" s="1327"/>
      <c r="J1094" s="1327"/>
      <c r="K1094" s="1327"/>
      <c r="L1094" s="1327"/>
      <c r="M1094" s="1327"/>
      <c r="N1094" s="1327"/>
      <c r="O1094" s="1327"/>
      <c r="P1094" s="1327"/>
      <c r="Q1094" s="1327"/>
      <c r="R1094" s="1327"/>
      <c r="S1094" s="1327"/>
      <c r="T1094" s="1327"/>
      <c r="U1094" s="1327"/>
      <c r="V1094" s="1327"/>
      <c r="W1094" s="1327"/>
      <c r="X1094" s="1327"/>
      <c r="Y1094" s="1327"/>
      <c r="Z1094" s="1327"/>
      <c r="AA1094" s="1327"/>
      <c r="AB1094" s="1327"/>
      <c r="AC1094" s="1327"/>
      <c r="AD1094" s="1327"/>
      <c r="AE1094" s="1327"/>
      <c r="AF1094" s="1327"/>
      <c r="AG1094" s="1327"/>
      <c r="AH1094" s="1327"/>
      <c r="AI1094" s="1327"/>
      <c r="AJ1094" s="1327"/>
      <c r="AK1094" s="1327"/>
      <c r="AL1094" s="1327"/>
      <c r="AM1094" s="1327"/>
      <c r="AN1094" s="1327"/>
      <c r="AO1094" s="1327"/>
      <c r="AP1094" s="1327"/>
      <c r="AQ1094" s="1327"/>
      <c r="AR1094" s="1327"/>
    </row>
    <row r="1095" spans="1:45" ht="13" customHeight="1">
      <c r="A1095" s="35"/>
      <c r="B1095" s="25"/>
      <c r="C1095" s="1391"/>
      <c r="D1095" s="1391"/>
      <c r="E1095" s="1327"/>
      <c r="F1095" s="1327"/>
      <c r="G1095" s="1327"/>
      <c r="H1095" s="1327"/>
      <c r="I1095" s="1327"/>
      <c r="J1095" s="1327"/>
      <c r="K1095" s="1327"/>
      <c r="L1095" s="1327"/>
      <c r="M1095" s="1327"/>
      <c r="N1095" s="1327"/>
      <c r="O1095" s="1327"/>
      <c r="P1095" s="1327"/>
      <c r="Q1095" s="1327"/>
      <c r="R1095" s="1327"/>
      <c r="S1095" s="1327"/>
      <c r="T1095" s="1327"/>
      <c r="U1095" s="1327"/>
      <c r="V1095" s="1327"/>
      <c r="W1095" s="1327"/>
      <c r="X1095" s="1327"/>
      <c r="Y1095" s="1327"/>
      <c r="Z1095" s="1327"/>
      <c r="AA1095" s="1327"/>
      <c r="AB1095" s="1327"/>
      <c r="AC1095" s="1327"/>
      <c r="AD1095" s="1327"/>
      <c r="AE1095" s="1327"/>
      <c r="AF1095" s="1327"/>
      <c r="AG1095" s="1327"/>
      <c r="AH1095" s="1327"/>
      <c r="AI1095" s="1327"/>
      <c r="AJ1095" s="1327"/>
      <c r="AK1095" s="1327"/>
      <c r="AL1095" s="1327"/>
      <c r="AM1095" s="1327"/>
      <c r="AN1095" s="1327"/>
      <c r="AO1095" s="1327"/>
      <c r="AP1095" s="1327"/>
      <c r="AQ1095" s="1327"/>
      <c r="AR1095" s="1327"/>
    </row>
    <row r="1096" spans="1:45" ht="13" customHeight="1">
      <c r="A1096" s="35"/>
      <c r="B1096" s="25"/>
      <c r="C1096" s="1391"/>
      <c r="D1096" s="1391"/>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397" t="s">
        <v>592</v>
      </c>
      <c r="B1097" s="1397"/>
      <c r="C1097" s="1856">
        <v>9</v>
      </c>
      <c r="D1097" s="1856"/>
      <c r="E1097" s="1327" t="s">
        <v>1075</v>
      </c>
      <c r="F1097" s="1327"/>
      <c r="G1097" s="1327"/>
      <c r="H1097" s="1327"/>
      <c r="I1097" s="1327"/>
      <c r="J1097" s="1327"/>
      <c r="K1097" s="1327"/>
      <c r="L1097" s="1327"/>
      <c r="M1097" s="1327"/>
      <c r="N1097" s="1327"/>
      <c r="O1097" s="1327"/>
      <c r="P1097" s="1327"/>
      <c r="Q1097" s="1327"/>
      <c r="R1097" s="1327"/>
      <c r="S1097" s="1327"/>
      <c r="T1097" s="1327"/>
      <c r="U1097" s="1327"/>
      <c r="V1097" s="1327"/>
      <c r="W1097" s="1327"/>
      <c r="X1097" s="1327"/>
      <c r="Y1097" s="1327"/>
      <c r="Z1097" s="1327"/>
      <c r="AA1097" s="1327"/>
      <c r="AB1097" s="1327"/>
      <c r="AC1097" s="1327"/>
      <c r="AD1097" s="1327"/>
      <c r="AE1097" s="1327"/>
      <c r="AF1097" s="1327"/>
      <c r="AG1097" s="1327"/>
      <c r="AH1097" s="1327"/>
      <c r="AI1097" s="1327"/>
      <c r="AJ1097" s="1327"/>
      <c r="AK1097" s="1327"/>
      <c r="AL1097" s="1327"/>
      <c r="AM1097" s="1327"/>
      <c r="AN1097" s="1327"/>
      <c r="AO1097" s="1327"/>
      <c r="AP1097" s="1327"/>
      <c r="AQ1097" s="1327"/>
      <c r="AR1097" s="1327"/>
    </row>
    <row r="1098" spans="1:45" ht="13" customHeight="1">
      <c r="A1098" s="1"/>
      <c r="B1098" s="1"/>
      <c r="C1098" s="1856"/>
      <c r="D1098" s="1856"/>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c r="AL1098" s="1327"/>
      <c r="AM1098" s="1327"/>
      <c r="AN1098" s="1327"/>
      <c r="AO1098" s="1327"/>
      <c r="AP1098" s="1327"/>
      <c r="AQ1098" s="1327"/>
      <c r="AR1098" s="1327"/>
    </row>
    <row r="1099" spans="1:45" ht="13" customHeight="1">
      <c r="A1099" s="35"/>
      <c r="B1099" s="25"/>
      <c r="C1099" s="1856"/>
      <c r="D1099" s="1856"/>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397" t="s">
        <v>592</v>
      </c>
      <c r="B1100" s="1397"/>
      <c r="C1100" s="1856">
        <v>10</v>
      </c>
      <c r="D1100" s="1856"/>
      <c r="E1100" s="1857" t="s">
        <v>2242</v>
      </c>
      <c r="F1100" s="1857"/>
      <c r="G1100" s="1857"/>
      <c r="H1100" s="1857"/>
      <c r="I1100" s="1857"/>
      <c r="J1100" s="1857"/>
      <c r="K1100" s="1857"/>
      <c r="L1100" s="1857"/>
      <c r="M1100" s="1857"/>
      <c r="N1100" s="1857"/>
      <c r="O1100" s="1857"/>
      <c r="P1100" s="1857"/>
      <c r="Q1100" s="1857"/>
      <c r="R1100" s="1857"/>
      <c r="S1100" s="1857"/>
      <c r="T1100" s="1857"/>
      <c r="U1100" s="1857"/>
      <c r="V1100" s="1857"/>
      <c r="W1100" s="1857"/>
      <c r="X1100" s="1857"/>
      <c r="Y1100" s="1857"/>
      <c r="Z1100" s="1857"/>
      <c r="AA1100" s="1857"/>
      <c r="AB1100" s="1857"/>
      <c r="AC1100" s="1857"/>
      <c r="AD1100" s="1857"/>
      <c r="AE1100" s="1857"/>
      <c r="AF1100" s="1857"/>
      <c r="AG1100" s="1857"/>
      <c r="AH1100" s="1857"/>
      <c r="AI1100" s="1857"/>
      <c r="AJ1100" s="1857"/>
      <c r="AK1100" s="1857"/>
      <c r="AL1100" s="1857"/>
      <c r="AM1100" s="1857"/>
      <c r="AN1100" s="1857"/>
      <c r="AO1100" s="1857"/>
      <c r="AP1100" s="1857"/>
      <c r="AQ1100" s="1857"/>
      <c r="AR1100" s="1857"/>
    </row>
    <row r="1101" spans="1:45" ht="13" customHeight="1">
      <c r="A1101" s="1"/>
      <c r="B1101" s="1"/>
      <c r="C1101" s="199"/>
      <c r="D1101" s="1163"/>
      <c r="E1101" s="1857"/>
      <c r="F1101" s="1857"/>
      <c r="G1101" s="1857"/>
      <c r="H1101" s="1857"/>
      <c r="I1101" s="1857"/>
      <c r="J1101" s="1857"/>
      <c r="K1101" s="1857"/>
      <c r="L1101" s="1857"/>
      <c r="M1101" s="1857"/>
      <c r="N1101" s="1857"/>
      <c r="O1101" s="1857"/>
      <c r="P1101" s="1857"/>
      <c r="Q1101" s="1857"/>
      <c r="R1101" s="1857"/>
      <c r="S1101" s="1857"/>
      <c r="T1101" s="1857"/>
      <c r="U1101" s="1857"/>
      <c r="V1101" s="1857"/>
      <c r="W1101" s="1857"/>
      <c r="X1101" s="1857"/>
      <c r="Y1101" s="1857"/>
      <c r="Z1101" s="1857"/>
      <c r="AA1101" s="1857"/>
      <c r="AB1101" s="1857"/>
      <c r="AC1101" s="1857"/>
      <c r="AD1101" s="1857"/>
      <c r="AE1101" s="1857"/>
      <c r="AF1101" s="1857"/>
      <c r="AG1101" s="1857"/>
      <c r="AH1101" s="1857"/>
      <c r="AI1101" s="1857"/>
      <c r="AJ1101" s="1857"/>
      <c r="AK1101" s="1857"/>
      <c r="AL1101" s="1857"/>
      <c r="AM1101" s="1857"/>
      <c r="AN1101" s="1857"/>
      <c r="AO1101" s="1857"/>
      <c r="AP1101" s="1857"/>
      <c r="AQ1101" s="1857"/>
      <c r="AR1101" s="1857"/>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397" t="s">
        <v>592</v>
      </c>
      <c r="B1103" s="1397"/>
      <c r="C1103" s="1856">
        <v>11</v>
      </c>
      <c r="D1103" s="1856"/>
      <c r="E1103" s="1857" t="s">
        <v>2244</v>
      </c>
      <c r="F1103" s="1857"/>
      <c r="G1103" s="1857"/>
      <c r="H1103" s="1857"/>
      <c r="I1103" s="1857"/>
      <c r="J1103" s="1857"/>
      <c r="K1103" s="1857"/>
      <c r="L1103" s="1857"/>
      <c r="M1103" s="1857"/>
      <c r="N1103" s="1857"/>
      <c r="O1103" s="1857"/>
      <c r="P1103" s="1857"/>
      <c r="Q1103" s="1857"/>
      <c r="R1103" s="1857"/>
      <c r="S1103" s="1857"/>
      <c r="T1103" s="1857"/>
      <c r="U1103" s="1857"/>
      <c r="V1103" s="1857"/>
      <c r="W1103" s="1857"/>
      <c r="X1103" s="1857"/>
      <c r="Y1103" s="1857"/>
      <c r="Z1103" s="1857"/>
      <c r="AA1103" s="1857"/>
      <c r="AB1103" s="1857"/>
      <c r="AC1103" s="1857"/>
      <c r="AD1103" s="1857"/>
      <c r="AE1103" s="1857"/>
      <c r="AF1103" s="1857"/>
      <c r="AG1103" s="1857"/>
      <c r="AH1103" s="1857"/>
      <c r="AI1103" s="1857"/>
      <c r="AJ1103" s="1857"/>
      <c r="AK1103" s="1857"/>
      <c r="AL1103" s="1857"/>
      <c r="AM1103" s="1857"/>
      <c r="AN1103" s="1857"/>
      <c r="AO1103" s="1857"/>
      <c r="AP1103" s="1857"/>
      <c r="AQ1103" s="1857"/>
      <c r="AR1103" s="1857"/>
    </row>
    <row r="1104" spans="1:45" ht="13" customHeight="1">
      <c r="A1104" s="1"/>
      <c r="B1104" s="1"/>
      <c r="C1104" s="199"/>
      <c r="D1104" s="1163"/>
      <c r="E1104" s="1857"/>
      <c r="F1104" s="1857"/>
      <c r="G1104" s="1857"/>
      <c r="H1104" s="1857"/>
      <c r="I1104" s="1857"/>
      <c r="J1104" s="1857"/>
      <c r="K1104" s="1857"/>
      <c r="L1104" s="1857"/>
      <c r="M1104" s="1857"/>
      <c r="N1104" s="1857"/>
      <c r="O1104" s="1857"/>
      <c r="P1104" s="1857"/>
      <c r="Q1104" s="1857"/>
      <c r="R1104" s="1857"/>
      <c r="S1104" s="1857"/>
      <c r="T1104" s="1857"/>
      <c r="U1104" s="1857"/>
      <c r="V1104" s="1857"/>
      <c r="W1104" s="1857"/>
      <c r="X1104" s="1857"/>
      <c r="Y1104" s="1857"/>
      <c r="Z1104" s="1857"/>
      <c r="AA1104" s="1857"/>
      <c r="AB1104" s="1857"/>
      <c r="AC1104" s="1857"/>
      <c r="AD1104" s="1857"/>
      <c r="AE1104" s="1857"/>
      <c r="AF1104" s="1857"/>
      <c r="AG1104" s="1857"/>
      <c r="AH1104" s="1857"/>
      <c r="AI1104" s="1857"/>
      <c r="AJ1104" s="1857"/>
      <c r="AK1104" s="1857"/>
      <c r="AL1104" s="1857"/>
      <c r="AM1104" s="1857"/>
      <c r="AN1104" s="1857"/>
      <c r="AO1104" s="1857"/>
      <c r="AP1104" s="1857"/>
      <c r="AQ1104" s="1857"/>
      <c r="AR1104" s="1857"/>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97" t="s">
        <v>592</v>
      </c>
      <c r="B1125" s="1397"/>
      <c r="C1125" s="199">
        <v>9</v>
      </c>
      <c r="D1125" s="1259" t="s">
        <v>1074</v>
      </c>
      <c r="E1125" s="1259"/>
      <c r="F1125" s="1259"/>
      <c r="G1125" s="1259"/>
      <c r="H1125" s="1259"/>
      <c r="I1125" s="1259"/>
      <c r="J1125" s="1259"/>
      <c r="K1125" s="1259"/>
      <c r="L1125" s="1259"/>
      <c r="M1125" s="1259"/>
      <c r="N1125" s="1259"/>
      <c r="O1125" s="1259"/>
      <c r="P1125" s="1259"/>
      <c r="Q1125" s="1259"/>
      <c r="R1125" s="1259"/>
      <c r="S1125" s="1259"/>
      <c r="T1125" s="1259"/>
      <c r="U1125" s="1259"/>
      <c r="V1125" s="1259"/>
      <c r="W1125" s="1259"/>
      <c r="X1125" s="1259"/>
      <c r="Y1125" s="1259"/>
      <c r="Z1125" s="1259"/>
      <c r="AA1125" s="1259"/>
      <c r="AB1125" s="1259"/>
      <c r="AC1125" s="1259"/>
      <c r="AD1125" s="1259"/>
      <c r="AE1125" s="1259"/>
      <c r="AF1125" s="1259"/>
      <c r="AG1125" s="1259"/>
      <c r="AH1125" s="1259"/>
      <c r="AI1125" s="1259"/>
      <c r="AJ1125" s="1259"/>
      <c r="AK1125" s="1259"/>
    </row>
    <row r="1126" spans="1:37" ht="0" hidden="1" customHeight="1">
      <c r="A1126" s="35"/>
      <c r="B1126" s="25"/>
      <c r="C1126" s="199"/>
      <c r="D1126" s="1259"/>
      <c r="E1126" s="1259"/>
      <c r="F1126" s="1259"/>
      <c r="G1126" s="1259"/>
      <c r="H1126" s="1259"/>
      <c r="I1126" s="1259"/>
      <c r="J1126" s="1259"/>
      <c r="K1126" s="1259"/>
      <c r="L1126" s="1259"/>
      <c r="M1126" s="1259"/>
      <c r="N1126" s="1259"/>
      <c r="O1126" s="1259"/>
      <c r="P1126" s="1259"/>
      <c r="Q1126" s="1259"/>
      <c r="R1126" s="1259"/>
      <c r="S1126" s="1259"/>
      <c r="T1126" s="1259"/>
      <c r="U1126" s="1259"/>
      <c r="V1126" s="1259"/>
      <c r="W1126" s="1259"/>
      <c r="X1126" s="1259"/>
      <c r="Y1126" s="1259"/>
      <c r="Z1126" s="1259"/>
      <c r="AA1126" s="1259"/>
      <c r="AB1126" s="1259"/>
      <c r="AC1126" s="1259"/>
      <c r="AD1126" s="1259"/>
      <c r="AE1126" s="1259"/>
      <c r="AF1126" s="1259"/>
      <c r="AG1126" s="1259"/>
      <c r="AH1126" s="1259"/>
      <c r="AI1126" s="1259"/>
      <c r="AJ1126" s="1259"/>
      <c r="AK1126" s="1259"/>
    </row>
    <row r="1127" spans="1:37" ht="0" hidden="1" customHeight="1">
      <c r="D1127" s="1259"/>
      <c r="E1127" s="1259"/>
      <c r="F1127" s="1259"/>
      <c r="G1127" s="1259"/>
      <c r="H1127" s="1259"/>
      <c r="I1127" s="1259"/>
      <c r="J1127" s="1259"/>
      <c r="K1127" s="1259"/>
      <c r="L1127" s="1259"/>
      <c r="M1127" s="1259"/>
      <c r="N1127" s="1259"/>
      <c r="O1127" s="1259"/>
      <c r="P1127" s="1259"/>
      <c r="Q1127" s="1259"/>
      <c r="R1127" s="1259"/>
      <c r="S1127" s="1259"/>
      <c r="T1127" s="1259"/>
      <c r="U1127" s="1259"/>
      <c r="V1127" s="1259"/>
      <c r="W1127" s="1259"/>
      <c r="X1127" s="1259"/>
      <c r="Y1127" s="1259"/>
      <c r="Z1127" s="1259"/>
      <c r="AA1127" s="1259"/>
      <c r="AB1127" s="1259"/>
      <c r="AC1127" s="1259"/>
      <c r="AD1127" s="1259"/>
      <c r="AE1127" s="1259"/>
      <c r="AF1127" s="1259"/>
      <c r="AG1127" s="1259"/>
      <c r="AH1127" s="1259"/>
      <c r="AI1127" s="1259"/>
      <c r="AJ1127" s="1259"/>
      <c r="AK1127" s="1259"/>
    </row>
    <row r="1137" ht="15" hidden="1" customHeight="1"/>
    <row r="2017" ht="10" hidden="1" customHeight="1"/>
  </sheetData>
  <sheetProtection algorithmName="SHA-512" hashValue="KiZXvat9JIElD3mnQcX/QzBx8W81hW0Eo8EqbkuU/1qsUUj0mmGASMHd4q5c5Ncw6Zn7bWRVTAoE4FRXRiz/kw==" saltValue="FIyybqSE+eTDpfXogbN8Z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C1084:D1084"/>
    <mergeCell ref="C1085:D1085"/>
    <mergeCell ref="A1085:B1085"/>
    <mergeCell ref="A1081:B1081"/>
    <mergeCell ref="A1097:B1097"/>
    <mergeCell ref="E1081:AR1083"/>
    <mergeCell ref="E1085:AR1087"/>
    <mergeCell ref="E1089:AR1091"/>
    <mergeCell ref="E1094:AR1095"/>
    <mergeCell ref="E1097:AR1098"/>
    <mergeCell ref="E1100:AR1101"/>
    <mergeCell ref="C1081:D1081"/>
    <mergeCell ref="C1082:D1082"/>
    <mergeCell ref="C1083:D1083"/>
    <mergeCell ref="C1089:D1089"/>
    <mergeCell ref="C1090:D1090"/>
    <mergeCell ref="C1091:D1091"/>
    <mergeCell ref="A1100:B1100"/>
    <mergeCell ref="A1094:B1094"/>
    <mergeCell ref="K741:N741"/>
    <mergeCell ref="O736:S736"/>
    <mergeCell ref="K738:N738"/>
    <mergeCell ref="A1089:B1089"/>
    <mergeCell ref="C1087:D1087"/>
    <mergeCell ref="C1088:D1088"/>
    <mergeCell ref="A1075:B1075"/>
    <mergeCell ref="A1070:B1070"/>
    <mergeCell ref="E1067:AR1068"/>
    <mergeCell ref="E1070:AR1073"/>
    <mergeCell ref="E1075:AR1079"/>
    <mergeCell ref="C1077:D1077"/>
    <mergeCell ref="C1078:D1078"/>
    <mergeCell ref="C1079:D1079"/>
    <mergeCell ref="C1080:D1080"/>
    <mergeCell ref="C1069:D1069"/>
    <mergeCell ref="C1070:D1070"/>
    <mergeCell ref="C1071:D1071"/>
    <mergeCell ref="C1072:D1072"/>
    <mergeCell ref="C1073:D1073"/>
    <mergeCell ref="C1074:D1074"/>
    <mergeCell ref="C1075:D1075"/>
    <mergeCell ref="C1076:D1076"/>
    <mergeCell ref="A1067:B1067"/>
    <mergeCell ref="C1065:D1065"/>
    <mergeCell ref="C1066:D1066"/>
    <mergeCell ref="C1067:D1067"/>
    <mergeCell ref="C1068:D1068"/>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D1049:AE1049"/>
    <mergeCell ref="D1032:AE1032"/>
    <mergeCell ref="D1050:AE1051"/>
    <mergeCell ref="X1048:Y1048"/>
    <mergeCell ref="X1052:Y1052"/>
    <mergeCell ref="I1048:J1048"/>
    <mergeCell ref="I1052:J1052"/>
    <mergeCell ref="AG1049:AH1049"/>
    <mergeCell ref="AG1025:AH1025"/>
    <mergeCell ref="AG1016:AH1016"/>
    <mergeCell ref="AG1020:AH1020"/>
    <mergeCell ref="D1016:AE1016"/>
    <mergeCell ref="D1008:AE1010"/>
    <mergeCell ref="AF1021:AI1022"/>
    <mergeCell ref="AJ1041:AQ1044"/>
    <mergeCell ref="AJ1013:AQ1015"/>
    <mergeCell ref="AJ1016:AQ1019"/>
    <mergeCell ref="AJ1025:AQ1028"/>
    <mergeCell ref="AJ988:AQ988"/>
    <mergeCell ref="B992:AI992"/>
    <mergeCell ref="R987:AA987"/>
    <mergeCell ref="AJ1053:AQ1053"/>
    <mergeCell ref="AG1029:AH1029"/>
    <mergeCell ref="D1037:AE1040"/>
    <mergeCell ref="AJ1036:AQ1040"/>
    <mergeCell ref="D1041:AE1041"/>
    <mergeCell ref="D1030:AE1031"/>
    <mergeCell ref="G571:R571"/>
    <mergeCell ref="G570:R570"/>
    <mergeCell ref="G569:R569"/>
    <mergeCell ref="G572:L572"/>
    <mergeCell ref="G647:L647"/>
    <mergeCell ref="B736:F736"/>
    <mergeCell ref="B733:F733"/>
    <mergeCell ref="A480:AT481"/>
    <mergeCell ref="A351:AT352"/>
    <mergeCell ref="I392:N392"/>
    <mergeCell ref="G729:J729"/>
    <mergeCell ref="Z611:AK611"/>
    <mergeCell ref="W556:Y556"/>
    <mergeCell ref="W469:Y469"/>
    <mergeCell ref="AH515:AK515"/>
    <mergeCell ref="AC516:AF516"/>
    <mergeCell ref="AH509:AK509"/>
    <mergeCell ref="Z612:AK612"/>
    <mergeCell ref="AC627:AE627"/>
    <mergeCell ref="AA598:AK598"/>
    <mergeCell ref="AK630:AN630"/>
    <mergeCell ref="AK631:AN631"/>
    <mergeCell ref="AK632:AN632"/>
    <mergeCell ref="AF628:AJ628"/>
    <mergeCell ref="G578:R578"/>
    <mergeCell ref="P613:R613"/>
    <mergeCell ref="A1061:AQ1061"/>
    <mergeCell ref="AF1017:AI1019"/>
    <mergeCell ref="AF1014:AI1015"/>
    <mergeCell ref="C757:AM758"/>
    <mergeCell ref="G742:J742"/>
    <mergeCell ref="A1065:B1065"/>
    <mergeCell ref="B746:F746"/>
    <mergeCell ref="B747:F747"/>
    <mergeCell ref="B748:F748"/>
    <mergeCell ref="B749:F749"/>
    <mergeCell ref="B750:F750"/>
    <mergeCell ref="T750:W750"/>
    <mergeCell ref="AA968:AG968"/>
    <mergeCell ref="AE955:AK955"/>
    <mergeCell ref="I950:T950"/>
    <mergeCell ref="K745:N745"/>
    <mergeCell ref="G728:J728"/>
    <mergeCell ref="O737:S737"/>
    <mergeCell ref="O738:S738"/>
    <mergeCell ref="T740:W740"/>
    <mergeCell ref="B730:F730"/>
    <mergeCell ref="X741:AB741"/>
    <mergeCell ref="X739:AB739"/>
    <mergeCell ref="G740:J740"/>
    <mergeCell ref="G741:J741"/>
    <mergeCell ref="T739:W739"/>
    <mergeCell ref="T743:W743"/>
    <mergeCell ref="K744:N744"/>
    <mergeCell ref="O744:S744"/>
    <mergeCell ref="K739:N739"/>
    <mergeCell ref="X742:AB742"/>
    <mergeCell ref="G739:J73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69:AT70"/>
    <mergeCell ref="A72:AT73"/>
    <mergeCell ref="A544:AT545"/>
    <mergeCell ref="AK738:AO738"/>
    <mergeCell ref="G730:J730"/>
    <mergeCell ref="X730:AB730"/>
    <mergeCell ref="X731:AB731"/>
    <mergeCell ref="AH732:AJ732"/>
    <mergeCell ref="T737:W737"/>
    <mergeCell ref="T733:W733"/>
    <mergeCell ref="X735:AB735"/>
    <mergeCell ref="X736:AB736"/>
    <mergeCell ref="O731:S731"/>
    <mergeCell ref="O734:S734"/>
    <mergeCell ref="AC734:AG734"/>
    <mergeCell ref="AC735:AG735"/>
    <mergeCell ref="T732:W732"/>
    <mergeCell ref="T731:W731"/>
    <mergeCell ref="AH737:AJ737"/>
    <mergeCell ref="AH738:AJ738"/>
    <mergeCell ref="AH736:AJ736"/>
    <mergeCell ref="X732:AB732"/>
    <mergeCell ref="K734:N734"/>
    <mergeCell ref="AH517:AK517"/>
    <mergeCell ref="T555:V555"/>
    <mergeCell ref="W559:Y559"/>
    <mergeCell ref="G580:R580"/>
    <mergeCell ref="W631:Y631"/>
    <mergeCell ref="AG615:AH615"/>
    <mergeCell ref="G612:R612"/>
    <mergeCell ref="G611:R611"/>
    <mergeCell ref="Z602:AK602"/>
    <mergeCell ref="EM636:EQ636"/>
    <mergeCell ref="DX637:EB637"/>
    <mergeCell ref="AC633:AE633"/>
    <mergeCell ref="B639:AN639"/>
    <mergeCell ref="B640:AN640"/>
    <mergeCell ref="B719:F719"/>
    <mergeCell ref="B714:F717"/>
    <mergeCell ref="AH719:AJ719"/>
    <mergeCell ref="CZ717:DD717"/>
    <mergeCell ref="Z667:AK667"/>
    <mergeCell ref="EM642:EQ642"/>
    <mergeCell ref="DE738:DI738"/>
    <mergeCell ref="DX649:EB649"/>
    <mergeCell ref="DU739:DY739"/>
    <mergeCell ref="DZ739:ED739"/>
    <mergeCell ref="EE739:EI739"/>
    <mergeCell ref="EC661:EG661"/>
    <mergeCell ref="EH661:EL661"/>
    <mergeCell ref="EM651:EQ651"/>
    <mergeCell ref="EO718:ES718"/>
    <mergeCell ref="Z646:AK646"/>
    <mergeCell ref="Q636:S636"/>
    <mergeCell ref="Q637:S637"/>
    <mergeCell ref="C636:L636"/>
    <mergeCell ref="N665:O665"/>
    <mergeCell ref="AA656:AK656"/>
    <mergeCell ref="Z653:AK653"/>
    <mergeCell ref="W636:Y636"/>
    <mergeCell ref="ER642:EV642"/>
    <mergeCell ref="DX641:EB641"/>
    <mergeCell ref="EC644:EG644"/>
    <mergeCell ref="EH644:EL644"/>
    <mergeCell ref="M624:P626"/>
    <mergeCell ref="AM556:AS556"/>
    <mergeCell ref="AM565:AS565"/>
    <mergeCell ref="Z601:AK601"/>
    <mergeCell ref="CP794:CT794"/>
    <mergeCell ref="CP795:CT795"/>
    <mergeCell ref="CP796:CT796"/>
    <mergeCell ref="CP793:CT793"/>
    <mergeCell ref="CP792:CT792"/>
    <mergeCell ref="CP791:CT791"/>
    <mergeCell ref="CP790:CT790"/>
    <mergeCell ref="AK723:AO723"/>
    <mergeCell ref="AK724:AO724"/>
    <mergeCell ref="AK725:AO725"/>
    <mergeCell ref="CK751:CL751"/>
    <mergeCell ref="CP775:CT775"/>
    <mergeCell ref="CP776:CT776"/>
    <mergeCell ref="AO637:AS637"/>
    <mergeCell ref="CP777:CT777"/>
    <mergeCell ref="CP773:CT773"/>
    <mergeCell ref="O775:S775"/>
    <mergeCell ref="AO632:AS632"/>
    <mergeCell ref="K731:N731"/>
    <mergeCell ref="AC638:AE638"/>
    <mergeCell ref="Z632:AB632"/>
    <mergeCell ref="T726:W726"/>
    <mergeCell ref="O796:S796"/>
    <mergeCell ref="X737:AB737"/>
    <mergeCell ref="X787:AB787"/>
    <mergeCell ref="T744:W744"/>
    <mergeCell ref="O739:S739"/>
    <mergeCell ref="O740:S740"/>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DX656:EB656"/>
    <mergeCell ref="EC656:EG656"/>
    <mergeCell ref="EH656:EL656"/>
    <mergeCell ref="EM656:EQ656"/>
    <mergeCell ref="DJ734:DN734"/>
    <mergeCell ref="DO753:DS753"/>
    <mergeCell ref="DO773:DS773"/>
    <mergeCell ref="CU752:CY752"/>
    <mergeCell ref="CU773:CY773"/>
    <mergeCell ref="EE753:EI753"/>
    <mergeCell ref="EM653:EQ653"/>
    <mergeCell ref="ER653:EV653"/>
    <mergeCell ref="EW647:FA647"/>
    <mergeCell ref="EW655:FA655"/>
    <mergeCell ref="EW650:FA650"/>
    <mergeCell ref="EW648:FA648"/>
    <mergeCell ref="EW651:FA651"/>
    <mergeCell ref="EW649:FA649"/>
    <mergeCell ref="EW652:FA652"/>
    <mergeCell ref="DX666:EB666"/>
    <mergeCell ref="EC666:EG666"/>
    <mergeCell ref="EC652:EG652"/>
    <mergeCell ref="ER669:EV669"/>
    <mergeCell ref="ER668:EV668"/>
    <mergeCell ref="EW668:FA668"/>
    <mergeCell ref="EW664:FA664"/>
    <mergeCell ref="EW666:FA666"/>
    <mergeCell ref="EW654:FA654"/>
    <mergeCell ref="DX647:EB647"/>
    <mergeCell ref="ER661:EV661"/>
    <mergeCell ref="EM649:EQ649"/>
    <mergeCell ref="EM654:EQ654"/>
    <mergeCell ref="EM652:EQ652"/>
    <mergeCell ref="DX650:EB650"/>
    <mergeCell ref="EC650:EG650"/>
    <mergeCell ref="EC655:EG655"/>
    <mergeCell ref="DX667:EB667"/>
    <mergeCell ref="EW661:FA661"/>
    <mergeCell ref="EM662:EQ662"/>
    <mergeCell ref="ER662:EV662"/>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DZ738:ED738"/>
    <mergeCell ref="EE738:EI738"/>
    <mergeCell ref="EJ738:EN738"/>
    <mergeCell ref="EC642:EG642"/>
    <mergeCell ref="DJ751:DN751"/>
    <mergeCell ref="CZ745:DD745"/>
    <mergeCell ref="DE745:DI745"/>
    <mergeCell ref="CP738:CT738"/>
    <mergeCell ref="DZ737:ED737"/>
    <mergeCell ref="EO753:ES753"/>
    <mergeCell ref="DJ776:DN776"/>
    <mergeCell ref="DO776:DS776"/>
    <mergeCell ref="DO775:DS775"/>
    <mergeCell ref="DJ753:DN753"/>
    <mergeCell ref="DE740:DI740"/>
    <mergeCell ref="DU740:DY740"/>
    <mergeCell ref="DZ740:ED740"/>
    <mergeCell ref="EE740:EI740"/>
    <mergeCell ref="EJ740:EN740"/>
    <mergeCell ref="CU775:CY775"/>
    <mergeCell ref="EE745:EI745"/>
    <mergeCell ref="EO745:ES745"/>
    <mergeCell ref="DU749:DY749"/>
    <mergeCell ref="DZ749:ED749"/>
    <mergeCell ref="CP753:CT753"/>
    <mergeCell ref="EO737:ES737"/>
    <mergeCell ref="DE739:DI739"/>
    <mergeCell ref="EO740:ES740"/>
    <mergeCell ref="EO738:ES738"/>
    <mergeCell ref="CP741:CT741"/>
    <mergeCell ref="DE741:DI741"/>
    <mergeCell ref="CP746:CT746"/>
    <mergeCell ref="CU746:CY746"/>
    <mergeCell ref="CU744:CY744"/>
    <mergeCell ref="CP750:CT750"/>
    <mergeCell ref="CU750:CY750"/>
    <mergeCell ref="DU741:DY741"/>
    <mergeCell ref="DZ741:ED741"/>
    <mergeCell ref="DJ747:DN747"/>
    <mergeCell ref="DO747:DS747"/>
    <mergeCell ref="CZ753:DD753"/>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EE726:EI726"/>
    <mergeCell ref="EJ726:EN726"/>
    <mergeCell ref="DO720:DS720"/>
    <mergeCell ref="DJ738:DN738"/>
    <mergeCell ref="EO722:ES722"/>
    <mergeCell ref="EE721:EI721"/>
    <mergeCell ref="EJ721:EN721"/>
    <mergeCell ref="DZ721:ED721"/>
    <mergeCell ref="DZ722:ED722"/>
    <mergeCell ref="DU737:DY737"/>
    <mergeCell ref="DU735:DY735"/>
    <mergeCell ref="DO737:DS737"/>
    <mergeCell ref="DO738:DS738"/>
    <mergeCell ref="EZ720:FD720"/>
    <mergeCell ref="DU736:DY736"/>
    <mergeCell ref="EM666:EQ666"/>
    <mergeCell ref="ER666:EV666"/>
    <mergeCell ref="DU721:DY721"/>
    <mergeCell ref="DU717:DY717"/>
    <mergeCell ref="DU719:DY719"/>
    <mergeCell ref="EE717:EI717"/>
    <mergeCell ref="EJ720:EN720"/>
    <mergeCell ref="EZ726:FD726"/>
    <mergeCell ref="DO734:DS734"/>
    <mergeCell ref="ET724:EX724"/>
    <mergeCell ref="EO726:ES726"/>
    <mergeCell ref="ET726:EX726"/>
    <mergeCell ref="ET722:EX722"/>
    <mergeCell ref="DU722:DY722"/>
    <mergeCell ref="EE734:EI734"/>
    <mergeCell ref="DU731:DY731"/>
    <mergeCell ref="EW669:FA669"/>
    <mergeCell ref="DO732:DS732"/>
    <mergeCell ref="ER657:EV657"/>
    <mergeCell ref="EW657:FA657"/>
    <mergeCell ref="EH659:EL659"/>
    <mergeCell ref="EM668:EQ668"/>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M670:EQ670"/>
    <mergeCell ref="DU718:DY718"/>
    <mergeCell ref="DU727:DY727"/>
    <mergeCell ref="ER654:EV654"/>
    <mergeCell ref="DX670:EB670"/>
    <mergeCell ref="EM664:EQ664"/>
    <mergeCell ref="ER664:EV664"/>
    <mergeCell ref="EC667:EG667"/>
    <mergeCell ref="EH667:EL667"/>
    <mergeCell ref="DX640:EB640"/>
    <mergeCell ref="ER649:EV649"/>
    <mergeCell ref="DU733:DY733"/>
    <mergeCell ref="ET731:EX731"/>
    <mergeCell ref="EJ727:EN727"/>
    <mergeCell ref="EO729:ES729"/>
    <mergeCell ref="EO732:ES732"/>
    <mergeCell ref="ET729:EX729"/>
    <mergeCell ref="EO719:ES719"/>
    <mergeCell ref="ET719:EX719"/>
    <mergeCell ref="EJ722:EN722"/>
    <mergeCell ref="DU729:DY729"/>
    <mergeCell ref="EO717:ES717"/>
    <mergeCell ref="EJ729:EN729"/>
    <mergeCell ref="EJ717:EN717"/>
    <mergeCell ref="EW660:FA660"/>
    <mergeCell ref="DX661:EB661"/>
    <mergeCell ref="DX652:EB652"/>
    <mergeCell ref="EW641:FA641"/>
    <mergeCell ref="EH642:EL642"/>
    <mergeCell ref="EJ718:EN718"/>
    <mergeCell ref="DZ717:ED717"/>
    <mergeCell ref="DX645:EB645"/>
    <mergeCell ref="DZ718:ED718"/>
    <mergeCell ref="EZ717:FD717"/>
    <mergeCell ref="EW670:FA670"/>
    <mergeCell ref="EW656:FA656"/>
    <mergeCell ref="EM650:EQ650"/>
    <mergeCell ref="DX653:EB653"/>
    <mergeCell ref="EC653:EG653"/>
    <mergeCell ref="DX654:EB654"/>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R639:EV639"/>
    <mergeCell ref="EC640:EG640"/>
    <mergeCell ref="EW640:FA640"/>
    <mergeCell ref="ER643:EV643"/>
    <mergeCell ref="ER640:EV640"/>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ER650:EV650"/>
    <mergeCell ref="EE732:EI732"/>
    <mergeCell ref="EJ732:EN732"/>
    <mergeCell ref="EE737:EI737"/>
    <mergeCell ref="EJ737:EN737"/>
    <mergeCell ref="FY742:GC742"/>
    <mergeCell ref="FO738:FS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W639:FA639"/>
    <mergeCell ref="FJ735:FN735"/>
    <mergeCell ref="FO735:FS735"/>
    <mergeCell ref="FT735:FX735"/>
    <mergeCell ref="FY735:GC735"/>
    <mergeCell ref="EZ736:FD736"/>
    <mergeCell ref="FJ730:FN730"/>
    <mergeCell ref="FO730:FS730"/>
    <mergeCell ref="EZ729:FD729"/>
    <mergeCell ref="FE729:FI729"/>
    <mergeCell ref="FJ729:FN729"/>
    <mergeCell ref="FO729:FS729"/>
    <mergeCell ref="FT729:FX729"/>
    <mergeCell ref="FY729:GC729"/>
    <mergeCell ref="FY737:GC737"/>
    <mergeCell ref="FT751:FX751"/>
    <mergeCell ref="FY751:GC751"/>
    <mergeCell ref="FY728:GC728"/>
    <mergeCell ref="FE721:FI721"/>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T741:FX741"/>
    <mergeCell ref="FY738:GC738"/>
    <mergeCell ref="FY730:GC730"/>
    <mergeCell ref="EZ731:FD731"/>
    <mergeCell ref="FE731:FI731"/>
    <mergeCell ref="FJ731:FN731"/>
    <mergeCell ref="FO731:FS731"/>
    <mergeCell ref="FT731:FX731"/>
    <mergeCell ref="FY731:GC731"/>
    <mergeCell ref="EZ732:FD732"/>
    <mergeCell ref="FE732:FI732"/>
    <mergeCell ref="FJ732:FN732"/>
    <mergeCell ref="FY734:GC734"/>
    <mergeCell ref="EZ735:FD735"/>
    <mergeCell ref="FE735:FI735"/>
    <mergeCell ref="FT737:FX737"/>
    <mergeCell ref="FT738:FX738"/>
    <mergeCell ref="FE730:FI730"/>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4:FX724"/>
    <mergeCell ref="FY724:GC724"/>
    <mergeCell ref="FJ724:FN724"/>
    <mergeCell ref="FO724:FS724"/>
    <mergeCell ref="FJ721:FN721"/>
    <mergeCell ref="FO721:FS721"/>
    <mergeCell ref="EZ725:FD725"/>
    <mergeCell ref="FE725:FI725"/>
    <mergeCell ref="EZ724:FD724"/>
    <mergeCell ref="FT730:FX730"/>
    <mergeCell ref="FY725:GC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0:GC720"/>
    <mergeCell ref="FT723:FX723"/>
    <mergeCell ref="FY723:GC723"/>
    <mergeCell ref="FT721:FX721"/>
    <mergeCell ref="FE720:FI720"/>
    <mergeCell ref="FJ720:FN720"/>
    <mergeCell ref="FO720:FS720"/>
    <mergeCell ref="FE717:FI717"/>
    <mergeCell ref="FJ717:FN717"/>
    <mergeCell ref="FO717:FS717"/>
    <mergeCell ref="FT720:FX720"/>
    <mergeCell ref="FJ725:FN725"/>
    <mergeCell ref="FO725:FS725"/>
    <mergeCell ref="FT725:FX725"/>
    <mergeCell ref="EZ721:FD721"/>
    <mergeCell ref="FE726:FI726"/>
    <mergeCell ref="FJ726:FN726"/>
    <mergeCell ref="FO726:FS726"/>
    <mergeCell ref="FT726:FX726"/>
    <mergeCell ref="FY726:GC726"/>
    <mergeCell ref="EZ727:FD727"/>
    <mergeCell ref="AJ1049:AQ1052"/>
    <mergeCell ref="AJ1045:AQ1048"/>
    <mergeCell ref="D995:AE998"/>
    <mergeCell ref="D999:AE999"/>
    <mergeCell ref="M971:S971"/>
    <mergeCell ref="M956:S956"/>
    <mergeCell ref="EZ728:FD728"/>
    <mergeCell ref="FE728:FI728"/>
    <mergeCell ref="FJ728:FN728"/>
    <mergeCell ref="FO728:FS728"/>
    <mergeCell ref="FT728:FX728"/>
    <mergeCell ref="D994:AE994"/>
    <mergeCell ref="D1042:AE1044"/>
    <mergeCell ref="J1024:AE1024"/>
    <mergeCell ref="AJ992:AQ992"/>
    <mergeCell ref="AJ993:AQ993"/>
    <mergeCell ref="D1013:AE1013"/>
    <mergeCell ref="AF993:AI993"/>
    <mergeCell ref="AG994:AH994"/>
    <mergeCell ref="AG1001:AH1001"/>
    <mergeCell ref="AG1007:AH1007"/>
    <mergeCell ref="AG1011:AH1011"/>
    <mergeCell ref="AG1013:AH1013"/>
    <mergeCell ref="AF1023:AI1024"/>
    <mergeCell ref="D1007:AE1007"/>
    <mergeCell ref="M975:S975"/>
    <mergeCell ref="J783:N786"/>
    <mergeCell ref="T790:W790"/>
    <mergeCell ref="T793:W793"/>
    <mergeCell ref="D989:Q989"/>
    <mergeCell ref="R988:AA988"/>
    <mergeCell ref="O974:P974"/>
    <mergeCell ref="U915:Z917"/>
    <mergeCell ref="U950:Z950"/>
    <mergeCell ref="AA945:AF945"/>
    <mergeCell ref="U918:Z918"/>
    <mergeCell ref="T973:Z973"/>
    <mergeCell ref="I947:T947"/>
    <mergeCell ref="M962:S962"/>
    <mergeCell ref="AA925:AF925"/>
    <mergeCell ref="AE958:AK958"/>
    <mergeCell ref="AA973:AG973"/>
    <mergeCell ref="R985:AA985"/>
    <mergeCell ref="A979:AT981"/>
    <mergeCell ref="AJ985:AQ985"/>
    <mergeCell ref="AJ987:AQ987"/>
    <mergeCell ref="B993:AE993"/>
    <mergeCell ref="B738:F738"/>
    <mergeCell ref="B744:F744"/>
    <mergeCell ref="B745:F745"/>
    <mergeCell ref="D1045:AE1045"/>
    <mergeCell ref="D1014:AE1015"/>
    <mergeCell ref="AG1045:AH1045"/>
    <mergeCell ref="D1017:AE1019"/>
    <mergeCell ref="AG1032:AH1032"/>
    <mergeCell ref="D1036:AE1036"/>
    <mergeCell ref="AG1041:AH1041"/>
    <mergeCell ref="AG1036:AH1036"/>
    <mergeCell ref="D1026:AE1028"/>
    <mergeCell ref="AA975:AG975"/>
    <mergeCell ref="D1001:AE1001"/>
    <mergeCell ref="D1002:AE1006"/>
    <mergeCell ref="D1011:AE1011"/>
    <mergeCell ref="D1012:AE1012"/>
    <mergeCell ref="AF1027:AI1028"/>
    <mergeCell ref="R990:AA990"/>
    <mergeCell ref="AC747:AG747"/>
    <mergeCell ref="K749:N749"/>
    <mergeCell ref="M972:S972"/>
    <mergeCell ref="C766:AR768"/>
    <mergeCell ref="D985:Q985"/>
    <mergeCell ref="D986:Q986"/>
    <mergeCell ref="AB985:AI985"/>
    <mergeCell ref="AB986:AI986"/>
    <mergeCell ref="AB987:AI987"/>
    <mergeCell ref="D987:Q987"/>
    <mergeCell ref="R989:AA989"/>
    <mergeCell ref="AJ989:AQ989"/>
    <mergeCell ref="AJ1029:AQ1031"/>
    <mergeCell ref="D1029:AE1029"/>
    <mergeCell ref="U925:Z925"/>
    <mergeCell ref="W854:AC854"/>
    <mergeCell ref="C837:AJ837"/>
    <mergeCell ref="Q832:T832"/>
    <mergeCell ref="D1053:AI1053"/>
    <mergeCell ref="AK745:AO745"/>
    <mergeCell ref="AH741:AJ741"/>
    <mergeCell ref="AK740:AO740"/>
    <mergeCell ref="AK741:AO741"/>
    <mergeCell ref="AK752:AO752"/>
    <mergeCell ref="O741:S741"/>
    <mergeCell ref="B991:AA991"/>
    <mergeCell ref="J787:N787"/>
    <mergeCell ref="D1000:AE1000"/>
    <mergeCell ref="O776:S776"/>
    <mergeCell ref="O769:S772"/>
    <mergeCell ref="B754:AH755"/>
    <mergeCell ref="X774:AB774"/>
    <mergeCell ref="T773:W773"/>
    <mergeCell ref="J773:N773"/>
    <mergeCell ref="O773:S773"/>
    <mergeCell ref="T752:W752"/>
    <mergeCell ref="M959:S959"/>
    <mergeCell ref="G743:J743"/>
    <mergeCell ref="G744:J744"/>
    <mergeCell ref="G745:J745"/>
    <mergeCell ref="G746:J746"/>
    <mergeCell ref="G747:J747"/>
    <mergeCell ref="D1022:AE1023"/>
    <mergeCell ref="D988:Q988"/>
    <mergeCell ref="AJ990:AQ990"/>
    <mergeCell ref="T742:W742"/>
    <mergeCell ref="T741:W741"/>
    <mergeCell ref="G738:J738"/>
    <mergeCell ref="O747:S747"/>
    <mergeCell ref="T747:W747"/>
    <mergeCell ref="AC748:AG748"/>
    <mergeCell ref="AA672:AK672"/>
    <mergeCell ref="Z684:AK684"/>
    <mergeCell ref="AF636:AJ636"/>
    <mergeCell ref="AF637:AJ637"/>
    <mergeCell ref="AC636:AE636"/>
    <mergeCell ref="AC719:AG719"/>
    <mergeCell ref="AK737:AO737"/>
    <mergeCell ref="AC732:AG732"/>
    <mergeCell ref="K743:N743"/>
    <mergeCell ref="T718:W718"/>
    <mergeCell ref="O721:S721"/>
    <mergeCell ref="K722:N722"/>
    <mergeCell ref="K723:N723"/>
    <mergeCell ref="T723:W723"/>
    <mergeCell ref="K721:N721"/>
    <mergeCell ref="O720:S720"/>
    <mergeCell ref="O733:S733"/>
    <mergeCell ref="K719:N719"/>
    <mergeCell ref="M967:S967"/>
    <mergeCell ref="O792:S792"/>
    <mergeCell ref="D990:Q990"/>
    <mergeCell ref="AB989:AI989"/>
    <mergeCell ref="AB990:AI990"/>
    <mergeCell ref="W974:AG974"/>
    <mergeCell ref="M973:S973"/>
    <mergeCell ref="T749:W749"/>
    <mergeCell ref="K750:N750"/>
    <mergeCell ref="X748:AB748"/>
    <mergeCell ref="X749:AB749"/>
    <mergeCell ref="X750:AB750"/>
    <mergeCell ref="F916:T917"/>
    <mergeCell ref="F939:T939"/>
    <mergeCell ref="AB988:AI988"/>
    <mergeCell ref="R986:AA986"/>
    <mergeCell ref="B737:F737"/>
    <mergeCell ref="B735:F735"/>
    <mergeCell ref="I946:T946"/>
    <mergeCell ref="AA946:AF946"/>
    <mergeCell ref="O749:S749"/>
    <mergeCell ref="AA971:AG971"/>
    <mergeCell ref="T972:Z972"/>
    <mergeCell ref="M968:S968"/>
    <mergeCell ref="F932:T932"/>
    <mergeCell ref="C827:H827"/>
    <mergeCell ref="W866:AC866"/>
    <mergeCell ref="G748:J748"/>
    <mergeCell ref="G749:J749"/>
    <mergeCell ref="G750:J750"/>
    <mergeCell ref="G751:J751"/>
    <mergeCell ref="K742:N742"/>
    <mergeCell ref="O742:S742"/>
    <mergeCell ref="AG830:AJ830"/>
    <mergeCell ref="F975:L975"/>
    <mergeCell ref="T736:W736"/>
    <mergeCell ref="Q823:T824"/>
    <mergeCell ref="Z809:AE809"/>
    <mergeCell ref="O791:S791"/>
    <mergeCell ref="A1125:B1125"/>
    <mergeCell ref="G725:J725"/>
    <mergeCell ref="B732:F732"/>
    <mergeCell ref="T745:W745"/>
    <mergeCell ref="AH730:AJ730"/>
    <mergeCell ref="AC794:AG794"/>
    <mergeCell ref="AC795:AG795"/>
    <mergeCell ref="D1125:AK1127"/>
    <mergeCell ref="X726:AB726"/>
    <mergeCell ref="M831:P831"/>
    <mergeCell ref="Q831:T831"/>
    <mergeCell ref="AA970:AG970"/>
    <mergeCell ref="M970:S970"/>
    <mergeCell ref="AG825:AJ825"/>
    <mergeCell ref="I948:T948"/>
    <mergeCell ref="AC895:AH895"/>
    <mergeCell ref="AA933:AF933"/>
    <mergeCell ref="Z900:AE900"/>
    <mergeCell ref="Y825:AB825"/>
    <mergeCell ref="AC825:AF825"/>
    <mergeCell ref="J776:N776"/>
    <mergeCell ref="B739:F739"/>
    <mergeCell ref="K735:N735"/>
    <mergeCell ref="K736:N736"/>
    <mergeCell ref="G736:J736"/>
    <mergeCell ref="J957:S957"/>
    <mergeCell ref="W859:AC859"/>
    <mergeCell ref="W849:AC849"/>
    <mergeCell ref="AC727:AG727"/>
    <mergeCell ref="G733:J733"/>
    <mergeCell ref="K737:N737"/>
    <mergeCell ref="AJ991:AQ991"/>
    <mergeCell ref="AG829:AJ829"/>
    <mergeCell ref="AG826:AJ826"/>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M969:S969"/>
    <mergeCell ref="AA935:AF935"/>
    <mergeCell ref="AA918:AF918"/>
    <mergeCell ref="AA969:AG969"/>
    <mergeCell ref="AA949:AF949"/>
    <mergeCell ref="E885:AB885"/>
    <mergeCell ref="M960:S960"/>
    <mergeCell ref="Z901:AE901"/>
    <mergeCell ref="AA920:AF920"/>
    <mergeCell ref="AA919:AF919"/>
    <mergeCell ref="W865:AC865"/>
    <mergeCell ref="W879:AC879"/>
    <mergeCell ref="U931:Z931"/>
    <mergeCell ref="C832:L832"/>
    <mergeCell ref="M823:P824"/>
    <mergeCell ref="CM735:CN735"/>
    <mergeCell ref="Y827:AB827"/>
    <mergeCell ref="U832:X832"/>
    <mergeCell ref="M832:P832"/>
    <mergeCell ref="AA923:AF923"/>
    <mergeCell ref="AB917:AE917"/>
    <mergeCell ref="AA922:AF922"/>
    <mergeCell ref="F915:T915"/>
    <mergeCell ref="D1046:AE1047"/>
    <mergeCell ref="M826:P826"/>
    <mergeCell ref="M871:V871"/>
    <mergeCell ref="M878:V878"/>
    <mergeCell ref="W870:AC870"/>
    <mergeCell ref="U946:Z946"/>
    <mergeCell ref="M958:S958"/>
    <mergeCell ref="U943:Z943"/>
    <mergeCell ref="U941:Z941"/>
    <mergeCell ref="AA943:AF943"/>
    <mergeCell ref="AC885:AH885"/>
    <mergeCell ref="W861:AC861"/>
    <mergeCell ref="C895:AB895"/>
    <mergeCell ref="F946:H946"/>
    <mergeCell ref="AA967:AG967"/>
    <mergeCell ref="F926:T926"/>
    <mergeCell ref="F927:T927"/>
    <mergeCell ref="F928:T928"/>
    <mergeCell ref="AA939:AF939"/>
    <mergeCell ref="AA940:AF940"/>
    <mergeCell ref="Y831:AB831"/>
    <mergeCell ref="AE956:AK956"/>
    <mergeCell ref="P945:T945"/>
    <mergeCell ref="U831:X831"/>
    <mergeCell ref="CU774:CY774"/>
    <mergeCell ref="X783:AB786"/>
    <mergeCell ref="AA972:AG972"/>
    <mergeCell ref="A910:AT911"/>
    <mergeCell ref="F936:T936"/>
    <mergeCell ref="AA947:AF947"/>
    <mergeCell ref="U928:Z928"/>
    <mergeCell ref="AA941:AF941"/>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W878:AC878"/>
    <mergeCell ref="EO721:ES721"/>
    <mergeCell ref="DZ731:ED731"/>
    <mergeCell ref="DZ726:ED726"/>
    <mergeCell ref="W847:AC847"/>
    <mergeCell ref="W845:AC845"/>
    <mergeCell ref="M846:V846"/>
    <mergeCell ref="W846:AC846"/>
    <mergeCell ref="M830:P830"/>
    <mergeCell ref="F831:L831"/>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U827:X827"/>
    <mergeCell ref="AC828:AF828"/>
    <mergeCell ref="Y829:AB829"/>
    <mergeCell ref="AC829:AF829"/>
    <mergeCell ref="Y826:AB826"/>
    <mergeCell ref="T638:V638"/>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O729:DS729"/>
    <mergeCell ref="DE723:DI723"/>
    <mergeCell ref="CZ729:DD729"/>
    <mergeCell ref="CZ727:DD727"/>
    <mergeCell ref="DU728:DY728"/>
    <mergeCell ref="U825:X825"/>
    <mergeCell ref="DU734:DY734"/>
    <mergeCell ref="DZ732:ED732"/>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CG722:CH722"/>
    <mergeCell ref="CM720:CN720"/>
    <mergeCell ref="CI720:CJ720"/>
    <mergeCell ref="CI726:CJ726"/>
    <mergeCell ref="CG726:CH726"/>
    <mergeCell ref="CM727:CN727"/>
    <mergeCell ref="CK726:CL726"/>
    <mergeCell ref="DE732:DI732"/>
    <mergeCell ref="EJ725:EN725"/>
    <mergeCell ref="DZ728:ED728"/>
    <mergeCell ref="EE724:EI724"/>
    <mergeCell ref="Z679:AE679"/>
    <mergeCell ref="Z670:AK670"/>
    <mergeCell ref="AK728:AO728"/>
    <mergeCell ref="AK729:AO729"/>
    <mergeCell ref="DX668:EB668"/>
    <mergeCell ref="EC668:EG668"/>
    <mergeCell ref="DO718:DS718"/>
    <mergeCell ref="DO719:DS719"/>
    <mergeCell ref="Z647:AE647"/>
    <mergeCell ref="AC720:AG720"/>
    <mergeCell ref="Z652:AK652"/>
    <mergeCell ref="Z668:AK668"/>
    <mergeCell ref="ET720:EX720"/>
    <mergeCell ref="EO728:ES728"/>
    <mergeCell ref="ET728:EX728"/>
    <mergeCell ref="EO720:ES720"/>
    <mergeCell ref="DE724:DI724"/>
    <mergeCell ref="EE718:EI718"/>
    <mergeCell ref="CZ718:DD718"/>
    <mergeCell ref="AC721:AG721"/>
    <mergeCell ref="AH720:AJ720"/>
    <mergeCell ref="AH721:AJ721"/>
    <mergeCell ref="AK719:AO719"/>
    <mergeCell ref="Z651:AK651"/>
    <mergeCell ref="DJ718:DN718"/>
    <mergeCell ref="CZ719:DD719"/>
    <mergeCell ref="DJ719:DN719"/>
    <mergeCell ref="CU717:CY717"/>
    <mergeCell ref="DU726:DY726"/>
    <mergeCell ref="DJ730:DN730"/>
    <mergeCell ref="AH729:AJ729"/>
    <mergeCell ref="AK726:AO726"/>
    <mergeCell ref="DX643:EB643"/>
    <mergeCell ref="DO731:DS731"/>
    <mergeCell ref="DJ728:DN728"/>
    <mergeCell ref="AE702:AF702"/>
    <mergeCell ref="AI663:AK663"/>
    <mergeCell ref="B641:AN641"/>
    <mergeCell ref="G643:R643"/>
    <mergeCell ref="AK730:AO730"/>
    <mergeCell ref="AC724:AG724"/>
    <mergeCell ref="AC730:AG730"/>
    <mergeCell ref="AE693:AF693"/>
    <mergeCell ref="K730:N730"/>
    <mergeCell ref="T727:W727"/>
    <mergeCell ref="AO641:AS641"/>
    <mergeCell ref="DO730:DS730"/>
    <mergeCell ref="DJ720:DN720"/>
    <mergeCell ref="DJ717:DN717"/>
    <mergeCell ref="DJ722:DN722"/>
    <mergeCell ref="AK714:AO717"/>
    <mergeCell ref="AK718:AO718"/>
    <mergeCell ref="AI671:AK671"/>
    <mergeCell ref="O730:S730"/>
    <mergeCell ref="AC723:AG723"/>
    <mergeCell ref="G726:J726"/>
    <mergeCell ref="DX655:EB655"/>
    <mergeCell ref="EE722:EI722"/>
    <mergeCell ref="DE720:DI720"/>
    <mergeCell ref="CM721:CN721"/>
    <mergeCell ref="W633:Y633"/>
    <mergeCell ref="Z630:AB630"/>
    <mergeCell ref="DE719:DI719"/>
    <mergeCell ref="CZ720:DD720"/>
    <mergeCell ref="DE721:DI721"/>
    <mergeCell ref="CI719:CJ719"/>
    <mergeCell ref="CP719:CT719"/>
    <mergeCell ref="CG719:CH719"/>
    <mergeCell ref="CI721:CJ721"/>
    <mergeCell ref="J704:X704"/>
    <mergeCell ref="K720:N720"/>
    <mergeCell ref="T714:W717"/>
    <mergeCell ref="CU721:CY721"/>
    <mergeCell ref="W703:AK703"/>
    <mergeCell ref="G671:L671"/>
    <mergeCell ref="Q635:S635"/>
    <mergeCell ref="G669:R669"/>
    <mergeCell ref="G651:R651"/>
    <mergeCell ref="G652:R652"/>
    <mergeCell ref="AC634:AE634"/>
    <mergeCell ref="M637:P637"/>
    <mergeCell ref="M638:P638"/>
    <mergeCell ref="W638:Y638"/>
    <mergeCell ref="G655:L655"/>
    <mergeCell ref="H656:R656"/>
    <mergeCell ref="DU720:DY720"/>
    <mergeCell ref="AK638:AN638"/>
    <mergeCell ref="EH652:EL652"/>
    <mergeCell ref="EH653:EL653"/>
    <mergeCell ref="Q638:S638"/>
    <mergeCell ref="AF638:AJ638"/>
    <mergeCell ref="Z671:AE671"/>
    <mergeCell ref="CP721:CT721"/>
    <mergeCell ref="AF631:AJ631"/>
    <mergeCell ref="AK633:AN633"/>
    <mergeCell ref="CM717:CN717"/>
    <mergeCell ref="AK627:AN627"/>
    <mergeCell ref="AF632:AJ632"/>
    <mergeCell ref="AC631:AE631"/>
    <mergeCell ref="W700:AK700"/>
    <mergeCell ref="Z683:AK683"/>
    <mergeCell ref="AA688:AK688"/>
    <mergeCell ref="AC722:AG722"/>
    <mergeCell ref="AK722:AO722"/>
    <mergeCell ref="G661:R661"/>
    <mergeCell ref="AO628:AS628"/>
    <mergeCell ref="M635:P635"/>
    <mergeCell ref="P663:R663"/>
    <mergeCell ref="AO640:AS640"/>
    <mergeCell ref="G676:R676"/>
    <mergeCell ref="CG718:CH718"/>
    <mergeCell ref="Q627:S627"/>
    <mergeCell ref="Q628:S628"/>
    <mergeCell ref="Q629:S629"/>
    <mergeCell ref="W629:Y629"/>
    <mergeCell ref="CZ721:DD721"/>
    <mergeCell ref="DJ723:DN723"/>
    <mergeCell ref="DJ724:DN724"/>
    <mergeCell ref="AO636:AS636"/>
    <mergeCell ref="AG665:AH665"/>
    <mergeCell ref="CP717:CT717"/>
    <mergeCell ref="CI717:CJ717"/>
    <mergeCell ref="CM718:CN718"/>
    <mergeCell ref="CZ723:DD723"/>
    <mergeCell ref="CM719:CN719"/>
    <mergeCell ref="DO727:DS727"/>
    <mergeCell ref="AC635:AE635"/>
    <mergeCell ref="Z655:AE655"/>
    <mergeCell ref="Z662:AK662"/>
    <mergeCell ref="DO717:DS717"/>
    <mergeCell ref="DO725:DS725"/>
    <mergeCell ref="DO721:DS721"/>
    <mergeCell ref="AO633:AS633"/>
    <mergeCell ref="W634:Y634"/>
    <mergeCell ref="AO630:AS630"/>
    <mergeCell ref="X725:AB725"/>
    <mergeCell ref="AH724:AJ724"/>
    <mergeCell ref="T721:W721"/>
    <mergeCell ref="AE696:AI696"/>
    <mergeCell ref="Z631:AB631"/>
    <mergeCell ref="DE722:DI722"/>
    <mergeCell ref="CK722:CL722"/>
    <mergeCell ref="CK719:CL719"/>
    <mergeCell ref="CM722:CN722"/>
    <mergeCell ref="Z676:AK676"/>
    <mergeCell ref="CG720:CH720"/>
    <mergeCell ref="M561:P561"/>
    <mergeCell ref="Z635:AB635"/>
    <mergeCell ref="G609:R609"/>
    <mergeCell ref="AA573:AK573"/>
    <mergeCell ref="Z629:AB629"/>
    <mergeCell ref="AM562:AS562"/>
    <mergeCell ref="Q624:S626"/>
    <mergeCell ref="N599:O599"/>
    <mergeCell ref="Z578:AK578"/>
    <mergeCell ref="AM559:AS559"/>
    <mergeCell ref="Z568:AK568"/>
    <mergeCell ref="Z571:AK571"/>
    <mergeCell ref="AI564:AL564"/>
    <mergeCell ref="DO728:DS728"/>
    <mergeCell ref="DO722:DS722"/>
    <mergeCell ref="DO723:DS723"/>
    <mergeCell ref="DO724:DS724"/>
    <mergeCell ref="DJ721:DN721"/>
    <mergeCell ref="DO726:DS726"/>
    <mergeCell ref="G684:R684"/>
    <mergeCell ref="G581:L581"/>
    <mergeCell ref="Z604:AK604"/>
    <mergeCell ref="T628:V628"/>
    <mergeCell ref="AK628:AN628"/>
    <mergeCell ref="M631:P631"/>
    <mergeCell ref="M632:P632"/>
    <mergeCell ref="Q633:S633"/>
    <mergeCell ref="Q631:S631"/>
    <mergeCell ref="T632:V632"/>
    <mergeCell ref="T633:V633"/>
    <mergeCell ref="O722:S722"/>
    <mergeCell ref="G596:R596"/>
    <mergeCell ref="T563:V563"/>
    <mergeCell ref="Z564:AD564"/>
    <mergeCell ref="Z565:AD565"/>
    <mergeCell ref="Z572:AE572"/>
    <mergeCell ref="AM564:AS564"/>
    <mergeCell ref="AI655:AK655"/>
    <mergeCell ref="G662:R662"/>
    <mergeCell ref="AG681:AH681"/>
    <mergeCell ref="AI687:AK687"/>
    <mergeCell ref="Q564:S564"/>
    <mergeCell ref="AE561:AH561"/>
    <mergeCell ref="G654:R654"/>
    <mergeCell ref="G653:R653"/>
    <mergeCell ref="AC518:AF518"/>
    <mergeCell ref="AH504:AK504"/>
    <mergeCell ref="W635:Y635"/>
    <mergeCell ref="Z597:AE597"/>
    <mergeCell ref="G605:L605"/>
    <mergeCell ref="G604:R604"/>
    <mergeCell ref="AF629:AJ629"/>
    <mergeCell ref="AI613:AK613"/>
    <mergeCell ref="AA614:AK614"/>
    <mergeCell ref="AC624:AE626"/>
    <mergeCell ref="T630:V630"/>
    <mergeCell ref="T631:V631"/>
    <mergeCell ref="AC628:AE628"/>
    <mergeCell ref="C629:L629"/>
    <mergeCell ref="T629:V629"/>
    <mergeCell ref="AO631:AS631"/>
    <mergeCell ref="AM558:AS558"/>
    <mergeCell ref="AE563:AH563"/>
    <mergeCell ref="AM563:AS563"/>
    <mergeCell ref="P589:R589"/>
    <mergeCell ref="Z588:AK588"/>
    <mergeCell ref="Z686:AK686"/>
    <mergeCell ref="Z675:AK675"/>
    <mergeCell ref="G668:R668"/>
    <mergeCell ref="Z645:AK645"/>
    <mergeCell ref="G646:R646"/>
    <mergeCell ref="AF633:AJ633"/>
    <mergeCell ref="AM566:AS566"/>
    <mergeCell ref="Q632:S632"/>
    <mergeCell ref="AI565:AL565"/>
    <mergeCell ref="Z581:AE581"/>
    <mergeCell ref="Z586:AK586"/>
    <mergeCell ref="M565:P565"/>
    <mergeCell ref="Z595:AK595"/>
    <mergeCell ref="G603:R603"/>
    <mergeCell ref="P597:R597"/>
    <mergeCell ref="G597:L597"/>
    <mergeCell ref="G602:R602"/>
    <mergeCell ref="P671:R671"/>
    <mergeCell ref="G587:R587"/>
    <mergeCell ref="AI647:AK647"/>
    <mergeCell ref="W630:Y630"/>
    <mergeCell ref="H590:R590"/>
    <mergeCell ref="Z644:AK644"/>
    <mergeCell ref="P647:R647"/>
    <mergeCell ref="Z593:AK593"/>
    <mergeCell ref="AK629:AN629"/>
    <mergeCell ref="Z624:AB626"/>
    <mergeCell ref="AG649:AH649"/>
    <mergeCell ref="W632:Y632"/>
    <mergeCell ref="AC630:AE630"/>
    <mergeCell ref="AH519:AK519"/>
    <mergeCell ref="AH536:AK536"/>
    <mergeCell ref="AC502:AF502"/>
    <mergeCell ref="M636:P636"/>
    <mergeCell ref="AA664:AK664"/>
    <mergeCell ref="T635:V635"/>
    <mergeCell ref="T636:V636"/>
    <mergeCell ref="T637:V637"/>
    <mergeCell ref="G568:R568"/>
    <mergeCell ref="M574:R574"/>
    <mergeCell ref="W565:Y565"/>
    <mergeCell ref="M628:P628"/>
    <mergeCell ref="M633:P633"/>
    <mergeCell ref="Z605:AE605"/>
    <mergeCell ref="Z609:AK609"/>
    <mergeCell ref="AC632:AE632"/>
    <mergeCell ref="AA606:AK606"/>
    <mergeCell ref="P605:R605"/>
    <mergeCell ref="C628:L628"/>
    <mergeCell ref="G601:R601"/>
    <mergeCell ref="C638:L638"/>
    <mergeCell ref="AK634:AN634"/>
    <mergeCell ref="AK635:AN635"/>
    <mergeCell ref="AK636:AN636"/>
    <mergeCell ref="C637:L637"/>
    <mergeCell ref="AK637:AN637"/>
    <mergeCell ref="M634:P634"/>
    <mergeCell ref="Q634:S634"/>
    <mergeCell ref="AE565:AH565"/>
    <mergeCell ref="AE564:AH564"/>
    <mergeCell ref="AM561:AS561"/>
    <mergeCell ref="AF624:AJ626"/>
    <mergeCell ref="Q562:S562"/>
    <mergeCell ref="AH501:AK501"/>
    <mergeCell ref="G474:V474"/>
    <mergeCell ref="AH526:AK526"/>
    <mergeCell ref="W563:Y563"/>
    <mergeCell ref="W564:Y564"/>
    <mergeCell ref="M555:P555"/>
    <mergeCell ref="T560:V560"/>
    <mergeCell ref="Z561:AD561"/>
    <mergeCell ref="AE556:AH556"/>
    <mergeCell ref="AE559:AH559"/>
    <mergeCell ref="AI559:AL559"/>
    <mergeCell ref="T558:V558"/>
    <mergeCell ref="T561:V561"/>
    <mergeCell ref="W561:Y561"/>
    <mergeCell ref="W562:Y562"/>
    <mergeCell ref="T559:V559"/>
    <mergeCell ref="T557:V557"/>
    <mergeCell ref="AI562:AL562"/>
    <mergeCell ref="C563:L563"/>
    <mergeCell ref="Q556:S556"/>
    <mergeCell ref="Q557:S557"/>
    <mergeCell ref="Z557:AD557"/>
    <mergeCell ref="AH528:AK528"/>
    <mergeCell ref="M495:P495"/>
    <mergeCell ref="B501:H502"/>
    <mergeCell ref="AC520:AF520"/>
    <mergeCell ref="AC527:AF527"/>
    <mergeCell ref="AH505:AK505"/>
    <mergeCell ref="O526:AA526"/>
    <mergeCell ref="AC529:AF529"/>
    <mergeCell ref="AI556:AL556"/>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5:CY725"/>
    <mergeCell ref="CI725:CJ725"/>
    <mergeCell ref="CP730:CT730"/>
    <mergeCell ref="CU731:CY731"/>
    <mergeCell ref="AE562:AH562"/>
    <mergeCell ref="Z687:AE687"/>
    <mergeCell ref="A617:AT618"/>
    <mergeCell ref="P679:R679"/>
    <mergeCell ref="CU722:CY722"/>
    <mergeCell ref="J705:O705"/>
    <mergeCell ref="DJ725:DN725"/>
    <mergeCell ref="DE725:DI725"/>
    <mergeCell ref="CP726:CT726"/>
    <mergeCell ref="G670:R670"/>
    <mergeCell ref="Z669:AK669"/>
    <mergeCell ref="H680:R680"/>
    <mergeCell ref="H688:R688"/>
    <mergeCell ref="C633:L633"/>
    <mergeCell ref="C634:L634"/>
    <mergeCell ref="M630:P630"/>
    <mergeCell ref="CZ738:DD738"/>
    <mergeCell ref="CM736:CN736"/>
    <mergeCell ref="CI738:CJ738"/>
    <mergeCell ref="CU727:CY727"/>
    <mergeCell ref="DE735:DI735"/>
    <mergeCell ref="DE727:DI727"/>
    <mergeCell ref="G677:R677"/>
    <mergeCell ref="Z678:AK678"/>
    <mergeCell ref="H648:R648"/>
    <mergeCell ref="G675:R675"/>
    <mergeCell ref="CZ722:DD722"/>
    <mergeCell ref="AK720:AO720"/>
    <mergeCell ref="DE730:DI730"/>
    <mergeCell ref="DE731:DI731"/>
    <mergeCell ref="Z654:AK654"/>
    <mergeCell ref="X720:AB720"/>
    <mergeCell ref="G719:J719"/>
    <mergeCell ref="G659:R659"/>
    <mergeCell ref="O714:S717"/>
    <mergeCell ref="AK731:AO731"/>
    <mergeCell ref="K725:N725"/>
    <mergeCell ref="G679:L679"/>
    <mergeCell ref="CU718:CY718"/>
    <mergeCell ref="DE717:DI717"/>
    <mergeCell ref="CU719:CY719"/>
    <mergeCell ref="DE728:DI728"/>
    <mergeCell ref="K733:N733"/>
    <mergeCell ref="CI737:CJ737"/>
    <mergeCell ref="CZ725:DD725"/>
    <mergeCell ref="CZ724:DD724"/>
    <mergeCell ref="CI733:CJ733"/>
    <mergeCell ref="CP737:CT737"/>
    <mergeCell ref="CZ734:DD734"/>
    <mergeCell ref="CI735:CJ735"/>
    <mergeCell ref="CM732:CN732"/>
    <mergeCell ref="CU729:CY729"/>
    <mergeCell ref="CP733:CT733"/>
    <mergeCell ref="CK735:CL735"/>
    <mergeCell ref="CG724:CH724"/>
    <mergeCell ref="CG730:CH730"/>
    <mergeCell ref="CG728:CH728"/>
    <mergeCell ref="CU728:CY728"/>
    <mergeCell ref="CK732:CL732"/>
    <mergeCell ref="DJ731:DN731"/>
    <mergeCell ref="DJ729:DN729"/>
    <mergeCell ref="DE729:DI729"/>
    <mergeCell ref="CG735:CH735"/>
    <mergeCell ref="CG725:CH725"/>
    <mergeCell ref="DE726:DI726"/>
    <mergeCell ref="DE734:DI734"/>
    <mergeCell ref="CG737:CH737"/>
    <mergeCell ref="CG733:CH733"/>
    <mergeCell ref="CI734:CJ734"/>
    <mergeCell ref="CM733:CN733"/>
    <mergeCell ref="CZ735:DD735"/>
    <mergeCell ref="CU734:CY734"/>
    <mergeCell ref="CP736:CT736"/>
    <mergeCell ref="CM737:CN737"/>
    <mergeCell ref="CU737:CY737"/>
    <mergeCell ref="CZ741:DD741"/>
    <mergeCell ref="CG729:CH729"/>
    <mergeCell ref="CG723:CH723"/>
    <mergeCell ref="CU733:CY733"/>
    <mergeCell ref="CZ740:DD740"/>
    <mergeCell ref="CU741:CY741"/>
    <mergeCell ref="CZ739:DD739"/>
    <mergeCell ref="CK734:CL734"/>
    <mergeCell ref="CM734:CN734"/>
    <mergeCell ref="CK738:CL738"/>
    <mergeCell ref="CM724:CN724"/>
    <mergeCell ref="CG741:CH741"/>
    <mergeCell ref="CI741:CJ741"/>
    <mergeCell ref="CZ726:DD726"/>
    <mergeCell ref="CU740:CY740"/>
    <mergeCell ref="CI739:CJ739"/>
    <mergeCell ref="CK725:CL725"/>
    <mergeCell ref="CP723:CT723"/>
    <mergeCell ref="CK741:CL741"/>
    <mergeCell ref="CM741:CN741"/>
    <mergeCell ref="CK733:CL733"/>
    <mergeCell ref="CK724:CL724"/>
    <mergeCell ref="CM730:CN730"/>
    <mergeCell ref="CK727:CL727"/>
    <mergeCell ref="CU724:CY724"/>
    <mergeCell ref="CG738:CH738"/>
    <mergeCell ref="CK739:CL739"/>
    <mergeCell ref="CM739:CN739"/>
    <mergeCell ref="CG734:CH734"/>
    <mergeCell ref="CP739:CT739"/>
    <mergeCell ref="CM738:CN738"/>
    <mergeCell ref="CK736:CL736"/>
    <mergeCell ref="X733:AB733"/>
    <mergeCell ref="G732:J732"/>
    <mergeCell ref="B726:F726"/>
    <mergeCell ref="AC733:AG733"/>
    <mergeCell ref="X727:AB727"/>
    <mergeCell ref="AH718:AJ718"/>
    <mergeCell ref="AK721:AO721"/>
    <mergeCell ref="G714:J717"/>
    <mergeCell ref="AE699:AI699"/>
    <mergeCell ref="H672:R672"/>
    <mergeCell ref="AC728:AG728"/>
    <mergeCell ref="G683:R683"/>
    <mergeCell ref="N681:O681"/>
    <mergeCell ref="X719:AB719"/>
    <mergeCell ref="G686:R686"/>
    <mergeCell ref="N689:O689"/>
    <mergeCell ref="G678:R678"/>
    <mergeCell ref="G727:J727"/>
    <mergeCell ref="N673:O673"/>
    <mergeCell ref="G687:L687"/>
    <mergeCell ref="T722:W722"/>
    <mergeCell ref="Z677:AK677"/>
    <mergeCell ref="B718:F718"/>
    <mergeCell ref="G720:J720"/>
    <mergeCell ref="B721:F721"/>
    <mergeCell ref="K732:N732"/>
    <mergeCell ref="B720:F720"/>
    <mergeCell ref="O718:S718"/>
    <mergeCell ref="O723:S723"/>
    <mergeCell ref="X723:AB723"/>
    <mergeCell ref="T719:W719"/>
    <mergeCell ref="O724:S724"/>
    <mergeCell ref="O726:S726"/>
    <mergeCell ref="K724:N724"/>
    <mergeCell ref="B722:F722"/>
    <mergeCell ref="AG673:AH673"/>
    <mergeCell ref="B728:F728"/>
    <mergeCell ref="B725:F725"/>
    <mergeCell ref="B724:F724"/>
    <mergeCell ref="B727:F727"/>
    <mergeCell ref="AG689:AH689"/>
    <mergeCell ref="AC718:AG718"/>
    <mergeCell ref="T728:W728"/>
    <mergeCell ref="X728:AB728"/>
    <mergeCell ref="O719:S719"/>
    <mergeCell ref="K728:N728"/>
    <mergeCell ref="K718:N718"/>
    <mergeCell ref="G718:J718"/>
    <mergeCell ref="E707:AK707"/>
    <mergeCell ref="W706:AK706"/>
    <mergeCell ref="AE695:AI695"/>
    <mergeCell ref="AH723:AJ723"/>
    <mergeCell ref="AE959:AK959"/>
    <mergeCell ref="U920:Z920"/>
    <mergeCell ref="AE962:AK962"/>
    <mergeCell ref="M961:S961"/>
    <mergeCell ref="F944:T944"/>
    <mergeCell ref="U944:Z944"/>
    <mergeCell ref="W876:AC876"/>
    <mergeCell ref="M874:V874"/>
    <mergeCell ref="F938:T938"/>
    <mergeCell ref="U949:Z949"/>
    <mergeCell ref="I949:T949"/>
    <mergeCell ref="U938:Z938"/>
    <mergeCell ref="M955:S955"/>
    <mergeCell ref="AA944:AF944"/>
    <mergeCell ref="AE960:AK960"/>
    <mergeCell ref="AE961:AK961"/>
    <mergeCell ref="U922:Z922"/>
    <mergeCell ref="AA924:AF924"/>
    <mergeCell ref="W874:AC874"/>
    <mergeCell ref="AA948:AF948"/>
    <mergeCell ref="AA929:AF929"/>
    <mergeCell ref="U930:Z930"/>
    <mergeCell ref="AA930:AF930"/>
    <mergeCell ref="U926:Z926"/>
    <mergeCell ref="AA926:AF926"/>
    <mergeCell ref="U927:Z927"/>
    <mergeCell ref="AB957:AK957"/>
    <mergeCell ref="AA927:AF927"/>
    <mergeCell ref="F929:T929"/>
    <mergeCell ref="AC887:AH887"/>
    <mergeCell ref="U948:Z948"/>
    <mergeCell ref="U935:Z93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F930:T930"/>
    <mergeCell ref="F931:T931"/>
    <mergeCell ref="U936:Z936"/>
    <mergeCell ref="AA928:AF928"/>
    <mergeCell ref="AA936:AF936"/>
    <mergeCell ref="U929:Z929"/>
    <mergeCell ref="F940:T940"/>
    <mergeCell ref="U939:Z939"/>
    <mergeCell ref="U940:Z940"/>
    <mergeCell ref="AA938:AF938"/>
    <mergeCell ref="U923:Z923"/>
    <mergeCell ref="BD902:BE902"/>
    <mergeCell ref="BD901:BE901"/>
    <mergeCell ref="AA931:AF931"/>
    <mergeCell ref="U932:Z932"/>
    <mergeCell ref="AA932:AF932"/>
    <mergeCell ref="W842:AC84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AC886:AH886"/>
    <mergeCell ref="AC892:AH892"/>
    <mergeCell ref="M861:V861"/>
    <mergeCell ref="J849:V849"/>
    <mergeCell ref="W857:AC857"/>
    <mergeCell ref="W851:AC851"/>
    <mergeCell ref="W855:AC855"/>
    <mergeCell ref="W853:AC853"/>
    <mergeCell ref="W852:AC852"/>
    <mergeCell ref="C830:H830"/>
    <mergeCell ref="M877:V877"/>
    <mergeCell ref="W869:AC869"/>
    <mergeCell ref="W843:AC843"/>
    <mergeCell ref="Y830:AB830"/>
    <mergeCell ref="BD904:BE904"/>
    <mergeCell ref="BD906:BF906"/>
    <mergeCell ref="BD905:BF905"/>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AC797:AG797"/>
    <mergeCell ref="AC787:AG787"/>
    <mergeCell ref="AC753:AG753"/>
    <mergeCell ref="O753:S753"/>
    <mergeCell ref="AC742:AG742"/>
    <mergeCell ref="AC743:AG743"/>
    <mergeCell ref="AC744:AG744"/>
    <mergeCell ref="AC745:AG745"/>
    <mergeCell ref="AC746:AG746"/>
    <mergeCell ref="AC826:AF826"/>
    <mergeCell ref="AC827:AF827"/>
    <mergeCell ref="X789:AB789"/>
    <mergeCell ref="O788:S788"/>
    <mergeCell ref="AG827:AJ827"/>
    <mergeCell ref="K752:N752"/>
    <mergeCell ref="J774:N774"/>
    <mergeCell ref="AC739:AG739"/>
    <mergeCell ref="P816:Y816"/>
    <mergeCell ref="O795:S795"/>
    <mergeCell ref="X752:AB752"/>
    <mergeCell ref="J789:N789"/>
    <mergeCell ref="O745:S745"/>
    <mergeCell ref="T748:W748"/>
    <mergeCell ref="O752:S752"/>
    <mergeCell ref="X745:AB745"/>
    <mergeCell ref="X746:AB746"/>
    <mergeCell ref="X790:AB790"/>
    <mergeCell ref="X796:AB796"/>
    <mergeCell ref="O748:S748"/>
    <mergeCell ref="T775:W775"/>
    <mergeCell ref="C763:AR765"/>
    <mergeCell ref="AC752:AG752"/>
    <mergeCell ref="G735:J735"/>
    <mergeCell ref="T735:W735"/>
    <mergeCell ref="T734:W734"/>
    <mergeCell ref="AH735:AJ735"/>
    <mergeCell ref="K729:N729"/>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M828:P828"/>
    <mergeCell ref="M827:P827"/>
    <mergeCell ref="J797:N797"/>
    <mergeCell ref="M825:P825"/>
    <mergeCell ref="Z814:AE814"/>
    <mergeCell ref="Z817:AE817"/>
    <mergeCell ref="AC740:AG740"/>
    <mergeCell ref="AC741:AG741"/>
    <mergeCell ref="AC737:AG737"/>
    <mergeCell ref="J769:N772"/>
    <mergeCell ref="AG823:AJ824"/>
    <mergeCell ref="Q828:T828"/>
    <mergeCell ref="X734:AB734"/>
    <mergeCell ref="Q825:T825"/>
    <mergeCell ref="AC749:AG749"/>
    <mergeCell ref="AD759:AF759"/>
    <mergeCell ref="O746:S746"/>
    <mergeCell ref="K751:N751"/>
    <mergeCell ref="O751:S751"/>
    <mergeCell ref="T746:W746"/>
    <mergeCell ref="K747:N747"/>
    <mergeCell ref="AH750:AJ750"/>
    <mergeCell ref="O756:R756"/>
    <mergeCell ref="AG756:AJ756"/>
    <mergeCell ref="T730:W730"/>
    <mergeCell ref="G753:J753"/>
    <mergeCell ref="B751:F751"/>
    <mergeCell ref="C828:H828"/>
    <mergeCell ref="AC738:AG738"/>
    <mergeCell ref="AH753:AJ753"/>
    <mergeCell ref="AH749:AJ749"/>
    <mergeCell ref="AH739:AJ739"/>
    <mergeCell ref="AH740:AJ740"/>
    <mergeCell ref="O790:S790"/>
    <mergeCell ref="O783:S786"/>
    <mergeCell ref="O743:S743"/>
    <mergeCell ref="AC791:AG791"/>
    <mergeCell ref="T796:W796"/>
    <mergeCell ref="J779:K779"/>
    <mergeCell ref="J795:N795"/>
    <mergeCell ref="AC774:AG774"/>
    <mergeCell ref="X777:AB777"/>
    <mergeCell ref="J794:N794"/>
    <mergeCell ref="Q829:T829"/>
    <mergeCell ref="T791:W791"/>
    <mergeCell ref="T787:W787"/>
    <mergeCell ref="T788:W788"/>
    <mergeCell ref="T789:W789"/>
    <mergeCell ref="C825:H825"/>
    <mergeCell ref="C829:H829"/>
    <mergeCell ref="U829:X829"/>
    <mergeCell ref="B734:F734"/>
    <mergeCell ref="B740:F740"/>
    <mergeCell ref="B731:F731"/>
    <mergeCell ref="C826:H826"/>
    <mergeCell ref="K746:N746"/>
    <mergeCell ref="T751:W751"/>
    <mergeCell ref="K748:N748"/>
    <mergeCell ref="O750:S750"/>
    <mergeCell ref="G752:J752"/>
    <mergeCell ref="X751:AB751"/>
    <mergeCell ref="K740:N740"/>
    <mergeCell ref="U823:X824"/>
    <mergeCell ref="J792:N792"/>
    <mergeCell ref="Z806:AE806"/>
    <mergeCell ref="X791:AB791"/>
    <mergeCell ref="O793:S793"/>
    <mergeCell ref="J790:N790"/>
    <mergeCell ref="AC789:AG789"/>
    <mergeCell ref="AC790:AG790"/>
    <mergeCell ref="Z818:AE818"/>
    <mergeCell ref="T795:W795"/>
    <mergeCell ref="T776:W776"/>
    <mergeCell ref="T774:W774"/>
    <mergeCell ref="J788:N788"/>
    <mergeCell ref="AG607:AH607"/>
    <mergeCell ref="AO624:AS626"/>
    <mergeCell ref="AG591:AH591"/>
    <mergeCell ref="AK742:AO742"/>
    <mergeCell ref="X795:AB795"/>
    <mergeCell ref="Z813:AE813"/>
    <mergeCell ref="C798:AN799"/>
    <mergeCell ref="J793:N793"/>
    <mergeCell ref="Y801:AC801"/>
    <mergeCell ref="Y800:AC800"/>
    <mergeCell ref="AC796:AG796"/>
    <mergeCell ref="AC788:AG788"/>
    <mergeCell ref="AH727:AJ727"/>
    <mergeCell ref="O729:S729"/>
    <mergeCell ref="O727:S727"/>
    <mergeCell ref="AK727:AO727"/>
    <mergeCell ref="N649:O649"/>
    <mergeCell ref="G645:R645"/>
    <mergeCell ref="AO638:AS638"/>
    <mergeCell ref="B741:F741"/>
    <mergeCell ref="AK746:AO746"/>
    <mergeCell ref="O735:S735"/>
    <mergeCell ref="T738:W738"/>
    <mergeCell ref="AA680:AK680"/>
    <mergeCell ref="P687:R687"/>
    <mergeCell ref="R705:T705"/>
    <mergeCell ref="Z634:AB634"/>
    <mergeCell ref="AK750:AO750"/>
    <mergeCell ref="B753:F753"/>
    <mergeCell ref="B752:F752"/>
    <mergeCell ref="N607:O607"/>
    <mergeCell ref="G593:R593"/>
    <mergeCell ref="H606:R606"/>
    <mergeCell ref="G586:R586"/>
    <mergeCell ref="W560:Y560"/>
    <mergeCell ref="P572:R572"/>
    <mergeCell ref="Z603:AK603"/>
    <mergeCell ref="AI605:AK605"/>
    <mergeCell ref="G589:L589"/>
    <mergeCell ref="H582:R582"/>
    <mergeCell ref="Z579:AK579"/>
    <mergeCell ref="G577:R577"/>
    <mergeCell ref="AG599:AH599"/>
    <mergeCell ref="G595:R595"/>
    <mergeCell ref="Z577:AK577"/>
    <mergeCell ref="AF574:AK574"/>
    <mergeCell ref="G579:R579"/>
    <mergeCell ref="G594:R594"/>
    <mergeCell ref="Q558:S558"/>
    <mergeCell ref="C565:L565"/>
    <mergeCell ref="M559:P559"/>
    <mergeCell ref="C564:L564"/>
    <mergeCell ref="M564:P564"/>
    <mergeCell ref="Z558:AD558"/>
    <mergeCell ref="M562:P562"/>
    <mergeCell ref="M563:P563"/>
    <mergeCell ref="AI561:AL561"/>
    <mergeCell ref="AI581:AK581"/>
    <mergeCell ref="Z589:AE589"/>
    <mergeCell ref="N583:O583"/>
    <mergeCell ref="G585:R585"/>
    <mergeCell ref="AG575:AH575"/>
    <mergeCell ref="M560:P560"/>
    <mergeCell ref="Q563:S563"/>
    <mergeCell ref="W471:Y471"/>
    <mergeCell ref="M357:N357"/>
    <mergeCell ref="J385:U385"/>
    <mergeCell ref="P421:R421"/>
    <mergeCell ref="W473:Y473"/>
    <mergeCell ref="Q394:U394"/>
    <mergeCell ref="W554:Y554"/>
    <mergeCell ref="W555:Y555"/>
    <mergeCell ref="AC528:AF528"/>
    <mergeCell ref="D446:AF446"/>
    <mergeCell ref="D447:AF447"/>
    <mergeCell ref="W466:Y466"/>
    <mergeCell ref="B514:H516"/>
    <mergeCell ref="B517:H519"/>
    <mergeCell ref="D406:AJ407"/>
    <mergeCell ref="D445:AF445"/>
    <mergeCell ref="AH520:AK520"/>
    <mergeCell ref="T398:AJ398"/>
    <mergeCell ref="AG440:AJ440"/>
    <mergeCell ref="S401:U401"/>
    <mergeCell ref="AG401:AJ401"/>
    <mergeCell ref="AC387:AJ387"/>
    <mergeCell ref="V388:AJ388"/>
    <mergeCell ref="D443:AF443"/>
    <mergeCell ref="E368:AH369"/>
    <mergeCell ref="Q365:AG365"/>
    <mergeCell ref="AC507:AF507"/>
    <mergeCell ref="AE402:AJ402"/>
    <mergeCell ref="AC503:AF503"/>
    <mergeCell ref="Q493:AK493"/>
    <mergeCell ref="AC537:AF537"/>
    <mergeCell ref="AH512:AK512"/>
    <mergeCell ref="AJ355:AK355"/>
    <mergeCell ref="AG442:AJ442"/>
    <mergeCell ref="AG377:AH377"/>
    <mergeCell ref="E418:G418"/>
    <mergeCell ref="AD411:AE411"/>
    <mergeCell ref="F427:AH428"/>
    <mergeCell ref="J387:U387"/>
    <mergeCell ref="AI397:AJ397"/>
    <mergeCell ref="T399:AJ399"/>
    <mergeCell ref="AI339:AK339"/>
    <mergeCell ref="Q389:U389"/>
    <mergeCell ref="AJ357:AK357"/>
    <mergeCell ref="I421:K421"/>
    <mergeCell ref="P418:R418"/>
    <mergeCell ref="Q492:AK492"/>
    <mergeCell ref="M358:N358"/>
    <mergeCell ref="R411:S411"/>
    <mergeCell ref="Z434:AA434"/>
    <mergeCell ref="Q489:R490"/>
    <mergeCell ref="Q488:AK488"/>
    <mergeCell ref="AG380:AH380"/>
    <mergeCell ref="K403:AJ403"/>
    <mergeCell ref="P346:AE346"/>
    <mergeCell ref="Q390:U390"/>
    <mergeCell ref="I410:AE410"/>
    <mergeCell ref="AI389:AJ389"/>
    <mergeCell ref="P347:Z347"/>
    <mergeCell ref="J386:U386"/>
    <mergeCell ref="AG448:AJ448"/>
    <mergeCell ref="V381:W381"/>
    <mergeCell ref="AJ356:AK356"/>
    <mergeCell ref="AD377:AE377"/>
    <mergeCell ref="AA257:AK257"/>
    <mergeCell ref="M260:AE260"/>
    <mergeCell ref="AD412:AE412"/>
    <mergeCell ref="H414:AE415"/>
    <mergeCell ref="AE425:AF425"/>
    <mergeCell ref="AF418:AH418"/>
    <mergeCell ref="AG446:AJ446"/>
    <mergeCell ref="AA339:AF339"/>
    <mergeCell ref="S489:AK490"/>
    <mergeCell ref="P424:Q424"/>
    <mergeCell ref="D473:V473"/>
    <mergeCell ref="D470:V470"/>
    <mergeCell ref="D438:AF438"/>
    <mergeCell ref="N363:O363"/>
    <mergeCell ref="P349:AE349"/>
    <mergeCell ref="P339:R339"/>
    <mergeCell ref="AA341:AK341"/>
    <mergeCell ref="D448:AF448"/>
    <mergeCell ref="AG445:AJ445"/>
    <mergeCell ref="H320:R320"/>
    <mergeCell ref="H296:R296"/>
    <mergeCell ref="H323:M323"/>
    <mergeCell ref="M265:T265"/>
    <mergeCell ref="H316:M316"/>
    <mergeCell ref="H301:R301"/>
    <mergeCell ref="L277:AD277"/>
    <mergeCell ref="H314:R314"/>
    <mergeCell ref="P315:R315"/>
    <mergeCell ref="P323:R323"/>
    <mergeCell ref="AA308:AF308"/>
    <mergeCell ref="P348:Z348"/>
    <mergeCell ref="N373:AF374"/>
    <mergeCell ref="AC253:AE253"/>
    <mergeCell ref="AA292:AF292"/>
    <mergeCell ref="H292:M292"/>
    <mergeCell ref="H309:R309"/>
    <mergeCell ref="M254:AE254"/>
    <mergeCell ref="AA290:AK290"/>
    <mergeCell ref="H331:M331"/>
    <mergeCell ref="H341:R341"/>
    <mergeCell ref="H335:R335"/>
    <mergeCell ref="AA333:AK333"/>
    <mergeCell ref="H339:M339"/>
    <mergeCell ref="D469:V469"/>
    <mergeCell ref="AA331:AF331"/>
    <mergeCell ref="AA337:AK337"/>
    <mergeCell ref="AA336:AK336"/>
    <mergeCell ref="H333:R333"/>
    <mergeCell ref="D451:AJ452"/>
    <mergeCell ref="AI331:AK331"/>
    <mergeCell ref="H288:R288"/>
    <mergeCell ref="M253:T253"/>
    <mergeCell ref="L274:AJ274"/>
    <mergeCell ref="H289:R289"/>
    <mergeCell ref="AA330:AK330"/>
    <mergeCell ref="H324:M324"/>
    <mergeCell ref="AA325:AK325"/>
    <mergeCell ref="H315:M315"/>
    <mergeCell ref="H321:R321"/>
    <mergeCell ref="H322:R322"/>
    <mergeCell ref="L276:S276"/>
    <mergeCell ref="L278:Q278"/>
    <mergeCell ref="AA289:AK289"/>
    <mergeCell ref="H317:R317"/>
    <mergeCell ref="AA314:AK314"/>
    <mergeCell ref="AA312:AK312"/>
    <mergeCell ref="AA313:AK313"/>
    <mergeCell ref="AA315:AF315"/>
    <mergeCell ref="AA317:AK317"/>
    <mergeCell ref="AA322:AK322"/>
    <mergeCell ref="H319:R319"/>
    <mergeCell ref="AA316:AF316"/>
    <mergeCell ref="AA297:AK297"/>
    <mergeCell ref="H295:R295"/>
    <mergeCell ref="H298:R298"/>
    <mergeCell ref="H312:R312"/>
    <mergeCell ref="AI307:AK307"/>
    <mergeCell ref="H304:R304"/>
    <mergeCell ref="H303:R303"/>
    <mergeCell ref="AA319:AK319"/>
    <mergeCell ref="AA311:AK311"/>
    <mergeCell ref="AA306:AK306"/>
    <mergeCell ref="AA303:AK303"/>
    <mergeCell ref="H299:M299"/>
    <mergeCell ref="H300:M300"/>
    <mergeCell ref="AI291:AK291"/>
    <mergeCell ref="AA323:AF323"/>
    <mergeCell ref="AH254:AK254"/>
    <mergeCell ref="M259:AE259"/>
    <mergeCell ref="AA293:AK293"/>
    <mergeCell ref="L280:AD280"/>
    <mergeCell ref="L275:AD275"/>
    <mergeCell ref="H290:R290"/>
    <mergeCell ref="V276:W276"/>
    <mergeCell ref="AA301:AK301"/>
    <mergeCell ref="AA296:AK296"/>
    <mergeCell ref="M263:R263"/>
    <mergeCell ref="H327:R327"/>
    <mergeCell ref="H306:R306"/>
    <mergeCell ref="AA304:AK304"/>
    <mergeCell ref="AA309:AK309"/>
    <mergeCell ref="AA307:AF307"/>
    <mergeCell ref="AA305:AK305"/>
    <mergeCell ref="AF259:AK259"/>
    <mergeCell ref="AC261:AE261"/>
    <mergeCell ref="M262:AE262"/>
    <mergeCell ref="AA299:AF299"/>
    <mergeCell ref="AI299:AK299"/>
    <mergeCell ref="H297:R297"/>
    <mergeCell ref="AA300:AF300"/>
    <mergeCell ref="W261:X261"/>
    <mergeCell ref="U263:W263"/>
    <mergeCell ref="M257:T257"/>
    <mergeCell ref="M256:AE256"/>
    <mergeCell ref="AA298:AK298"/>
    <mergeCell ref="AA265:AK265"/>
    <mergeCell ref="H313:R313"/>
    <mergeCell ref="AA332:AF332"/>
    <mergeCell ref="AA328:AK328"/>
    <mergeCell ref="AA327:AK327"/>
    <mergeCell ref="H332:M332"/>
    <mergeCell ref="AI315:AK315"/>
    <mergeCell ref="AA329:AK329"/>
    <mergeCell ref="AA321:AK321"/>
    <mergeCell ref="H325:R325"/>
    <mergeCell ref="H307:M307"/>
    <mergeCell ref="H329:R329"/>
    <mergeCell ref="H330:R330"/>
    <mergeCell ref="P331:R331"/>
    <mergeCell ref="AA324:AF324"/>
    <mergeCell ref="H328:R328"/>
    <mergeCell ref="AI323:AK323"/>
    <mergeCell ref="AA320:AK320"/>
    <mergeCell ref="AF251:AK251"/>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A291:AF291"/>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M244:AE244"/>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61:T261"/>
    <mergeCell ref="AH262:AK262"/>
    <mergeCell ref="T267:X267"/>
    <mergeCell ref="H291:M291"/>
    <mergeCell ref="H338:R338"/>
    <mergeCell ref="AG393:AJ393"/>
    <mergeCell ref="AG391:AJ391"/>
    <mergeCell ref="K404:AJ404"/>
    <mergeCell ref="AC386:AJ386"/>
    <mergeCell ref="H340:M340"/>
    <mergeCell ref="D437:AF437"/>
    <mergeCell ref="M355:N355"/>
    <mergeCell ref="D439:AF439"/>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H246:AK246"/>
    <mergeCell ref="D270:H270"/>
    <mergeCell ref="AC522:AF522"/>
    <mergeCell ref="AC519:AF519"/>
    <mergeCell ref="AC523:AF523"/>
    <mergeCell ref="AH516:AK516"/>
    <mergeCell ref="Y364:Z364"/>
    <mergeCell ref="N378:P378"/>
    <mergeCell ref="S402:U402"/>
    <mergeCell ref="V377:W377"/>
    <mergeCell ref="S377:T377"/>
    <mergeCell ref="AA335:AK335"/>
    <mergeCell ref="AC347:AE347"/>
    <mergeCell ref="P343:AE343"/>
    <mergeCell ref="AA340:AF340"/>
    <mergeCell ref="P344:AE344"/>
    <mergeCell ref="AA338:AK338"/>
    <mergeCell ref="H337:R337"/>
    <mergeCell ref="P345:AE345"/>
    <mergeCell ref="R412:S412"/>
    <mergeCell ref="Q429:R429"/>
    <mergeCell ref="AC385:AJ385"/>
    <mergeCell ref="H336:R336"/>
    <mergeCell ref="D441:AF441"/>
    <mergeCell ref="D442:AF442"/>
    <mergeCell ref="AF430:AG430"/>
    <mergeCell ref="AG437:AJ437"/>
    <mergeCell ref="J388:U388"/>
    <mergeCell ref="AG438:AJ438"/>
    <mergeCell ref="M356:N356"/>
    <mergeCell ref="Z432:AA432"/>
    <mergeCell ref="N370:Q370"/>
    <mergeCell ref="Q393:U393"/>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X718:AB718"/>
    <mergeCell ref="T720:W720"/>
    <mergeCell ref="K714:N717"/>
    <mergeCell ref="C635:L635"/>
    <mergeCell ref="L508:AB508"/>
    <mergeCell ref="O520:AA520"/>
    <mergeCell ref="AC506:AF506"/>
    <mergeCell ref="AH507:AK507"/>
    <mergeCell ref="AH521:AK521"/>
    <mergeCell ref="AC455:AF455"/>
    <mergeCell ref="F457:AB458"/>
    <mergeCell ref="D466:V466"/>
    <mergeCell ref="AC533:AF533"/>
    <mergeCell ref="O523:AA523"/>
    <mergeCell ref="AC513:AF513"/>
    <mergeCell ref="AH532:AK532"/>
    <mergeCell ref="S413:T413"/>
    <mergeCell ref="AC501:AF501"/>
    <mergeCell ref="AC370:AF370"/>
    <mergeCell ref="C558:L558"/>
    <mergeCell ref="AC504:AF504"/>
    <mergeCell ref="O535:AA535"/>
    <mergeCell ref="AH523:AK523"/>
    <mergeCell ref="AE554:AH554"/>
    <mergeCell ref="AG447:AJ447"/>
    <mergeCell ref="AG395:AJ395"/>
    <mergeCell ref="AI392:AJ392"/>
    <mergeCell ref="AG394:AJ394"/>
    <mergeCell ref="E420:AJ420"/>
    <mergeCell ref="O529:AA529"/>
    <mergeCell ref="D471:V471"/>
    <mergeCell ref="O532:AA532"/>
    <mergeCell ref="Q551:S553"/>
    <mergeCell ref="T551:V553"/>
    <mergeCell ref="D444:AF444"/>
    <mergeCell ref="M554:P554"/>
    <mergeCell ref="W465:Y465"/>
    <mergeCell ref="AC542:AF542"/>
    <mergeCell ref="B489:P490"/>
    <mergeCell ref="AG449:AJ449"/>
    <mergeCell ref="AC454:AF454"/>
    <mergeCell ref="P425:Q425"/>
    <mergeCell ref="I418:K418"/>
    <mergeCell ref="AC538:AF538"/>
    <mergeCell ref="AC514:AF514"/>
    <mergeCell ref="AH538:AK538"/>
    <mergeCell ref="Z551:AD553"/>
    <mergeCell ref="AH513:AK513"/>
    <mergeCell ref="AC531:AF531"/>
    <mergeCell ref="AC539:AF539"/>
    <mergeCell ref="CP718:CT718"/>
    <mergeCell ref="CI718:CJ718"/>
    <mergeCell ref="CI724:CJ724"/>
    <mergeCell ref="CU726:CY726"/>
    <mergeCell ref="M627:P627"/>
    <mergeCell ref="M629:P629"/>
    <mergeCell ref="W624:Y626"/>
    <mergeCell ref="W628:Y628"/>
    <mergeCell ref="Q630:S630"/>
    <mergeCell ref="AK624:AN626"/>
    <mergeCell ref="H614:R614"/>
    <mergeCell ref="N615:O615"/>
    <mergeCell ref="T729:W729"/>
    <mergeCell ref="AH728:AJ728"/>
    <mergeCell ref="CP724:CT724"/>
    <mergeCell ref="CP727:CT727"/>
    <mergeCell ref="CI727:CJ727"/>
    <mergeCell ref="G667:R667"/>
    <mergeCell ref="G644:R644"/>
    <mergeCell ref="P655:R655"/>
    <mergeCell ref="H664:R664"/>
    <mergeCell ref="AA648:AK648"/>
    <mergeCell ref="Z661:AK661"/>
    <mergeCell ref="Z659:AK659"/>
    <mergeCell ref="N657:O657"/>
    <mergeCell ref="Z660:AK660"/>
    <mergeCell ref="G663:L663"/>
    <mergeCell ref="T725:W725"/>
    <mergeCell ref="G724:J724"/>
    <mergeCell ref="G723:J723"/>
    <mergeCell ref="X721:AB721"/>
    <mergeCell ref="O725:S725"/>
    <mergeCell ref="G613:L613"/>
    <mergeCell ref="Z585:AK585"/>
    <mergeCell ref="AI563:AL563"/>
    <mergeCell ref="Z563:AD563"/>
    <mergeCell ref="C630:L630"/>
    <mergeCell ref="C631:L631"/>
    <mergeCell ref="C632:L632"/>
    <mergeCell ref="Z628:AB628"/>
    <mergeCell ref="M558:P558"/>
    <mergeCell ref="Q559:S559"/>
    <mergeCell ref="C627:L627"/>
    <mergeCell ref="P581:R581"/>
    <mergeCell ref="N591:O591"/>
    <mergeCell ref="Q560:S560"/>
    <mergeCell ref="Q565:S565"/>
    <mergeCell ref="AF630:AJ630"/>
    <mergeCell ref="M557:P557"/>
    <mergeCell ref="H598:R598"/>
    <mergeCell ref="AG583:AH583"/>
    <mergeCell ref="G588:R588"/>
    <mergeCell ref="Z580:AK580"/>
    <mergeCell ref="G610:R610"/>
    <mergeCell ref="AA590:AK590"/>
    <mergeCell ref="AI589:AK589"/>
    <mergeCell ref="Z596:AK596"/>
    <mergeCell ref="Z594:AK594"/>
    <mergeCell ref="Z610:AK610"/>
    <mergeCell ref="Z569:AK569"/>
    <mergeCell ref="C561:L561"/>
    <mergeCell ref="B624:L626"/>
    <mergeCell ref="Z613:AE613"/>
    <mergeCell ref="AC629:AE629"/>
    <mergeCell ref="CI728:CJ728"/>
    <mergeCell ref="CP725:CT725"/>
    <mergeCell ref="CK746:CL746"/>
    <mergeCell ref="CM746:CN746"/>
    <mergeCell ref="CG739:CH739"/>
    <mergeCell ref="CG740:CH740"/>
    <mergeCell ref="CK737:CL737"/>
    <mergeCell ref="CG732:CH732"/>
    <mergeCell ref="CP734:CT734"/>
    <mergeCell ref="CP720:CT720"/>
    <mergeCell ref="CU720:CY720"/>
    <mergeCell ref="CK723:CL723"/>
    <mergeCell ref="CK721:CL721"/>
    <mergeCell ref="CM726:CN726"/>
    <mergeCell ref="AH742:AJ742"/>
    <mergeCell ref="AK739:AO739"/>
    <mergeCell ref="CI732:CJ732"/>
    <mergeCell ref="CM728:CN728"/>
    <mergeCell ref="CP728:CT728"/>
    <mergeCell ref="CM723:CN723"/>
    <mergeCell ref="CI723:CJ723"/>
    <mergeCell ref="CP732:CT732"/>
    <mergeCell ref="CU736:CY736"/>
    <mergeCell ref="CG742:CH742"/>
    <mergeCell ref="CG743:CH743"/>
    <mergeCell ref="CI722:CJ722"/>
    <mergeCell ref="CG721:CH721"/>
    <mergeCell ref="CK720:CL720"/>
    <mergeCell ref="CG731:CH731"/>
    <mergeCell ref="CP722:CT722"/>
    <mergeCell ref="AH733:AJ733"/>
    <mergeCell ref="CU723:CY723"/>
    <mergeCell ref="Z633:AB633"/>
    <mergeCell ref="AI679:AK679"/>
    <mergeCell ref="Z663:AE663"/>
    <mergeCell ref="Z643:AK643"/>
    <mergeCell ref="X724:AB724"/>
    <mergeCell ref="AM560:AS560"/>
    <mergeCell ref="AM557:AS557"/>
    <mergeCell ref="AC521:AF521"/>
    <mergeCell ref="AH527:AK527"/>
    <mergeCell ref="AC517:AF517"/>
    <mergeCell ref="W551:Y553"/>
    <mergeCell ref="AC530:AF530"/>
    <mergeCell ref="Z555:AD555"/>
    <mergeCell ref="CP747:CT747"/>
    <mergeCell ref="CG748:CH748"/>
    <mergeCell ref="AH745:AJ745"/>
    <mergeCell ref="AH746:AJ746"/>
    <mergeCell ref="AH747:AJ747"/>
    <mergeCell ref="AH748:AJ748"/>
    <mergeCell ref="AI597:AK597"/>
    <mergeCell ref="CM725:CN725"/>
    <mergeCell ref="CK730:CL730"/>
    <mergeCell ref="Z554:AD554"/>
    <mergeCell ref="AH531:AK531"/>
    <mergeCell ref="AH540:AK540"/>
    <mergeCell ref="AH518:AK518"/>
    <mergeCell ref="Z570:AK570"/>
    <mergeCell ref="Z562:AD562"/>
    <mergeCell ref="AO629:AS629"/>
    <mergeCell ref="AK748:AO748"/>
    <mergeCell ref="AH726:AJ726"/>
    <mergeCell ref="CI731:CJ731"/>
    <mergeCell ref="CI750:CJ750"/>
    <mergeCell ref="CP731:CT731"/>
    <mergeCell ref="CI729:CJ729"/>
    <mergeCell ref="CP729:CT729"/>
    <mergeCell ref="CM729:CN729"/>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H503:AK503"/>
    <mergeCell ref="AC500:AF500"/>
    <mergeCell ref="AG443:AJ443"/>
    <mergeCell ref="AG444:AJ444"/>
    <mergeCell ref="AC541:AF541"/>
    <mergeCell ref="D440:AF440"/>
    <mergeCell ref="AC524:AF524"/>
    <mergeCell ref="AH506:AK506"/>
    <mergeCell ref="AH508:AK508"/>
    <mergeCell ref="AH514:AK514"/>
    <mergeCell ref="AH524:AK524"/>
    <mergeCell ref="AG441:AJ441"/>
    <mergeCell ref="AH525:AK525"/>
    <mergeCell ref="AH541:AK541"/>
    <mergeCell ref="AC535:AF535"/>
    <mergeCell ref="AI554:AL554"/>
    <mergeCell ref="AC526:AF526"/>
    <mergeCell ref="AI557:AL557"/>
    <mergeCell ref="Z587:AK587"/>
    <mergeCell ref="AI572:AK572"/>
    <mergeCell ref="T564:V564"/>
    <mergeCell ref="T556:V556"/>
    <mergeCell ref="Q561:S561"/>
    <mergeCell ref="C562:L562"/>
    <mergeCell ref="C555:L555"/>
    <mergeCell ref="C556:L556"/>
    <mergeCell ref="M556:P556"/>
    <mergeCell ref="AC540:AF540"/>
    <mergeCell ref="AI560:AL560"/>
    <mergeCell ref="AE555:AH555"/>
    <mergeCell ref="B551:L553"/>
    <mergeCell ref="AH542:AK542"/>
    <mergeCell ref="AH533:AK533"/>
    <mergeCell ref="C554:L554"/>
    <mergeCell ref="AH530:AK530"/>
    <mergeCell ref="Z556:AD556"/>
    <mergeCell ref="AI555:AL555"/>
    <mergeCell ref="AH535:AK535"/>
    <mergeCell ref="W558:Y558"/>
    <mergeCell ref="AE558:AH558"/>
    <mergeCell ref="C557:L557"/>
    <mergeCell ref="T565:V565"/>
    <mergeCell ref="C560:L560"/>
    <mergeCell ref="Z560:AD560"/>
    <mergeCell ref="Q491:AK491"/>
    <mergeCell ref="AH495:AK495"/>
    <mergeCell ref="AI558:AL558"/>
    <mergeCell ref="D449:AF449"/>
    <mergeCell ref="H573:R573"/>
    <mergeCell ref="B566:AL566"/>
    <mergeCell ref="W557:Y557"/>
    <mergeCell ref="D465:V465"/>
    <mergeCell ref="AC509:AF509"/>
    <mergeCell ref="Q485:AK485"/>
    <mergeCell ref="AC525:AF525"/>
    <mergeCell ref="W474:Y474"/>
    <mergeCell ref="AC508:AF508"/>
    <mergeCell ref="AH537:AK537"/>
    <mergeCell ref="AG450:AJ450"/>
    <mergeCell ref="D467:V467"/>
    <mergeCell ref="C559:L559"/>
    <mergeCell ref="Z559:AD559"/>
    <mergeCell ref="B520:H542"/>
    <mergeCell ref="Q487:AK487"/>
    <mergeCell ref="Q486:AK486"/>
    <mergeCell ref="AH502:AK502"/>
    <mergeCell ref="AC499:AK499"/>
    <mergeCell ref="W468:Y468"/>
    <mergeCell ref="B503:H508"/>
    <mergeCell ref="D450:AF450"/>
    <mergeCell ref="AH500:AK500"/>
    <mergeCell ref="AC456:AF456"/>
    <mergeCell ref="AC532:AF532"/>
    <mergeCell ref="W467:Y467"/>
    <mergeCell ref="W470:Y470"/>
    <mergeCell ref="DJ733:DN733"/>
    <mergeCell ref="D472:V472"/>
    <mergeCell ref="W472:Y472"/>
    <mergeCell ref="AE551:AH553"/>
    <mergeCell ref="AI551:AL553"/>
    <mergeCell ref="Q554:S554"/>
    <mergeCell ref="AH529:AK529"/>
    <mergeCell ref="AH534:AK534"/>
    <mergeCell ref="AC510:AF510"/>
    <mergeCell ref="AH510:AK510"/>
    <mergeCell ref="AA582:AK582"/>
    <mergeCell ref="AE560:AH560"/>
    <mergeCell ref="N575:O575"/>
    <mergeCell ref="AE557:AH557"/>
    <mergeCell ref="T562:V562"/>
    <mergeCell ref="B723:F723"/>
    <mergeCell ref="G721:J721"/>
    <mergeCell ref="G722:J722"/>
    <mergeCell ref="G685:R685"/>
    <mergeCell ref="T554:V554"/>
    <mergeCell ref="AC534:AF534"/>
    <mergeCell ref="Q555:S555"/>
    <mergeCell ref="AH539:AK539"/>
    <mergeCell ref="Q494:AK494"/>
    <mergeCell ref="AM555:AS555"/>
    <mergeCell ref="T724:W724"/>
    <mergeCell ref="AM551:AS553"/>
    <mergeCell ref="AH722:AJ722"/>
    <mergeCell ref="AM554:AS554"/>
    <mergeCell ref="AO639:AS639"/>
    <mergeCell ref="AC515:AF515"/>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DU745:DY745"/>
    <mergeCell ref="DZ745:ED745"/>
    <mergeCell ref="CK748:CL748"/>
    <mergeCell ref="CM748:CN748"/>
    <mergeCell ref="CK744:CL744"/>
    <mergeCell ref="CM744:CN744"/>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EZ743:FD743"/>
    <mergeCell ref="FE743:FI743"/>
    <mergeCell ref="FJ743:FN743"/>
    <mergeCell ref="EE749:EI749"/>
    <mergeCell ref="EJ749:EN749"/>
    <mergeCell ref="EO749:ES749"/>
    <mergeCell ref="EE747:EI747"/>
    <mergeCell ref="EJ747:EN747"/>
    <mergeCell ref="EE742:EI742"/>
    <mergeCell ref="EJ742:EN742"/>
    <mergeCell ref="EO742:ES742"/>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AK747:AO747"/>
    <mergeCell ref="CZ732:DD732"/>
    <mergeCell ref="CP748:CT748"/>
    <mergeCell ref="CU748:CY748"/>
    <mergeCell ref="CZ730:DD730"/>
    <mergeCell ref="B742:F742"/>
    <mergeCell ref="B743:F743"/>
    <mergeCell ref="G734:J734"/>
    <mergeCell ref="X740:AB740"/>
    <mergeCell ref="AC736:AG736"/>
    <mergeCell ref="AC731:AG731"/>
    <mergeCell ref="O732:S732"/>
    <mergeCell ref="G737:J737"/>
    <mergeCell ref="DE791:DI791"/>
    <mergeCell ref="DE792:DI792"/>
    <mergeCell ref="DE793:DI793"/>
    <mergeCell ref="DE794:DI794"/>
    <mergeCell ref="AK743:AO743"/>
    <mergeCell ref="AK744:AO744"/>
    <mergeCell ref="X743:AB743"/>
    <mergeCell ref="X744:AB744"/>
    <mergeCell ref="AH743:AJ743"/>
    <mergeCell ref="AH744:AJ744"/>
    <mergeCell ref="DE746:DI746"/>
    <mergeCell ref="CU751:CY751"/>
    <mergeCell ref="CP797:CT797"/>
    <mergeCell ref="CZ750:DD750"/>
    <mergeCell ref="CZ775:DD775"/>
    <mergeCell ref="CZ776:DD776"/>
    <mergeCell ref="CK752:CL752"/>
    <mergeCell ref="CP751:CT751"/>
    <mergeCell ref="CM751:CN751"/>
    <mergeCell ref="AC750:AG750"/>
    <mergeCell ref="AC751:AG751"/>
    <mergeCell ref="X747:AB747"/>
    <mergeCell ref="AH752:AJ752"/>
    <mergeCell ref="AH751:AJ751"/>
    <mergeCell ref="CG749:CH749"/>
    <mergeCell ref="CP745:CT745"/>
    <mergeCell ref="CP789:CT789"/>
    <mergeCell ref="CP787:CT787"/>
    <mergeCell ref="CI753:CJ753"/>
    <mergeCell ref="CM753:CN753"/>
    <mergeCell ref="CI752:CJ752"/>
    <mergeCell ref="CU776:CY776"/>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DJ790:DN790"/>
    <mergeCell ref="DE790:DI790"/>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J792:EN792"/>
    <mergeCell ref="EJ793:EN793"/>
    <mergeCell ref="EJ794:EN794"/>
    <mergeCell ref="EJ795:EN795"/>
    <mergeCell ref="EJ796:EN796"/>
    <mergeCell ref="EJ797:EN797"/>
    <mergeCell ref="EO787:ES787"/>
    <mergeCell ref="DZ797:ED797"/>
    <mergeCell ref="DE795:DI795"/>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DE796:DI796"/>
    <mergeCell ref="DE797:DI797"/>
    <mergeCell ref="DJ787:DN787"/>
    <mergeCell ref="DJ788:DN788"/>
    <mergeCell ref="DJ789:DN789"/>
    <mergeCell ref="DO787:DS787"/>
    <mergeCell ref="DO788:DS788"/>
    <mergeCell ref="DO789:DS789"/>
    <mergeCell ref="DO790:DS790"/>
    <mergeCell ref="DO791:DS791"/>
    <mergeCell ref="DO793:DS793"/>
    <mergeCell ref="DJ791:DN791"/>
    <mergeCell ref="DJ792:DN792"/>
    <mergeCell ref="DJ793:DN793"/>
    <mergeCell ref="DJ794:DN794"/>
    <mergeCell ref="DJ795:DN795"/>
    <mergeCell ref="DJ796:DN796"/>
    <mergeCell ref="DO792:DS792"/>
    <mergeCell ref="EO797:ES797"/>
    <mergeCell ref="DZ787:ED787"/>
    <mergeCell ref="DZ788:ED788"/>
    <mergeCell ref="DZ789:ED789"/>
    <mergeCell ref="DZ790:ED790"/>
    <mergeCell ref="DZ791:ED791"/>
    <mergeCell ref="DZ792:ED792"/>
    <mergeCell ref="DZ793:ED793"/>
    <mergeCell ref="DZ794:ED794"/>
    <mergeCell ref="DZ795:ED795"/>
    <mergeCell ref="DZ796:ED796"/>
    <mergeCell ref="EO789:ES789"/>
    <mergeCell ref="EO790:ES790"/>
    <mergeCell ref="EO791:ES791"/>
    <mergeCell ref="EO792:ES792"/>
    <mergeCell ref="EO793:ES793"/>
    <mergeCell ref="EO794:ES794"/>
    <mergeCell ref="EO795:ES795"/>
    <mergeCell ref="DJ797:DN797"/>
    <mergeCell ref="EO796:ES796"/>
    <mergeCell ref="DU797:DY797"/>
    <mergeCell ref="EJ788:EN788"/>
    <mergeCell ref="EJ789:EN789"/>
    <mergeCell ref="EJ790:EN790"/>
    <mergeCell ref="EJ791:EN791"/>
  </mergeCells>
  <phoneticPr fontId="0" type="noConversion"/>
  <conditionalFormatting sqref="B1060:F1060 AO1060:AP1060">
    <cfRule type="expression" dxfId="106" priority="5">
      <formula>0=$B$1060</formula>
    </cfRule>
  </conditionalFormatting>
  <conditionalFormatting sqref="C555:C565 Q555:AS565 Q628:Z638 AC628:AS638">
    <cfRule type="expression" dxfId="105" priority="22">
      <formula>$AT555="!"</formula>
    </cfRule>
  </conditionalFormatting>
  <conditionalFormatting sqref="C628:C638">
    <cfRule type="expression" dxfId="104" priority="21">
      <formula>$AT628="!"</formula>
    </cfRule>
  </conditionalFormatting>
  <conditionalFormatting sqref="C894:T895">
    <cfRule type="expression" dxfId="103" priority="7">
      <formula>AND(AC894&lt;&gt;"",OR(C894="Other (Specify):",C894=""))</formula>
    </cfRule>
  </conditionalFormatting>
  <conditionalFormatting sqref="D213">
    <cfRule type="expression" dxfId="102" priority="263">
      <formula>AND($Q$212&gt;0,$T$212&lt;75%)</formula>
    </cfRule>
  </conditionalFormatting>
  <conditionalFormatting sqref="D216">
    <cfRule type="expression" dxfId="101" priority="30">
      <formula>NOT($D$211="At-Risk")</formula>
    </cfRule>
  </conditionalFormatting>
  <conditionalFormatting sqref="D215:U215">
    <cfRule type="expression" dxfId="100" priority="34">
      <formula>NOT(OR($D$214="Seniors",$D$211="Seniors"))</formula>
    </cfRule>
  </conditionalFormatting>
  <conditionalFormatting sqref="D214:Z214">
    <cfRule type="expression" dxfId="99" priority="264">
      <formula>AND($Q$212&gt;0,$T$212&lt;75%)</formula>
    </cfRule>
  </conditionalFormatting>
  <conditionalFormatting sqref="E707:AK707">
    <cfRule type="expression" dxfId="98" priority="20">
      <formula>AND($W$706="Other",OR($E$707="(specify here)",$E$707=""))</formula>
    </cfRule>
  </conditionalFormatting>
  <conditionalFormatting sqref="F831:L831">
    <cfRule type="expression" dxfId="97" priority="15">
      <formula>AND(OR(M831&lt;&gt;"",$Q$811&lt;&gt;"",$U$811&lt;&gt;"",$Y$811&lt;&gt;"",$AC$811&lt;&gt;"",$AG$811&lt;&gt;"",SUM($M$831:$AJ$831)&gt;0),OR(F831="(specify here)",F831=""))</formula>
    </cfRule>
  </conditionalFormatting>
  <conditionalFormatting sqref="F457:AB458">
    <cfRule type="expression" dxfId="96" priority="4">
      <formula>$AC$454=""</formula>
    </cfRule>
  </conditionalFormatting>
  <conditionalFormatting sqref="G1055:AN1060">
    <cfRule type="expression" dxfId="95" priority="1">
      <formula>OR($Z$205="15% set-aside",$Z$205="15% set-aside with qualifying low value rehab")</formula>
    </cfRule>
  </conditionalFormatting>
  <conditionalFormatting sqref="L508:X508">
    <cfRule type="expression" dxfId="94" priority="29">
      <formula>AND(NOT(AC508="N/A"),AH508&lt;&gt;"",OR(L508="(specify here)",L508=""))</formula>
    </cfRule>
  </conditionalFormatting>
  <conditionalFormatting sqref="M846:V846">
    <cfRule type="expression" dxfId="93" priority="14">
      <formula>AND(W846&lt;&gt;"",OR(M846="(specify here)",M846=""))</formula>
    </cfRule>
  </conditionalFormatting>
  <conditionalFormatting sqref="M861:V861">
    <cfRule type="expression" dxfId="92" priority="13">
      <formula>AND(W861&lt;&gt;"",OR(M861="(specify here)",M861=""))</formula>
    </cfRule>
  </conditionalFormatting>
  <conditionalFormatting sqref="M871:V871">
    <cfRule type="expression" dxfId="91" priority="12">
      <formula>AND(W871&lt;&gt;"",OR(M871="(specify here)",M871=""))</formula>
    </cfRule>
  </conditionalFormatting>
  <conditionalFormatting sqref="M874:V878">
    <cfRule type="expression" dxfId="90" priority="11">
      <formula>AND(W874&lt;&gt;"",OR(M874="(specify here)",M874=""))</formula>
    </cfRule>
  </conditionalFormatting>
  <conditionalFormatting sqref="O520:AA520">
    <cfRule type="expression" dxfId="89" priority="28">
      <formula>AND(OR(AND(NOT(AC520="N/A"),AH520&lt;&gt;""),AND(NOT(AC521="N/A"),AH521&lt;&gt;""),AND(NOT(AC522="N/A"),AH522&lt;&gt;"")),OR(O520="(specify here)",O520=""))</formula>
    </cfRule>
  </conditionalFormatting>
  <conditionalFormatting sqref="O523:AA523">
    <cfRule type="expression" dxfId="88" priority="27">
      <formula>AND(OR(AND(NOT(AC523="N/A"),AH523&lt;&gt;""),AND(NOT(AC524="N/A"),AH524&lt;&gt;""),AND(NOT(AC525="N/A"),AH525&lt;&gt;"")),OR(O523="(specify here)",O523=""))</formula>
    </cfRule>
  </conditionalFormatting>
  <conditionalFormatting sqref="O526:AA526">
    <cfRule type="expression" dxfId="87" priority="26">
      <formula>AND(OR(AND(NOT(AC526="N/A"),AH526&lt;&gt;""),AND(NOT(AC527="N/A"),AH527&lt;&gt;""),AND(NOT(AC528="N/A"),AH528&lt;&gt;"")),OR(O526="(specify here)",O526=""))</formula>
    </cfRule>
  </conditionalFormatting>
  <conditionalFormatting sqref="O529:AA529">
    <cfRule type="expression" dxfId="86" priority="25">
      <formula>AND(OR(AND(NOT(AC529="N/A"),AH529&lt;&gt;""),AND(NOT(AC530="N/A"),AH530&lt;&gt;""),AND(NOT(AC531="N/A"),AH531&lt;&gt;"")),OR(O529="(specify here)",O529=""))</formula>
    </cfRule>
  </conditionalFormatting>
  <conditionalFormatting sqref="O532:AA532">
    <cfRule type="expression" dxfId="85" priority="24">
      <formula>AND(OR(AND(NOT(AC532="N/A"),AH532&lt;&gt;""),AND(NOT(AC533="N/A"),AH533&lt;&gt;""),AND(NOT(AC534="N/A"),AH534&lt;&gt;"")),OR(O532="(specify here)",O532=""))</formula>
    </cfRule>
  </conditionalFormatting>
  <conditionalFormatting sqref="O535:AA535">
    <cfRule type="expression" dxfId="84" priority="23">
      <formula>AND(OR(AND(NOT(AC535="N/A"),AH535&lt;&gt;""),AND(NOT(AC536="N/A"),AH536&lt;&gt;""),AND(NOT(AC537="N/A"),AH537&lt;&gt;"")),OR(O535="(specify here)",O535=""))</formula>
    </cfRule>
  </conditionalFormatting>
  <conditionalFormatting sqref="P816:Y816">
    <cfRule type="expression" dxfId="83" priority="16">
      <formula>AND(Z816&lt;&gt;"",OR(P816="(specify here)",P816=""))</formula>
    </cfRule>
  </conditionalFormatting>
  <conditionalFormatting sqref="T212:U212">
    <cfRule type="expression" dxfId="82" priority="3">
      <formula>AND($T$212=0,$Q$212="")</formula>
    </cfRule>
  </conditionalFormatting>
  <conditionalFormatting sqref="U894:U895">
    <cfRule type="expression" dxfId="81" priority="260">
      <formula>AND(AU878&lt;&gt;"",OR(U894="Other (Specify):",U894=""))</formula>
    </cfRule>
  </conditionalFormatting>
  <conditionalFormatting sqref="V894:AB895">
    <cfRule type="expression" dxfId="80" priority="261">
      <formula>AND(AV888&lt;&gt;"",OR(V894="Other (Specify):",V894=""))</formula>
    </cfRule>
  </conditionalFormatting>
  <conditionalFormatting sqref="W974:AG974">
    <cfRule type="expression" dxfId="79" priority="6">
      <formula>AND($AA$953&lt;&gt;"",OR($W$952="",$W$952="(specify here)"))</formula>
    </cfRule>
  </conditionalFormatting>
  <conditionalFormatting sqref="Y508:AB508">
    <cfRule type="expression" dxfId="78" priority="262">
      <formula>AND(NOT(AP508="N/A"),AU507&lt;&gt;"",OR(Y508="(specify here)",Y508=""))</formula>
    </cfRule>
  </conditionalFormatting>
  <conditionalFormatting sqref="AA1057:AF1057">
    <cfRule type="expression" dxfId="77" priority="2">
      <formula>OR($Z$205="15% set-aside",$Z$205="15% set-aside with qualifying low value rehab")</formula>
    </cfRule>
  </conditionalFormatting>
  <conditionalFormatting sqref="AA215:AO215">
    <cfRule type="expression" dxfId="76" priority="35">
      <formula>NOT(OR($D$214="Seniors",$D$211="Seniors"))</formula>
    </cfRule>
  </conditionalFormatting>
  <conditionalFormatting sqref="AB216:AM216">
    <cfRule type="expression" dxfId="75" priority="31">
      <formula>NOT($D$211="At-Risk")</formula>
    </cfRule>
  </conditionalFormatting>
  <conditionalFormatting sqref="AF1021">
    <cfRule type="cellIs" dxfId="74" priority="41" stopIfTrue="1" operator="equal">
      <formula>"Please Enter Amount:"</formula>
    </cfRule>
  </conditionalFormatting>
  <conditionalFormatting sqref="AF1026">
    <cfRule type="cellIs" dxfId="73" priority="38" stopIfTrue="1" operator="equal">
      <formula>"Please Enter Amount:"</formula>
    </cfRule>
  </conditionalFormatting>
  <conditionalFormatting sqref="AF1033">
    <cfRule type="cellIs" dxfId="72" priority="39" stopIfTrue="1" operator="equal">
      <formula>"Please Enter Amount:"</formula>
    </cfRule>
  </conditionalFormatting>
  <conditionalFormatting sqref="AG441:AJ441">
    <cfRule type="expression" dxfId="71" priority="45" stopIfTrue="1">
      <formula>"iserror(d31)"</formula>
    </cfRule>
  </conditionalFormatting>
  <conditionalFormatting sqref="AJ1045">
    <cfRule type="cellIs" dxfId="70"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5" zoomScaleNormal="100" workbookViewId="0">
      <selection activeCell="H100" sqref="H100"/>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550</v>
      </c>
      <c r="B1" s="125"/>
      <c r="C1" s="125"/>
      <c r="D1" s="125"/>
      <c r="E1" s="126"/>
      <c r="F1" s="1864" t="s">
        <v>622</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Application!B627&amp;Application!C627</f>
        <v>1)Citibank</v>
      </c>
      <c r="G2" s="139" t="str">
        <f>Application!B628&amp;Application!C628</f>
        <v>2)1055 Seventh, LLC - Seller Carryback</v>
      </c>
      <c r="H2" s="139" t="str">
        <f>Application!B629&amp;Application!C629</f>
        <v>3)Gramercy Park Holdings, LP</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1800000</v>
      </c>
      <c r="C4" s="147">
        <v>1800000</v>
      </c>
      <c r="D4" s="147"/>
      <c r="E4" s="147"/>
      <c r="F4" s="147"/>
      <c r="G4" s="147">
        <f>C4</f>
        <v>1800000</v>
      </c>
      <c r="H4" s="147"/>
      <c r="I4" s="147"/>
      <c r="J4" s="147"/>
      <c r="K4" s="147"/>
      <c r="L4" s="147"/>
      <c r="M4" s="147"/>
      <c r="N4" s="147"/>
      <c r="O4" s="147"/>
      <c r="P4" s="147"/>
      <c r="Q4" s="147"/>
      <c r="R4" s="517">
        <f>SUM(E4:Q4)</f>
        <v>1800000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10000</v>
      </c>
      <c r="C6" s="147">
        <v>10000</v>
      </c>
      <c r="D6" s="147"/>
      <c r="E6" s="147"/>
      <c r="F6" s="147"/>
      <c r="G6" s="147">
        <f>C6</f>
        <v>10000</v>
      </c>
      <c r="H6" s="147"/>
      <c r="I6" s="147"/>
      <c r="J6" s="147"/>
      <c r="K6" s="147"/>
      <c r="L6" s="147"/>
      <c r="M6" s="147"/>
      <c r="N6" s="147"/>
      <c r="O6" s="147"/>
      <c r="P6" s="147"/>
      <c r="Q6" s="147"/>
      <c r="R6" s="517">
        <f>SUM(E6:Q6)</f>
        <v>10000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594</v>
      </c>
      <c r="B8" s="146">
        <f>SUM(C8:D8)</f>
        <v>1810000</v>
      </c>
      <c r="C8" s="146">
        <f t="shared" ref="C8:Q8" si="0">SUM(C4:C7)</f>
        <v>1810000</v>
      </c>
      <c r="D8" s="146">
        <f t="shared" si="0"/>
        <v>0</v>
      </c>
      <c r="E8" s="146">
        <f t="shared" si="0"/>
        <v>0</v>
      </c>
      <c r="F8" s="146">
        <f t="shared" si="0"/>
        <v>0</v>
      </c>
      <c r="G8" s="146">
        <f t="shared" si="0"/>
        <v>1810000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1810000</v>
      </c>
      <c r="S8" s="148"/>
      <c r="T8" s="148"/>
      <c r="U8" s="143"/>
    </row>
    <row r="9" spans="1:21" s="144" customFormat="1">
      <c r="A9" s="145" t="s">
        <v>595</v>
      </c>
      <c r="B9" s="146">
        <f>SUM(C9+D9)</f>
        <v>30900000</v>
      </c>
      <c r="C9" s="147">
        <v>30900000</v>
      </c>
      <c r="D9" s="147"/>
      <c r="E9" s="147"/>
      <c r="F9" s="147">
        <f>C9-G9</f>
        <v>27720000</v>
      </c>
      <c r="G9" s="147">
        <f>G108-G8</f>
        <v>3180000</v>
      </c>
      <c r="H9" s="147"/>
      <c r="I9" s="147"/>
      <c r="J9" s="147"/>
      <c r="K9" s="147"/>
      <c r="L9" s="147"/>
      <c r="M9" s="147"/>
      <c r="N9" s="147"/>
      <c r="O9" s="147"/>
      <c r="P9" s="147"/>
      <c r="Q9" s="147"/>
      <c r="R9" s="517">
        <f>SUM(E9:Q9)</f>
        <v>30900000</v>
      </c>
      <c r="S9" s="148"/>
      <c r="T9" s="147">
        <f>C9</f>
        <v>30900000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7">
        <f>SUM(E10:Q10)</f>
        <v>0</v>
      </c>
      <c r="S10" s="147">
        <f>C10</f>
        <v>0</v>
      </c>
      <c r="T10" s="147"/>
      <c r="U10" s="143"/>
    </row>
    <row r="11" spans="1:21" s="144" customFormat="1">
      <c r="A11" s="149" t="s">
        <v>597</v>
      </c>
      <c r="B11" s="146">
        <f>SUM(C11:D11)</f>
        <v>30900000</v>
      </c>
      <c r="C11" s="146">
        <f t="shared" ref="C11:Q11" si="1">SUM(C9:C10)</f>
        <v>30900000</v>
      </c>
      <c r="D11" s="146">
        <f t="shared" si="1"/>
        <v>0</v>
      </c>
      <c r="E11" s="146">
        <f t="shared" si="1"/>
        <v>0</v>
      </c>
      <c r="F11" s="146">
        <f t="shared" si="1"/>
        <v>27720000</v>
      </c>
      <c r="G11" s="146">
        <f t="shared" si="1"/>
        <v>3180000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30900000</v>
      </c>
      <c r="S11" s="148"/>
      <c r="T11" s="150">
        <f>SUM(T9:T10)</f>
        <v>30900000</v>
      </c>
      <c r="U11" s="143"/>
    </row>
    <row r="12" spans="1:21" s="144" customFormat="1">
      <c r="A12" s="149" t="s">
        <v>84</v>
      </c>
      <c r="B12" s="146">
        <f t="shared" ref="B12:Q12" si="2">SUM(B8+B11)</f>
        <v>32710000</v>
      </c>
      <c r="C12" s="146">
        <f t="shared" si="2"/>
        <v>32710000</v>
      </c>
      <c r="D12" s="146">
        <f t="shared" si="2"/>
        <v>0</v>
      </c>
      <c r="E12" s="146">
        <f t="shared" si="2"/>
        <v>0</v>
      </c>
      <c r="F12" s="146">
        <f t="shared" si="2"/>
        <v>27720000</v>
      </c>
      <c r="G12" s="146">
        <f t="shared" si="2"/>
        <v>4990000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32710000</v>
      </c>
      <c r="S12" s="148"/>
      <c r="T12" s="148"/>
      <c r="U12" s="143"/>
    </row>
    <row r="13" spans="1:21" s="144" customFormat="1">
      <c r="A13" s="288" t="s">
        <v>902</v>
      </c>
      <c r="B13" s="146">
        <f>SUM(C13+D13)</f>
        <v>41000</v>
      </c>
      <c r="C13" s="147">
        <v>41000</v>
      </c>
      <c r="D13" s="147"/>
      <c r="E13" s="147"/>
      <c r="F13" s="147"/>
      <c r="G13" s="147"/>
      <c r="H13" s="147">
        <f>C13</f>
        <v>41000</v>
      </c>
      <c r="I13" s="147"/>
      <c r="J13" s="147"/>
      <c r="K13" s="147"/>
      <c r="L13" s="147"/>
      <c r="M13" s="147"/>
      <c r="N13" s="147"/>
      <c r="O13" s="147"/>
      <c r="P13" s="147"/>
      <c r="Q13" s="147"/>
      <c r="R13" s="517">
        <f>SUM(E13:Q13)</f>
        <v>41000</v>
      </c>
      <c r="S13" s="147">
        <f>C13</f>
        <v>41000</v>
      </c>
      <c r="T13" s="147"/>
      <c r="U13" s="143"/>
    </row>
    <row r="14" spans="1:21" s="144" customFormat="1" ht="23">
      <c r="A14" s="289" t="s">
        <v>1643</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200000</v>
      </c>
      <c r="C17" s="147">
        <v>200000</v>
      </c>
      <c r="D17" s="147"/>
      <c r="E17" s="147"/>
      <c r="F17" s="147">
        <f>C17</f>
        <v>200000</v>
      </c>
      <c r="G17" s="147"/>
      <c r="H17" s="147"/>
      <c r="I17" s="147"/>
      <c r="J17" s="147"/>
      <c r="K17" s="147"/>
      <c r="L17" s="147"/>
      <c r="M17" s="147"/>
      <c r="N17" s="147"/>
      <c r="O17" s="147"/>
      <c r="P17" s="147"/>
      <c r="Q17" s="147"/>
      <c r="R17" s="517">
        <f>SUM(E17:Q17)</f>
        <v>200000</v>
      </c>
      <c r="S17" s="147">
        <f>C17</f>
        <v>200000</v>
      </c>
      <c r="T17" s="147"/>
      <c r="U17" s="143"/>
    </row>
    <row r="18" spans="1:21" s="144" customFormat="1">
      <c r="A18" s="145" t="s">
        <v>600</v>
      </c>
      <c r="B18" s="146">
        <f t="shared" si="3"/>
        <v>38341721</v>
      </c>
      <c r="C18" s="147">
        <v>38341721</v>
      </c>
      <c r="D18" s="147"/>
      <c r="E18" s="147">
        <f>E108</f>
        <v>36976572</v>
      </c>
      <c r="F18" s="147">
        <f>C18-E18</f>
        <v>1365149</v>
      </c>
      <c r="G18" s="147"/>
      <c r="H18" s="147"/>
      <c r="I18" s="147"/>
      <c r="J18" s="147"/>
      <c r="K18" s="147"/>
      <c r="L18" s="147"/>
      <c r="M18" s="147"/>
      <c r="N18" s="147"/>
      <c r="O18" s="147"/>
      <c r="P18" s="147"/>
      <c r="Q18" s="147"/>
      <c r="R18" s="517">
        <f>SUM(E18:Q18)</f>
        <v>38341721</v>
      </c>
      <c r="S18" s="147">
        <f>C18</f>
        <v>38341721</v>
      </c>
      <c r="T18" s="147"/>
      <c r="U18" s="143"/>
    </row>
    <row r="19" spans="1:21" s="144" customFormat="1">
      <c r="A19" s="145" t="s">
        <v>601</v>
      </c>
      <c r="B19" s="146">
        <f t="shared" si="3"/>
        <v>1702481</v>
      </c>
      <c r="C19" s="147">
        <v>1702481</v>
      </c>
      <c r="D19" s="147"/>
      <c r="E19" s="147"/>
      <c r="F19" s="147">
        <f>C19</f>
        <v>1702481</v>
      </c>
      <c r="G19" s="147"/>
      <c r="H19" s="147"/>
      <c r="I19" s="147"/>
      <c r="J19" s="147"/>
      <c r="K19" s="147"/>
      <c r="L19" s="147"/>
      <c r="M19" s="147"/>
      <c r="N19" s="147"/>
      <c r="O19" s="147"/>
      <c r="P19" s="147"/>
      <c r="Q19" s="147"/>
      <c r="R19" s="517">
        <f>SUM(E19:Q19)</f>
        <v>1702481</v>
      </c>
      <c r="S19" s="147">
        <f>C19</f>
        <v>1702481</v>
      </c>
      <c r="T19" s="147"/>
      <c r="U19" s="143"/>
    </row>
    <row r="20" spans="1:21" s="144" customFormat="1">
      <c r="A20" s="145" t="s">
        <v>137</v>
      </c>
      <c r="B20" s="146">
        <f t="shared" si="3"/>
        <v>1702481</v>
      </c>
      <c r="C20" s="147">
        <v>1702481</v>
      </c>
      <c r="D20" s="147"/>
      <c r="E20" s="147"/>
      <c r="F20" s="147">
        <f>C20</f>
        <v>1702481</v>
      </c>
      <c r="G20" s="147"/>
      <c r="H20" s="147"/>
      <c r="I20" s="147"/>
      <c r="J20" s="147"/>
      <c r="K20" s="147"/>
      <c r="L20" s="147"/>
      <c r="M20" s="147"/>
      <c r="N20" s="147"/>
      <c r="O20" s="147"/>
      <c r="P20" s="147"/>
      <c r="Q20" s="147"/>
      <c r="R20" s="517">
        <f t="shared" ref="R20:R27" si="4">SUM(E20:Q20)</f>
        <v>1702481</v>
      </c>
      <c r="S20" s="147">
        <f>C20</f>
        <v>1702481</v>
      </c>
      <c r="T20" s="147"/>
      <c r="U20" s="143"/>
    </row>
    <row r="21" spans="1:21" s="144" customFormat="1">
      <c r="A21" s="145" t="s">
        <v>138</v>
      </c>
      <c r="B21" s="146">
        <f t="shared" si="3"/>
        <v>1513317</v>
      </c>
      <c r="C21" s="147">
        <v>1513317</v>
      </c>
      <c r="D21" s="147"/>
      <c r="E21" s="147"/>
      <c r="F21" s="147">
        <f>C21</f>
        <v>1513317</v>
      </c>
      <c r="G21" s="147"/>
      <c r="H21" s="147"/>
      <c r="I21" s="147"/>
      <c r="J21" s="147"/>
      <c r="K21" s="147"/>
      <c r="L21" s="147"/>
      <c r="M21" s="147"/>
      <c r="N21" s="147"/>
      <c r="O21" s="147"/>
      <c r="P21" s="147"/>
      <c r="Q21" s="147"/>
      <c r="R21" s="517">
        <f t="shared" si="4"/>
        <v>1513317</v>
      </c>
      <c r="S21" s="147">
        <f>C21</f>
        <v>1513317</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1640</v>
      </c>
      <c r="B24" s="146">
        <f t="shared" si="3"/>
        <v>190000</v>
      </c>
      <c r="C24" s="147">
        <v>190000</v>
      </c>
      <c r="D24" s="147"/>
      <c r="E24" s="147"/>
      <c r="F24" s="147">
        <f>C24</f>
        <v>190000</v>
      </c>
      <c r="G24" s="147"/>
      <c r="H24" s="147"/>
      <c r="I24" s="147"/>
      <c r="J24" s="147"/>
      <c r="K24" s="147"/>
      <c r="L24" s="147"/>
      <c r="M24" s="147"/>
      <c r="N24" s="147"/>
      <c r="O24" s="147"/>
      <c r="P24" s="147"/>
      <c r="Q24" s="147"/>
      <c r="R24" s="517">
        <f t="shared" si="4"/>
        <v>190000</v>
      </c>
      <c r="S24" s="147">
        <f>C24</f>
        <v>190000</v>
      </c>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43650000</v>
      </c>
      <c r="C26" s="146">
        <f>SUM(C17:C25)</f>
        <v>43650000</v>
      </c>
      <c r="D26" s="146">
        <f t="shared" ref="D26:Q26" si="5">SUM(D17:D25)</f>
        <v>0</v>
      </c>
      <c r="E26" s="146">
        <f t="shared" si="5"/>
        <v>36976572</v>
      </c>
      <c r="F26" s="146">
        <f t="shared" si="5"/>
        <v>6673428</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43650000</v>
      </c>
      <c r="S26" s="150">
        <f>SUM(S17:S25)</f>
        <v>43650000</v>
      </c>
      <c r="T26" s="150">
        <f>SUM(T17:T25)</f>
        <v>0</v>
      </c>
      <c r="U26" s="143"/>
    </row>
    <row r="27" spans="1:21" s="144" customFormat="1">
      <c r="A27" s="149" t="s">
        <v>141</v>
      </c>
      <c r="B27" s="146">
        <f>SUM(C27:D27)</f>
        <v>0</v>
      </c>
      <c r="C27" s="147"/>
      <c r="D27" s="147"/>
      <c r="E27" s="147"/>
      <c r="F27" s="147">
        <f>C27</f>
        <v>0</v>
      </c>
      <c r="G27" s="147"/>
      <c r="H27" s="147"/>
      <c r="I27" s="147"/>
      <c r="J27" s="147"/>
      <c r="K27" s="147"/>
      <c r="L27" s="147"/>
      <c r="M27" s="147"/>
      <c r="N27" s="147"/>
      <c r="O27" s="147"/>
      <c r="P27" s="147"/>
      <c r="Q27" s="147"/>
      <c r="R27" s="517">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7">
        <f t="shared" ref="R29:R37" si="7">SUM(E29:Q29)</f>
        <v>0</v>
      </c>
      <c r="S29" s="147"/>
      <c r="T29" s="147"/>
      <c r="U29" s="143"/>
    </row>
    <row r="30" spans="1:21" s="144" customFormat="1">
      <c r="A30" s="145" t="s">
        <v>600</v>
      </c>
      <c r="B30" s="146">
        <f t="shared" si="6"/>
        <v>0</v>
      </c>
      <c r="C30" s="147"/>
      <c r="D30" s="147"/>
      <c r="E30" s="147"/>
      <c r="F30" s="147"/>
      <c r="G30" s="147"/>
      <c r="H30" s="147"/>
      <c r="I30" s="147"/>
      <c r="J30" s="147"/>
      <c r="K30" s="147"/>
      <c r="L30" s="147"/>
      <c r="M30" s="147"/>
      <c r="N30" s="147"/>
      <c r="O30" s="147"/>
      <c r="P30" s="147"/>
      <c r="Q30" s="147"/>
      <c r="R30" s="517">
        <f t="shared" si="7"/>
        <v>0</v>
      </c>
      <c r="S30" s="147"/>
      <c r="T30" s="147"/>
      <c r="U30" s="143"/>
    </row>
    <row r="31" spans="1:21" s="144" customFormat="1">
      <c r="A31" s="145" t="s">
        <v>601</v>
      </c>
      <c r="B31" s="146">
        <f t="shared" si="6"/>
        <v>0</v>
      </c>
      <c r="C31" s="147"/>
      <c r="D31" s="147"/>
      <c r="E31" s="147"/>
      <c r="F31" s="147"/>
      <c r="G31" s="147"/>
      <c r="H31" s="147"/>
      <c r="I31" s="147"/>
      <c r="J31" s="147"/>
      <c r="K31" s="147"/>
      <c r="L31" s="147"/>
      <c r="M31" s="147"/>
      <c r="N31" s="147"/>
      <c r="O31" s="147"/>
      <c r="P31" s="147"/>
      <c r="Q31" s="147"/>
      <c r="R31" s="517">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7">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7">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7">
        <f t="shared" si="7"/>
        <v>0</v>
      </c>
      <c r="S35" s="147"/>
      <c r="T35" s="147"/>
      <c r="U35" s="143"/>
    </row>
    <row r="36" spans="1:21" s="144" customFormat="1">
      <c r="A36" s="284" t="s">
        <v>1640</v>
      </c>
      <c r="B36" s="146">
        <f t="shared" si="6"/>
        <v>0</v>
      </c>
      <c r="C36" s="147"/>
      <c r="D36" s="147"/>
      <c r="E36" s="147"/>
      <c r="F36" s="147"/>
      <c r="G36" s="147"/>
      <c r="H36" s="147"/>
      <c r="I36" s="147"/>
      <c r="J36" s="147"/>
      <c r="K36" s="147"/>
      <c r="L36" s="147"/>
      <c r="M36" s="147"/>
      <c r="N36" s="147"/>
      <c r="O36" s="147"/>
      <c r="P36" s="147"/>
      <c r="Q36" s="147"/>
      <c r="R36" s="517">
        <f t="shared" si="7"/>
        <v>0</v>
      </c>
      <c r="S36" s="147"/>
      <c r="T36" s="147"/>
      <c r="U36" s="143"/>
    </row>
    <row r="37" spans="1:21" s="144" customFormat="1">
      <c r="A37" s="1151" t="s">
        <v>34</v>
      </c>
      <c r="B37" s="146">
        <f t="shared" si="6"/>
        <v>0</v>
      </c>
      <c r="C37" s="147"/>
      <c r="D37" s="147"/>
      <c r="E37" s="147"/>
      <c r="F37" s="147"/>
      <c r="G37" s="147"/>
      <c r="H37" s="147"/>
      <c r="I37" s="147"/>
      <c r="J37" s="147"/>
      <c r="K37" s="147"/>
      <c r="L37" s="147"/>
      <c r="M37" s="147"/>
      <c r="N37" s="147"/>
      <c r="O37" s="147"/>
      <c r="P37" s="147"/>
      <c r="Q37" s="147"/>
      <c r="R37" s="517">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3">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400000</v>
      </c>
      <c r="C40" s="147">
        <v>400000</v>
      </c>
      <c r="D40" s="147"/>
      <c r="E40" s="147"/>
      <c r="F40" s="147"/>
      <c r="G40" s="147"/>
      <c r="H40" s="147">
        <f>C40</f>
        <v>400000</v>
      </c>
      <c r="I40" s="147"/>
      <c r="J40" s="147"/>
      <c r="K40" s="147"/>
      <c r="L40" s="147"/>
      <c r="M40" s="147"/>
      <c r="N40" s="147"/>
      <c r="O40" s="147"/>
      <c r="P40" s="147"/>
      <c r="Q40" s="147"/>
      <c r="R40" s="517">
        <f>SUM(E40:Q40)</f>
        <v>400000</v>
      </c>
      <c r="S40" s="147">
        <f>C40</f>
        <v>400000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7">
        <f>SUM(E41:Q41)</f>
        <v>0</v>
      </c>
      <c r="S41" s="147"/>
      <c r="T41" s="147"/>
      <c r="U41" s="143"/>
    </row>
    <row r="42" spans="1:21" s="144" customFormat="1">
      <c r="A42" s="149" t="s">
        <v>147</v>
      </c>
      <c r="B42" s="146">
        <f>SUM(C42:D42)</f>
        <v>400000</v>
      </c>
      <c r="C42" s="146">
        <f>SUM(C39:C41)</f>
        <v>400000</v>
      </c>
      <c r="D42" s="146">
        <f>SUM(D39:D41)</f>
        <v>0</v>
      </c>
      <c r="E42" s="146">
        <f t="shared" ref="E42:T42" si="9">SUM(E40:E41)</f>
        <v>0</v>
      </c>
      <c r="F42" s="146">
        <f t="shared" si="9"/>
        <v>0</v>
      </c>
      <c r="G42" s="146">
        <f t="shared" si="9"/>
        <v>0</v>
      </c>
      <c r="H42" s="146">
        <f t="shared" si="9"/>
        <v>400000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3">
        <f>SUM(R40:R41)</f>
        <v>400000</v>
      </c>
      <c r="S42" s="150">
        <f t="shared" si="9"/>
        <v>400000</v>
      </c>
      <c r="T42" s="150">
        <f t="shared" si="9"/>
        <v>0</v>
      </c>
      <c r="U42" s="143"/>
    </row>
    <row r="43" spans="1:21" s="144" customFormat="1">
      <c r="A43" s="149" t="s">
        <v>148</v>
      </c>
      <c r="B43" s="146">
        <f>SUM(C43:D43)</f>
        <v>465000</v>
      </c>
      <c r="C43" s="147">
        <f>100000+160000+100000+105000</f>
        <v>465000</v>
      </c>
      <c r="D43" s="147"/>
      <c r="E43" s="147"/>
      <c r="F43" s="147"/>
      <c r="G43" s="147"/>
      <c r="H43" s="147">
        <f>C43</f>
        <v>465000</v>
      </c>
      <c r="I43" s="147"/>
      <c r="J43" s="147"/>
      <c r="K43" s="147"/>
      <c r="L43" s="147"/>
      <c r="M43" s="147"/>
      <c r="N43" s="147"/>
      <c r="O43" s="147"/>
      <c r="P43" s="147"/>
      <c r="Q43" s="147"/>
      <c r="R43" s="517">
        <f>SUM(E43:Q43)</f>
        <v>465000</v>
      </c>
      <c r="S43" s="147">
        <f>C43</f>
        <v>465000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5650000</v>
      </c>
      <c r="C45" s="147">
        <f>5350000+300000</f>
        <v>5650000</v>
      </c>
      <c r="D45" s="147"/>
      <c r="E45" s="147"/>
      <c r="F45" s="147">
        <f>C45</f>
        <v>5650000</v>
      </c>
      <c r="G45" s="147"/>
      <c r="H45" s="147"/>
      <c r="I45" s="147"/>
      <c r="J45" s="147"/>
      <c r="K45" s="147"/>
      <c r="L45" s="147"/>
      <c r="M45" s="147"/>
      <c r="N45" s="147"/>
      <c r="O45" s="147"/>
      <c r="P45" s="147"/>
      <c r="Q45" s="147"/>
      <c r="R45" s="517">
        <f t="shared" ref="R45:R53" si="11">SUM(E45:Q45)</f>
        <v>5650000</v>
      </c>
      <c r="S45" s="147">
        <f>2675000+150000</f>
        <v>2825000</v>
      </c>
      <c r="T45" s="147"/>
      <c r="U45" s="143"/>
    </row>
    <row r="46" spans="1:21" s="144" customFormat="1">
      <c r="A46" s="145" t="s">
        <v>151</v>
      </c>
      <c r="B46" s="146">
        <f t="shared" si="10"/>
        <v>826483</v>
      </c>
      <c r="C46" s="147">
        <v>826483</v>
      </c>
      <c r="D46" s="147"/>
      <c r="E46" s="147"/>
      <c r="F46" s="147">
        <f>C46</f>
        <v>826483</v>
      </c>
      <c r="G46" s="147"/>
      <c r="H46" s="147"/>
      <c r="I46" s="147"/>
      <c r="J46" s="147"/>
      <c r="K46" s="147"/>
      <c r="L46" s="147"/>
      <c r="M46" s="147"/>
      <c r="N46" s="147"/>
      <c r="O46" s="147"/>
      <c r="P46" s="147"/>
      <c r="Q46" s="147"/>
      <c r="R46" s="517">
        <f t="shared" si="11"/>
        <v>826483</v>
      </c>
      <c r="S46" s="147">
        <f>C46</f>
        <v>826483</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7">
        <f t="shared" si="11"/>
        <v>0</v>
      </c>
      <c r="S47" s="147"/>
      <c r="T47" s="147"/>
      <c r="U47" s="143"/>
    </row>
    <row r="48" spans="1:21" s="144" customFormat="1">
      <c r="A48" s="145" t="s">
        <v>153</v>
      </c>
      <c r="B48" s="146">
        <f t="shared" si="10"/>
        <v>0</v>
      </c>
      <c r="C48" s="147"/>
      <c r="D48" s="147"/>
      <c r="E48" s="147"/>
      <c r="F48" s="147"/>
      <c r="G48" s="147"/>
      <c r="H48" s="147">
        <f>C48</f>
        <v>0</v>
      </c>
      <c r="I48" s="147"/>
      <c r="J48" s="147"/>
      <c r="K48" s="147"/>
      <c r="L48" s="147"/>
      <c r="M48" s="147"/>
      <c r="N48" s="147"/>
      <c r="O48" s="147"/>
      <c r="P48" s="147"/>
      <c r="Q48" s="147"/>
      <c r="R48" s="517">
        <f t="shared" si="11"/>
        <v>0</v>
      </c>
      <c r="S48" s="147">
        <f>C48</f>
        <v>0</v>
      </c>
      <c r="T48" s="147"/>
      <c r="U48" s="143"/>
    </row>
    <row r="49" spans="1:21" s="144" customFormat="1">
      <c r="A49" s="145" t="s">
        <v>57</v>
      </c>
      <c r="B49" s="146">
        <f t="shared" si="10"/>
        <v>414418</v>
      </c>
      <c r="C49" s="147">
        <f>90000+65754+35000+30000+35000+3000+15000+117129+30000-6465</f>
        <v>414418</v>
      </c>
      <c r="D49" s="147"/>
      <c r="E49" s="147"/>
      <c r="F49" s="147">
        <f>C49</f>
        <v>414418</v>
      </c>
      <c r="G49" s="147"/>
      <c r="H49" s="147"/>
      <c r="I49" s="147"/>
      <c r="J49" s="147"/>
      <c r="K49" s="147"/>
      <c r="L49" s="147"/>
      <c r="M49" s="147"/>
      <c r="N49" s="147"/>
      <c r="O49" s="147"/>
      <c r="P49" s="147"/>
      <c r="Q49" s="147"/>
      <c r="R49" s="517">
        <f t="shared" si="11"/>
        <v>414418</v>
      </c>
      <c r="S49" s="147">
        <f>14994+10955+5831+4998+5831+500+2499+4998</f>
        <v>50606</v>
      </c>
      <c r="T49" s="147"/>
      <c r="U49" s="143"/>
    </row>
    <row r="50" spans="1:21" s="144" customFormat="1">
      <c r="A50" s="145" t="s">
        <v>156</v>
      </c>
      <c r="B50" s="146">
        <f t="shared" si="10"/>
        <v>60000</v>
      </c>
      <c r="C50" s="147">
        <v>60000</v>
      </c>
      <c r="D50" s="147"/>
      <c r="E50" s="147"/>
      <c r="F50" s="147">
        <f>C50</f>
        <v>60000</v>
      </c>
      <c r="G50" s="147"/>
      <c r="H50" s="147"/>
      <c r="I50" s="147"/>
      <c r="J50" s="147"/>
      <c r="K50" s="147"/>
      <c r="L50" s="147"/>
      <c r="M50" s="147"/>
      <c r="N50" s="147"/>
      <c r="O50" s="147"/>
      <c r="P50" s="147"/>
      <c r="Q50" s="147"/>
      <c r="R50" s="517">
        <f t="shared" si="11"/>
        <v>60000</v>
      </c>
      <c r="S50" s="147">
        <f>C50</f>
        <v>60000</v>
      </c>
      <c r="T50" s="147"/>
      <c r="U50" s="143"/>
    </row>
    <row r="51" spans="1:21" s="144" customFormat="1">
      <c r="A51" s="284" t="s">
        <v>154</v>
      </c>
      <c r="B51" s="146">
        <f t="shared" si="10"/>
        <v>100000</v>
      </c>
      <c r="C51" s="147">
        <v>100000</v>
      </c>
      <c r="D51" s="147"/>
      <c r="E51" s="147"/>
      <c r="F51" s="147">
        <f>C51</f>
        <v>100000</v>
      </c>
      <c r="G51" s="147"/>
      <c r="H51" s="147"/>
      <c r="I51" s="147"/>
      <c r="J51" s="147"/>
      <c r="K51" s="147"/>
      <c r="L51" s="147"/>
      <c r="M51" s="147"/>
      <c r="N51" s="147"/>
      <c r="O51" s="147"/>
      <c r="P51" s="147"/>
      <c r="Q51" s="147"/>
      <c r="R51" s="517">
        <f t="shared" si="11"/>
        <v>100000</v>
      </c>
      <c r="S51" s="147"/>
      <c r="T51" s="147"/>
      <c r="U51" s="143"/>
    </row>
    <row r="52" spans="1:21" s="144" customFormat="1">
      <c r="A52" s="145" t="s">
        <v>155</v>
      </c>
      <c r="B52" s="146">
        <f t="shared" si="10"/>
        <v>800000</v>
      </c>
      <c r="C52" s="147">
        <v>800000</v>
      </c>
      <c r="D52" s="147"/>
      <c r="E52" s="147"/>
      <c r="F52" s="147">
        <f>C52</f>
        <v>800000</v>
      </c>
      <c r="G52" s="147"/>
      <c r="H52" s="147"/>
      <c r="I52" s="147"/>
      <c r="J52" s="147"/>
      <c r="K52" s="147"/>
      <c r="L52" s="147"/>
      <c r="M52" s="147"/>
      <c r="N52" s="147"/>
      <c r="O52" s="147"/>
      <c r="P52" s="147"/>
      <c r="Q52" s="147"/>
      <c r="R52" s="517">
        <f t="shared" si="11"/>
        <v>800000</v>
      </c>
      <c r="S52" s="147">
        <f t="shared" ref="S52" si="12">C52</f>
        <v>800000</v>
      </c>
      <c r="T52" s="147"/>
      <c r="U52" s="143"/>
    </row>
    <row r="53" spans="1:21" s="144" customFormat="1">
      <c r="A53" s="1151" t="s">
        <v>34</v>
      </c>
      <c r="B53" s="146">
        <f t="shared" si="10"/>
        <v>0</v>
      </c>
      <c r="C53" s="147"/>
      <c r="D53" s="147"/>
      <c r="E53" s="147"/>
      <c r="F53" s="147"/>
      <c r="G53" s="147"/>
      <c r="H53" s="147"/>
      <c r="I53" s="147"/>
      <c r="J53" s="147"/>
      <c r="K53" s="147"/>
      <c r="L53" s="147"/>
      <c r="M53" s="147"/>
      <c r="N53" s="147"/>
      <c r="O53" s="147"/>
      <c r="P53" s="147"/>
      <c r="Q53" s="147"/>
      <c r="R53" s="517">
        <f t="shared" si="11"/>
        <v>0</v>
      </c>
      <c r="S53" s="147"/>
      <c r="T53" s="147"/>
      <c r="U53" s="143"/>
    </row>
    <row r="54" spans="1:21" s="153" customFormat="1">
      <c r="A54" s="149" t="s">
        <v>157</v>
      </c>
      <c r="B54" s="150">
        <f>SUM(C54:D54)</f>
        <v>7850901</v>
      </c>
      <c r="C54" s="150">
        <f t="shared" ref="C54:T54" si="13">SUM(C45:C53)</f>
        <v>7850901</v>
      </c>
      <c r="D54" s="150">
        <f t="shared" si="13"/>
        <v>0</v>
      </c>
      <c r="E54" s="150">
        <f t="shared" si="13"/>
        <v>0</v>
      </c>
      <c r="F54" s="150">
        <f t="shared" si="13"/>
        <v>7850901</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3">
        <f t="shared" si="13"/>
        <v>7850901</v>
      </c>
      <c r="S54" s="150">
        <f t="shared" si="13"/>
        <v>4562089</v>
      </c>
      <c r="T54" s="150">
        <f t="shared" si="13"/>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471795</v>
      </c>
      <c r="C56" s="147">
        <v>471795</v>
      </c>
      <c r="D56" s="147"/>
      <c r="E56" s="147"/>
      <c r="F56" s="147"/>
      <c r="G56" s="147"/>
      <c r="H56" s="147">
        <f t="shared" ref="H56:H57" si="15">C56</f>
        <v>471795</v>
      </c>
      <c r="I56" s="147"/>
      <c r="J56" s="147"/>
      <c r="K56" s="147"/>
      <c r="L56" s="147"/>
      <c r="M56" s="147"/>
      <c r="N56" s="147"/>
      <c r="O56" s="147"/>
      <c r="P56" s="147"/>
      <c r="Q56" s="147"/>
      <c r="R56" s="517">
        <f t="shared" ref="R56:R61" si="16">SUM(E56:Q56)</f>
        <v>471795</v>
      </c>
      <c r="S56" s="148"/>
      <c r="T56" s="148"/>
      <c r="U56" s="143"/>
    </row>
    <row r="57" spans="1:21" s="192" customFormat="1">
      <c r="A57" s="186" t="s">
        <v>152</v>
      </c>
      <c r="B57" s="193">
        <f t="shared" si="14"/>
        <v>3000</v>
      </c>
      <c r="C57" s="190">
        <v>3000</v>
      </c>
      <c r="D57" s="190"/>
      <c r="E57" s="190"/>
      <c r="F57" s="190"/>
      <c r="G57" s="190"/>
      <c r="H57" s="190">
        <f t="shared" si="15"/>
        <v>3000</v>
      </c>
      <c r="I57" s="190"/>
      <c r="J57" s="190"/>
      <c r="K57" s="190"/>
      <c r="L57" s="190"/>
      <c r="M57" s="190"/>
      <c r="N57" s="190"/>
      <c r="O57" s="190"/>
      <c r="P57" s="190"/>
      <c r="Q57" s="190"/>
      <c r="R57" s="517">
        <f t="shared" si="16"/>
        <v>3000</v>
      </c>
      <c r="S57" s="194"/>
      <c r="T57" s="194"/>
      <c r="U57" s="191"/>
    </row>
    <row r="58" spans="1:21" s="144" customFormat="1">
      <c r="A58" s="145" t="s">
        <v>156</v>
      </c>
      <c r="B58" s="146">
        <f t="shared" si="14"/>
        <v>0</v>
      </c>
      <c r="C58" s="147"/>
      <c r="D58" s="147"/>
      <c r="E58" s="147"/>
      <c r="F58" s="147"/>
      <c r="G58" s="147"/>
      <c r="H58" s="147"/>
      <c r="I58" s="147"/>
      <c r="J58" s="147"/>
      <c r="K58" s="147"/>
      <c r="L58" s="147"/>
      <c r="M58" s="147"/>
      <c r="N58" s="147"/>
      <c r="O58" s="147"/>
      <c r="P58" s="147"/>
      <c r="Q58" s="147"/>
      <c r="R58" s="517">
        <f t="shared" si="16"/>
        <v>0</v>
      </c>
      <c r="S58" s="148"/>
      <c r="T58" s="148"/>
      <c r="U58" s="143"/>
    </row>
    <row r="59" spans="1:21" s="144" customFormat="1">
      <c r="A59" s="284" t="s">
        <v>154</v>
      </c>
      <c r="B59" s="146">
        <f t="shared" si="14"/>
        <v>0</v>
      </c>
      <c r="C59" s="147"/>
      <c r="D59" s="147"/>
      <c r="E59" s="147"/>
      <c r="F59" s="147"/>
      <c r="G59" s="147"/>
      <c r="H59" s="147"/>
      <c r="I59" s="147"/>
      <c r="J59" s="147"/>
      <c r="K59" s="147"/>
      <c r="L59" s="147"/>
      <c r="M59" s="147"/>
      <c r="N59" s="147"/>
      <c r="O59" s="147"/>
      <c r="P59" s="147"/>
      <c r="Q59" s="147"/>
      <c r="R59" s="517">
        <f t="shared" si="16"/>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7">
        <f t="shared" si="16"/>
        <v>0</v>
      </c>
      <c r="S60" s="148"/>
      <c r="T60" s="148"/>
      <c r="U60" s="143"/>
    </row>
    <row r="61" spans="1:21" s="144" customFormat="1">
      <c r="A61" s="1151" t="s">
        <v>34</v>
      </c>
      <c r="B61" s="146">
        <f t="shared" si="14"/>
        <v>0</v>
      </c>
      <c r="C61" s="147"/>
      <c r="D61" s="147"/>
      <c r="E61" s="147"/>
      <c r="F61" s="147"/>
      <c r="G61" s="147"/>
      <c r="H61" s="147"/>
      <c r="I61" s="147"/>
      <c r="J61" s="147"/>
      <c r="K61" s="147"/>
      <c r="L61" s="147"/>
      <c r="M61" s="147"/>
      <c r="N61" s="147"/>
      <c r="O61" s="147"/>
      <c r="P61" s="147"/>
      <c r="Q61" s="147"/>
      <c r="R61" s="517">
        <f t="shared" si="16"/>
        <v>0</v>
      </c>
      <c r="S61" s="148"/>
      <c r="T61" s="148"/>
      <c r="U61" s="143"/>
    </row>
    <row r="62" spans="1:21" s="144" customFormat="1" ht="13.75" customHeight="1">
      <c r="A62" s="149" t="s">
        <v>301</v>
      </c>
      <c r="B62" s="146">
        <f>SUM(C62:D62)</f>
        <v>474795</v>
      </c>
      <c r="C62" s="146">
        <f t="shared" ref="C62:R62" si="17">SUM(C56:C61)</f>
        <v>474795</v>
      </c>
      <c r="D62" s="146">
        <f t="shared" si="17"/>
        <v>0</v>
      </c>
      <c r="E62" s="146">
        <f t="shared" si="17"/>
        <v>0</v>
      </c>
      <c r="F62" s="146">
        <f t="shared" si="17"/>
        <v>0</v>
      </c>
      <c r="G62" s="146">
        <f t="shared" si="17"/>
        <v>0</v>
      </c>
      <c r="H62" s="146">
        <f t="shared" si="17"/>
        <v>474795</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3">
        <f t="shared" si="17"/>
        <v>474795</v>
      </c>
      <c r="S62" s="148"/>
      <c r="T62" s="148"/>
      <c r="U62" s="143"/>
    </row>
    <row r="63" spans="1:21" s="144" customFormat="1">
      <c r="A63" s="154" t="s">
        <v>302</v>
      </c>
      <c r="B63" s="146">
        <f t="shared" ref="B63:R63" si="18">SUM(B8+B11+B13+B14+B15+B26+B27+B38+B42+B43+B54+B62)</f>
        <v>85591696</v>
      </c>
      <c r="C63" s="146">
        <f t="shared" si="18"/>
        <v>85591696</v>
      </c>
      <c r="D63" s="146">
        <f t="shared" si="18"/>
        <v>0</v>
      </c>
      <c r="E63" s="146">
        <f t="shared" si="18"/>
        <v>36976572</v>
      </c>
      <c r="F63" s="146">
        <f t="shared" si="18"/>
        <v>42244329</v>
      </c>
      <c r="G63" s="146">
        <f t="shared" si="18"/>
        <v>4990000</v>
      </c>
      <c r="H63" s="146">
        <f t="shared" si="18"/>
        <v>1380795</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3">
        <f t="shared" si="18"/>
        <v>85591696</v>
      </c>
      <c r="S63" s="146">
        <f>SUM(S10+S13+S14+S15+S26+S27+S38+S42+S43+S54)</f>
        <v>49118089</v>
      </c>
      <c r="T63" s="146">
        <f>SUM(T11+T13+T14+T15+T26+T27+T38+T42+T43+T54)</f>
        <v>30900000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v>75000</v>
      </c>
      <c r="D65" s="147"/>
      <c r="E65" s="147"/>
      <c r="F65" s="147">
        <f>C65</f>
        <v>75000</v>
      </c>
      <c r="G65" s="147"/>
      <c r="H65" s="147"/>
      <c r="I65" s="147"/>
      <c r="J65" s="147"/>
      <c r="K65" s="147"/>
      <c r="L65" s="147"/>
      <c r="M65" s="147"/>
      <c r="N65" s="147"/>
      <c r="O65" s="147"/>
      <c r="P65" s="147"/>
      <c r="Q65" s="147"/>
      <c r="R65" s="517">
        <f>SUM(E65:Q65)</f>
        <v>75000</v>
      </c>
      <c r="S65" s="147">
        <f>C65</f>
        <v>75000</v>
      </c>
      <c r="T65" s="147"/>
      <c r="U65" s="143"/>
    </row>
    <row r="66" spans="1:21" s="144" customFormat="1" ht="24" customHeight="1">
      <c r="A66" s="284" t="s">
        <v>1641</v>
      </c>
      <c r="B66" s="146">
        <f>SUM(C66+D66)</f>
        <v>335000</v>
      </c>
      <c r="C66" s="147">
        <v>335000</v>
      </c>
      <c r="D66" s="147"/>
      <c r="E66" s="147"/>
      <c r="F66" s="147"/>
      <c r="G66" s="147"/>
      <c r="H66" s="147">
        <f>C66</f>
        <v>335000</v>
      </c>
      <c r="I66" s="147"/>
      <c r="J66" s="147"/>
      <c r="K66" s="147"/>
      <c r="L66" s="147"/>
      <c r="M66" s="147"/>
      <c r="N66" s="147"/>
      <c r="O66" s="147"/>
      <c r="P66" s="147"/>
      <c r="Q66" s="147"/>
      <c r="R66" s="517">
        <f>SUM(E66:Q66)</f>
        <v>335000</v>
      </c>
      <c r="S66" s="147">
        <f>C66</f>
        <v>335000</v>
      </c>
      <c r="T66" s="147"/>
      <c r="U66" s="143"/>
    </row>
    <row r="67" spans="1:21" s="144" customFormat="1" ht="24" customHeight="1">
      <c r="A67" s="284" t="s">
        <v>1642</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2657</v>
      </c>
      <c r="B69" s="146">
        <f>SUM(C69+D69)</f>
        <v>215000</v>
      </c>
      <c r="C69" s="147">
        <f>200000+15000</f>
        <v>215000</v>
      </c>
      <c r="D69" s="147"/>
      <c r="E69" s="147"/>
      <c r="F69" s="147"/>
      <c r="G69" s="147"/>
      <c r="H69" s="147">
        <f>C69</f>
        <v>215000</v>
      </c>
      <c r="I69" s="147"/>
      <c r="J69" s="147"/>
      <c r="K69" s="147"/>
      <c r="L69" s="147"/>
      <c r="M69" s="147"/>
      <c r="N69" s="147"/>
      <c r="O69" s="147"/>
      <c r="P69" s="147"/>
      <c r="Q69" s="147"/>
      <c r="R69" s="517">
        <f>SUM(E69:Q69)</f>
        <v>215000</v>
      </c>
      <c r="S69" s="147">
        <v>200000</v>
      </c>
      <c r="T69" s="147"/>
      <c r="U69" s="143"/>
    </row>
    <row r="70" spans="1:21" s="144" customFormat="1">
      <c r="A70" s="149" t="s">
        <v>1645</v>
      </c>
      <c r="B70" s="146">
        <f>SUM(C70:D70)</f>
        <v>625000</v>
      </c>
      <c r="C70" s="146">
        <f>SUM(C65:C69)</f>
        <v>625000</v>
      </c>
      <c r="D70" s="146">
        <f>SUM(D65:D69)</f>
        <v>0</v>
      </c>
      <c r="E70" s="146">
        <f t="shared" ref="E70:T70" si="19">SUM(E65:E69)</f>
        <v>0</v>
      </c>
      <c r="F70" s="146">
        <f t="shared" si="19"/>
        <v>75000</v>
      </c>
      <c r="G70" s="146">
        <f t="shared" si="19"/>
        <v>0</v>
      </c>
      <c r="H70" s="146">
        <f t="shared" si="19"/>
        <v>550000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3">
        <f t="shared" si="19"/>
        <v>625000</v>
      </c>
      <c r="S70" s="150">
        <f t="shared" si="19"/>
        <v>610000</v>
      </c>
      <c r="T70" s="150">
        <f t="shared" si="19"/>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1149586</v>
      </c>
      <c r="C75" s="147">
        <v>1149586</v>
      </c>
      <c r="D75" s="147"/>
      <c r="E75" s="147"/>
      <c r="F75" s="147">
        <f>C75</f>
        <v>1149586</v>
      </c>
      <c r="G75" s="147"/>
      <c r="H75" s="147"/>
      <c r="I75" s="147"/>
      <c r="J75" s="147"/>
      <c r="K75" s="147"/>
      <c r="L75" s="147"/>
      <c r="M75" s="147"/>
      <c r="N75" s="147"/>
      <c r="O75" s="147"/>
      <c r="P75" s="147"/>
      <c r="Q75" s="147"/>
      <c r="R75" s="517">
        <f>SUM(E75:Q75)</f>
        <v>1149586</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607</v>
      </c>
      <c r="B77" s="146">
        <f>SUM(C77:D77)</f>
        <v>1149586</v>
      </c>
      <c r="C77" s="146">
        <f>SUM(C72:C76)</f>
        <v>1149586</v>
      </c>
      <c r="D77" s="146">
        <f>SUM(D72:D76)</f>
        <v>0</v>
      </c>
      <c r="E77" s="146">
        <f t="shared" ref="E77:Q77" si="20">SUM(E72:E76)</f>
        <v>0</v>
      </c>
      <c r="F77" s="146">
        <f t="shared" si="20"/>
        <v>1149586</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3">
        <f>SUM(R72:R76)</f>
        <v>1149586</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3207000</v>
      </c>
      <c r="C79" s="147">
        <v>3207000</v>
      </c>
      <c r="D79" s="147"/>
      <c r="E79" s="147"/>
      <c r="F79" s="147"/>
      <c r="G79" s="147"/>
      <c r="H79" s="147">
        <f>C79</f>
        <v>3207000</v>
      </c>
      <c r="I79" s="147"/>
      <c r="J79" s="147"/>
      <c r="K79" s="147"/>
      <c r="L79" s="147"/>
      <c r="M79" s="147"/>
      <c r="N79" s="147"/>
      <c r="O79" s="147"/>
      <c r="P79" s="147"/>
      <c r="Q79" s="147"/>
      <c r="R79" s="517">
        <f>SUM(E79:Q79)</f>
        <v>3207000</v>
      </c>
      <c r="S79" s="147">
        <f>C79</f>
        <v>3207000</v>
      </c>
      <c r="T79" s="147"/>
      <c r="U79" s="143"/>
    </row>
    <row r="80" spans="1:21" s="144" customFormat="1">
      <c r="A80" s="284" t="s">
        <v>58</v>
      </c>
      <c r="B80" s="146">
        <f>SUM(C80:D80)</f>
        <v>672748</v>
      </c>
      <c r="C80" s="147">
        <v>672748</v>
      </c>
      <c r="D80" s="147"/>
      <c r="E80" s="147"/>
      <c r="F80" s="147"/>
      <c r="G80" s="147"/>
      <c r="H80" s="147">
        <f>C80</f>
        <v>672748</v>
      </c>
      <c r="I80" s="147"/>
      <c r="J80" s="147"/>
      <c r="K80" s="147"/>
      <c r="L80" s="147"/>
      <c r="M80" s="147"/>
      <c r="N80" s="147"/>
      <c r="O80" s="147"/>
      <c r="P80" s="147"/>
      <c r="Q80" s="147"/>
      <c r="R80" s="517">
        <f>SUM(E80:Q80)</f>
        <v>672748</v>
      </c>
      <c r="S80" s="147">
        <f>C80</f>
        <v>672748</v>
      </c>
      <c r="T80" s="147"/>
      <c r="U80" s="143"/>
    </row>
    <row r="81" spans="1:21" s="144" customFormat="1">
      <c r="A81" s="149" t="s">
        <v>1209</v>
      </c>
      <c r="B81" s="146">
        <f>SUM(C81:D81)</f>
        <v>3879748</v>
      </c>
      <c r="C81" s="510">
        <f>SUM(C79:C80)</f>
        <v>3879748</v>
      </c>
      <c r="D81" s="510">
        <f t="shared" ref="D81:T81" si="21">SUM(D79:D80)</f>
        <v>0</v>
      </c>
      <c r="E81" s="510">
        <f t="shared" si="21"/>
        <v>0</v>
      </c>
      <c r="F81" s="510">
        <f t="shared" si="21"/>
        <v>0</v>
      </c>
      <c r="G81" s="510">
        <f t="shared" si="21"/>
        <v>0</v>
      </c>
      <c r="H81" s="510">
        <f t="shared" si="21"/>
        <v>3879748</v>
      </c>
      <c r="I81" s="510">
        <f t="shared" si="21"/>
        <v>0</v>
      </c>
      <c r="J81" s="510">
        <f t="shared" si="21"/>
        <v>0</v>
      </c>
      <c r="K81" s="510">
        <f t="shared" si="21"/>
        <v>0</v>
      </c>
      <c r="L81" s="510">
        <f t="shared" si="21"/>
        <v>0</v>
      </c>
      <c r="M81" s="510">
        <f t="shared" si="21"/>
        <v>0</v>
      </c>
      <c r="N81" s="510">
        <f t="shared" si="21"/>
        <v>0</v>
      </c>
      <c r="O81" s="510">
        <f t="shared" si="21"/>
        <v>0</v>
      </c>
      <c r="P81" s="510">
        <f t="shared" si="21"/>
        <v>0</v>
      </c>
      <c r="Q81" s="510">
        <f t="shared" si="21"/>
        <v>0</v>
      </c>
      <c r="R81" s="510">
        <f t="shared" si="21"/>
        <v>3879748</v>
      </c>
      <c r="S81" s="510">
        <f t="shared" si="21"/>
        <v>3879748</v>
      </c>
      <c r="T81" s="510">
        <f t="shared" si="21"/>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2096</v>
      </c>
      <c r="B83" s="146">
        <f t="shared" ref="B83:B95" si="22">SUM(C83+D83)</f>
        <v>209885</v>
      </c>
      <c r="C83" s="147">
        <f>203420+6465</f>
        <v>209885</v>
      </c>
      <c r="D83" s="147"/>
      <c r="E83" s="147"/>
      <c r="F83" s="147">
        <f>C83</f>
        <v>209885</v>
      </c>
      <c r="G83" s="147"/>
      <c r="H83" s="147"/>
      <c r="I83" s="147"/>
      <c r="J83" s="147"/>
      <c r="K83" s="147"/>
      <c r="L83" s="147"/>
      <c r="M83" s="147"/>
      <c r="N83" s="147"/>
      <c r="O83" s="147"/>
      <c r="P83" s="147"/>
      <c r="Q83" s="147"/>
      <c r="R83" s="517">
        <f t="shared" ref="R83:R95" si="23">SUM(E83:Q83)</f>
        <v>209885</v>
      </c>
      <c r="S83" s="148"/>
      <c r="T83" s="148"/>
      <c r="U83" s="143"/>
    </row>
    <row r="84" spans="1:21" s="144" customFormat="1">
      <c r="A84" s="145" t="s">
        <v>768</v>
      </c>
      <c r="B84" s="146">
        <f t="shared" si="22"/>
        <v>0</v>
      </c>
      <c r="C84" s="147"/>
      <c r="D84" s="147"/>
      <c r="E84" s="147"/>
      <c r="F84" s="147">
        <f t="shared" ref="F84:F92" si="24">C84</f>
        <v>0</v>
      </c>
      <c r="G84" s="147"/>
      <c r="H84" s="147"/>
      <c r="I84" s="147"/>
      <c r="J84" s="147"/>
      <c r="K84" s="147"/>
      <c r="L84" s="147"/>
      <c r="M84" s="147"/>
      <c r="N84" s="147"/>
      <c r="O84" s="147"/>
      <c r="P84" s="147"/>
      <c r="Q84" s="147"/>
      <c r="R84" s="517">
        <f t="shared" si="23"/>
        <v>0</v>
      </c>
      <c r="S84" s="147"/>
      <c r="T84" s="147"/>
      <c r="U84" s="143"/>
    </row>
    <row r="85" spans="1:21" s="144" customFormat="1">
      <c r="A85" s="145" t="s">
        <v>769</v>
      </c>
      <c r="B85" s="146">
        <f t="shared" si="22"/>
        <v>923589</v>
      </c>
      <c r="C85" s="147">
        <v>923589</v>
      </c>
      <c r="D85" s="147"/>
      <c r="E85" s="147"/>
      <c r="F85" s="147">
        <f t="shared" si="24"/>
        <v>923589</v>
      </c>
      <c r="G85" s="147"/>
      <c r="H85" s="147"/>
      <c r="I85" s="147"/>
      <c r="J85" s="147"/>
      <c r="K85" s="147"/>
      <c r="L85" s="147"/>
      <c r="M85" s="147"/>
      <c r="N85" s="147"/>
      <c r="O85" s="147"/>
      <c r="P85" s="147"/>
      <c r="Q85" s="147"/>
      <c r="R85" s="517">
        <f t="shared" si="23"/>
        <v>923589</v>
      </c>
      <c r="S85" s="147">
        <f t="shared" ref="S85:S86" si="25">C85</f>
        <v>923589</v>
      </c>
      <c r="T85" s="147"/>
      <c r="U85" s="143"/>
    </row>
    <row r="86" spans="1:21" s="144" customFormat="1">
      <c r="A86" s="145" t="s">
        <v>770</v>
      </c>
      <c r="B86" s="146">
        <f t="shared" si="22"/>
        <v>135000</v>
      </c>
      <c r="C86" s="147">
        <f>125000+10000</f>
        <v>135000</v>
      </c>
      <c r="D86" s="147"/>
      <c r="E86" s="147"/>
      <c r="F86" s="147">
        <f t="shared" si="24"/>
        <v>135000</v>
      </c>
      <c r="G86" s="147"/>
      <c r="H86" s="147"/>
      <c r="I86" s="147"/>
      <c r="J86" s="147"/>
      <c r="K86" s="147"/>
      <c r="L86" s="147"/>
      <c r="M86" s="147"/>
      <c r="N86" s="147"/>
      <c r="O86" s="147"/>
      <c r="P86" s="147"/>
      <c r="Q86" s="147"/>
      <c r="R86" s="517">
        <f t="shared" si="23"/>
        <v>135000</v>
      </c>
      <c r="S86" s="147">
        <f t="shared" si="25"/>
        <v>135000</v>
      </c>
      <c r="T86" s="147"/>
      <c r="U86" s="143"/>
    </row>
    <row r="87" spans="1:21" s="144" customFormat="1">
      <c r="A87" s="145" t="s">
        <v>771</v>
      </c>
      <c r="B87" s="146">
        <f t="shared" si="22"/>
        <v>0</v>
      </c>
      <c r="C87" s="147"/>
      <c r="D87" s="147"/>
      <c r="E87" s="147"/>
      <c r="F87" s="147">
        <f t="shared" si="24"/>
        <v>0</v>
      </c>
      <c r="G87" s="147"/>
      <c r="H87" s="147"/>
      <c r="I87" s="147"/>
      <c r="J87" s="147"/>
      <c r="K87" s="147"/>
      <c r="L87" s="147"/>
      <c r="M87" s="147"/>
      <c r="N87" s="147"/>
      <c r="O87" s="147"/>
      <c r="P87" s="147"/>
      <c r="Q87" s="147"/>
      <c r="R87" s="517">
        <f t="shared" si="23"/>
        <v>0</v>
      </c>
      <c r="S87" s="147"/>
      <c r="T87" s="147"/>
      <c r="U87" s="143"/>
    </row>
    <row r="88" spans="1:21" s="144" customFormat="1">
      <c r="A88" s="145" t="s">
        <v>772</v>
      </c>
      <c r="B88" s="146">
        <f t="shared" si="22"/>
        <v>30000</v>
      </c>
      <c r="C88" s="147">
        <f>15000+15000</f>
        <v>30000</v>
      </c>
      <c r="D88" s="147"/>
      <c r="E88" s="147"/>
      <c r="F88" s="147">
        <f t="shared" si="24"/>
        <v>30000</v>
      </c>
      <c r="G88" s="147"/>
      <c r="H88" s="147"/>
      <c r="I88" s="147"/>
      <c r="J88" s="147"/>
      <c r="K88" s="147"/>
      <c r="L88" s="147"/>
      <c r="M88" s="147"/>
      <c r="N88" s="147"/>
      <c r="O88" s="147"/>
      <c r="P88" s="147"/>
      <c r="Q88" s="147"/>
      <c r="R88" s="517">
        <f t="shared" si="23"/>
        <v>30000</v>
      </c>
      <c r="S88" s="148"/>
      <c r="T88" s="148"/>
      <c r="U88" s="143"/>
    </row>
    <row r="89" spans="1:21" s="144" customFormat="1">
      <c r="A89" s="145" t="s">
        <v>773</v>
      </c>
      <c r="B89" s="146">
        <f t="shared" si="22"/>
        <v>158750</v>
      </c>
      <c r="C89" s="147">
        <v>158750</v>
      </c>
      <c r="D89" s="147"/>
      <c r="E89" s="147"/>
      <c r="F89" s="147">
        <f t="shared" si="24"/>
        <v>158750</v>
      </c>
      <c r="G89" s="147"/>
      <c r="H89" s="147"/>
      <c r="I89" s="147"/>
      <c r="J89" s="147"/>
      <c r="K89" s="147"/>
      <c r="L89" s="147"/>
      <c r="M89" s="147"/>
      <c r="N89" s="147"/>
      <c r="O89" s="147"/>
      <c r="P89" s="147"/>
      <c r="Q89" s="147"/>
      <c r="R89" s="517">
        <f t="shared" si="23"/>
        <v>158750</v>
      </c>
      <c r="S89" s="147"/>
      <c r="T89" s="147"/>
      <c r="U89" s="143"/>
    </row>
    <row r="90" spans="1:21" s="144" customFormat="1">
      <c r="A90" s="145" t="s">
        <v>774</v>
      </c>
      <c r="B90" s="146">
        <f t="shared" si="22"/>
        <v>10000</v>
      </c>
      <c r="C90" s="147">
        <v>10000</v>
      </c>
      <c r="D90" s="147"/>
      <c r="E90" s="147"/>
      <c r="F90" s="147">
        <f t="shared" si="24"/>
        <v>10000</v>
      </c>
      <c r="G90" s="147"/>
      <c r="H90" s="147"/>
      <c r="I90" s="147"/>
      <c r="J90" s="147"/>
      <c r="K90" s="147"/>
      <c r="L90" s="147"/>
      <c r="M90" s="147"/>
      <c r="N90" s="147"/>
      <c r="O90" s="147"/>
      <c r="P90" s="147"/>
      <c r="Q90" s="147"/>
      <c r="R90" s="517">
        <f t="shared" si="23"/>
        <v>10000</v>
      </c>
      <c r="S90" s="147">
        <f t="shared" ref="S90" si="26">C90</f>
        <v>10000</v>
      </c>
      <c r="T90" s="147"/>
      <c r="U90" s="143"/>
    </row>
    <row r="91" spans="1:21" s="144" customFormat="1">
      <c r="A91" s="145" t="s">
        <v>372</v>
      </c>
      <c r="B91" s="146">
        <f t="shared" si="22"/>
        <v>75000</v>
      </c>
      <c r="C91" s="147">
        <v>75000</v>
      </c>
      <c r="D91" s="147"/>
      <c r="E91" s="147"/>
      <c r="F91" s="147">
        <f t="shared" si="24"/>
        <v>75000</v>
      </c>
      <c r="G91" s="147"/>
      <c r="H91" s="147"/>
      <c r="I91" s="147"/>
      <c r="J91" s="147"/>
      <c r="K91" s="147"/>
      <c r="L91" s="147"/>
      <c r="M91" s="147"/>
      <c r="N91" s="147"/>
      <c r="O91" s="147"/>
      <c r="P91" s="147"/>
      <c r="Q91" s="147"/>
      <c r="R91" s="517">
        <f t="shared" si="23"/>
        <v>75000</v>
      </c>
      <c r="S91" s="147">
        <v>75000</v>
      </c>
      <c r="T91" s="147"/>
      <c r="U91" s="143"/>
    </row>
    <row r="92" spans="1:21" s="144" customFormat="1">
      <c r="A92" s="284" t="s">
        <v>1211</v>
      </c>
      <c r="B92" s="146">
        <f t="shared" si="22"/>
        <v>10000</v>
      </c>
      <c r="C92" s="147">
        <v>10000</v>
      </c>
      <c r="D92" s="147"/>
      <c r="E92" s="147"/>
      <c r="F92" s="147">
        <f t="shared" si="24"/>
        <v>10000</v>
      </c>
      <c r="G92" s="147"/>
      <c r="H92" s="147"/>
      <c r="I92" s="147"/>
      <c r="J92" s="147"/>
      <c r="K92" s="147"/>
      <c r="L92" s="147"/>
      <c r="M92" s="147"/>
      <c r="N92" s="147"/>
      <c r="O92" s="147"/>
      <c r="P92" s="147"/>
      <c r="Q92" s="147"/>
      <c r="R92" s="517">
        <f t="shared" si="23"/>
        <v>10000</v>
      </c>
      <c r="S92" s="147"/>
      <c r="T92" s="147"/>
      <c r="U92" s="143"/>
    </row>
    <row r="93" spans="1:21" s="144" customFormat="1">
      <c r="A93" s="1151" t="s">
        <v>2661</v>
      </c>
      <c r="B93" s="146">
        <f t="shared" si="22"/>
        <v>80000</v>
      </c>
      <c r="C93" s="147">
        <v>80000</v>
      </c>
      <c r="D93" s="147"/>
      <c r="E93" s="147"/>
      <c r="F93" s="147">
        <f>C93</f>
        <v>80000</v>
      </c>
      <c r="G93" s="147"/>
      <c r="H93" s="147"/>
      <c r="I93" s="147"/>
      <c r="J93" s="147"/>
      <c r="K93" s="147"/>
      <c r="L93" s="147"/>
      <c r="M93" s="147"/>
      <c r="N93" s="147"/>
      <c r="O93" s="147"/>
      <c r="P93" s="147"/>
      <c r="Q93" s="147"/>
      <c r="R93" s="517">
        <f t="shared" si="23"/>
        <v>80000</v>
      </c>
      <c r="S93" s="147">
        <f t="shared" ref="S93:S94" si="27">C93</f>
        <v>80000</v>
      </c>
      <c r="T93" s="147"/>
      <c r="U93" s="143"/>
    </row>
    <row r="94" spans="1:21" s="144" customFormat="1">
      <c r="A94" s="1151" t="s">
        <v>2662</v>
      </c>
      <c r="B94" s="146">
        <f t="shared" si="22"/>
        <v>1150000</v>
      </c>
      <c r="C94" s="147">
        <v>1150000</v>
      </c>
      <c r="D94" s="147"/>
      <c r="E94" s="147"/>
      <c r="F94" s="147">
        <f>C94</f>
        <v>1150000</v>
      </c>
      <c r="G94" s="147"/>
      <c r="H94" s="147"/>
      <c r="I94" s="147"/>
      <c r="J94" s="147"/>
      <c r="K94" s="147"/>
      <c r="L94" s="147"/>
      <c r="M94" s="147"/>
      <c r="N94" s="147"/>
      <c r="O94" s="147"/>
      <c r="P94" s="147"/>
      <c r="Q94" s="147"/>
      <c r="R94" s="517">
        <f t="shared" si="23"/>
        <v>1150000</v>
      </c>
      <c r="S94" s="147">
        <f t="shared" si="27"/>
        <v>1150000</v>
      </c>
      <c r="T94" s="147"/>
      <c r="U94" s="143"/>
    </row>
    <row r="95" spans="1:21" s="144" customFormat="1">
      <c r="A95" s="1151" t="s">
        <v>34</v>
      </c>
      <c r="B95" s="146">
        <f t="shared" si="22"/>
        <v>0</v>
      </c>
      <c r="C95" s="147"/>
      <c r="D95" s="147"/>
      <c r="E95" s="147"/>
      <c r="F95" s="147"/>
      <c r="G95" s="147"/>
      <c r="H95" s="147"/>
      <c r="I95" s="147"/>
      <c r="J95" s="147"/>
      <c r="K95" s="147"/>
      <c r="L95" s="147"/>
      <c r="M95" s="147"/>
      <c r="N95" s="147"/>
      <c r="O95" s="147"/>
      <c r="P95" s="147"/>
      <c r="Q95" s="147"/>
      <c r="R95" s="517">
        <f t="shared" si="23"/>
        <v>0</v>
      </c>
      <c r="S95" s="147"/>
      <c r="T95" s="147"/>
      <c r="U95" s="143"/>
    </row>
    <row r="96" spans="1:21" s="144" customFormat="1">
      <c r="A96" s="149" t="s">
        <v>775</v>
      </c>
      <c r="B96" s="146">
        <f>SUM(C96:D96)</f>
        <v>2782224</v>
      </c>
      <c r="C96" s="146">
        <f t="shared" ref="C96:R96" si="28">SUM(C83:C95)</f>
        <v>2782224</v>
      </c>
      <c r="D96" s="146">
        <f t="shared" si="28"/>
        <v>0</v>
      </c>
      <c r="E96" s="146">
        <f t="shared" si="28"/>
        <v>0</v>
      </c>
      <c r="F96" s="146">
        <f t="shared" si="28"/>
        <v>2782224</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3">
        <f t="shared" si="28"/>
        <v>2782224</v>
      </c>
      <c r="S96" s="150">
        <f>SUM(S84:S87,S89:S95)</f>
        <v>2373589</v>
      </c>
      <c r="T96" s="146">
        <f>SUM(T84:T87,T89:T95)</f>
        <v>0</v>
      </c>
      <c r="U96" s="143"/>
    </row>
    <row r="97" spans="1:21" s="144" customFormat="1">
      <c r="A97" s="149" t="s">
        <v>776</v>
      </c>
      <c r="B97" s="146">
        <f>SUM(C97:D97)</f>
        <v>94028254</v>
      </c>
      <c r="C97" s="146">
        <f t="shared" ref="C97:R97" si="29">SUM(C63+C70+C77+C81+C96)</f>
        <v>94028254</v>
      </c>
      <c r="D97" s="146">
        <f t="shared" si="29"/>
        <v>0</v>
      </c>
      <c r="E97" s="146">
        <f t="shared" si="29"/>
        <v>36976572</v>
      </c>
      <c r="F97" s="146">
        <f t="shared" si="29"/>
        <v>46251139</v>
      </c>
      <c r="G97" s="146">
        <f t="shared" si="29"/>
        <v>4990000</v>
      </c>
      <c r="H97" s="146">
        <f t="shared" si="29"/>
        <v>5810543</v>
      </c>
      <c r="I97" s="146">
        <f t="shared" si="29"/>
        <v>0</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94028254</v>
      </c>
      <c r="S97" s="146">
        <f>SUM(S63+S70+S81+S96)</f>
        <v>55981426</v>
      </c>
      <c r="T97" s="146">
        <f>SUM(T63+T70+T81+T96)</f>
        <v>30900000</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15831285</v>
      </c>
      <c r="C99" s="980">
        <v>15831285</v>
      </c>
      <c r="D99" s="980"/>
      <c r="E99" s="980"/>
      <c r="F99" s="147">
        <f>C99-H99-I99</f>
        <v>1928349</v>
      </c>
      <c r="G99" s="147"/>
      <c r="H99" s="147">
        <f>82388-10737</f>
        <v>71651</v>
      </c>
      <c r="I99" s="147">
        <f>I108</f>
        <v>13831285</v>
      </c>
      <c r="J99" s="147"/>
      <c r="K99" s="147"/>
      <c r="L99" s="147"/>
      <c r="M99" s="147"/>
      <c r="N99" s="147"/>
      <c r="O99" s="147"/>
      <c r="P99" s="147"/>
      <c r="Q99" s="147"/>
      <c r="R99" s="517">
        <f>SUM(E99:Q99)</f>
        <v>15831285</v>
      </c>
      <c r="S99" s="147">
        <v>11196285</v>
      </c>
      <c r="T99" s="147">
        <v>4635000</v>
      </c>
      <c r="U99" s="143"/>
    </row>
    <row r="100" spans="1:21" s="144" customFormat="1">
      <c r="A100" s="284" t="s">
        <v>1646</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15831285</v>
      </c>
      <c r="C104" s="146">
        <f>SUM(C99:C103)</f>
        <v>15831285</v>
      </c>
      <c r="D104" s="146">
        <f t="shared" ref="D104:T104" si="30">SUM(D99:D103)</f>
        <v>0</v>
      </c>
      <c r="E104" s="146">
        <f t="shared" si="30"/>
        <v>0</v>
      </c>
      <c r="F104" s="146">
        <f t="shared" si="30"/>
        <v>1928349</v>
      </c>
      <c r="G104" s="146">
        <f t="shared" si="30"/>
        <v>0</v>
      </c>
      <c r="H104" s="146">
        <f t="shared" si="30"/>
        <v>71651</v>
      </c>
      <c r="I104" s="146">
        <f t="shared" si="30"/>
        <v>13831285</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43">
        <f t="shared" si="30"/>
        <v>15831285</v>
      </c>
      <c r="S104" s="150">
        <f t="shared" si="30"/>
        <v>11196285</v>
      </c>
      <c r="T104" s="150">
        <f t="shared" si="30"/>
        <v>4635000</v>
      </c>
      <c r="U104" s="143"/>
    </row>
    <row r="105" spans="1:21" s="144" customFormat="1">
      <c r="A105" s="149" t="s">
        <v>781</v>
      </c>
      <c r="B105" s="150">
        <f>SUM(C105:D105)</f>
        <v>109859539</v>
      </c>
      <c r="C105" s="150">
        <f t="shared" ref="C105:R105" si="31">SUM(C97+C104)</f>
        <v>109859539</v>
      </c>
      <c r="D105" s="150">
        <f t="shared" si="31"/>
        <v>0</v>
      </c>
      <c r="E105" s="150">
        <f t="shared" si="31"/>
        <v>36976572</v>
      </c>
      <c r="F105" s="150">
        <f t="shared" si="31"/>
        <v>48179488</v>
      </c>
      <c r="G105" s="150">
        <f t="shared" si="31"/>
        <v>4990000</v>
      </c>
      <c r="H105" s="150">
        <f t="shared" si="31"/>
        <v>5882194</v>
      </c>
      <c r="I105" s="150">
        <f t="shared" si="31"/>
        <v>13831285</v>
      </c>
      <c r="J105" s="150">
        <f t="shared" si="31"/>
        <v>0</v>
      </c>
      <c r="K105" s="150">
        <f t="shared" si="31"/>
        <v>0</v>
      </c>
      <c r="L105" s="150">
        <f t="shared" si="31"/>
        <v>0</v>
      </c>
      <c r="M105" s="150">
        <f t="shared" si="31"/>
        <v>0</v>
      </c>
      <c r="N105" s="150">
        <f t="shared" si="31"/>
        <v>0</v>
      </c>
      <c r="O105" s="150">
        <f t="shared" si="31"/>
        <v>0</v>
      </c>
      <c r="P105" s="150">
        <f t="shared" si="31"/>
        <v>0</v>
      </c>
      <c r="Q105" s="150">
        <f t="shared" si="31"/>
        <v>0</v>
      </c>
      <c r="R105" s="343">
        <f t="shared" si="31"/>
        <v>109859539</v>
      </c>
      <c r="S105" s="150">
        <f>S97+S104</f>
        <v>67177711</v>
      </c>
      <c r="T105" s="150">
        <f>T97+T104</f>
        <v>35535000</v>
      </c>
      <c r="U105" s="143"/>
    </row>
    <row r="106" spans="1:21">
      <c r="A106" s="515"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67177711</v>
      </c>
      <c r="T107" s="150">
        <f>T105+T106</f>
        <v>35535000</v>
      </c>
    </row>
    <row r="108" spans="1:21" s="189" customFormat="1">
      <c r="A108" s="162" t="s">
        <v>879</v>
      </c>
      <c r="B108" s="157"/>
      <c r="C108" s="157"/>
      <c r="D108" s="157"/>
      <c r="E108" s="302">
        <f>Application!AO640</f>
        <v>36976572</v>
      </c>
      <c r="F108" s="302">
        <f>Application!AO627</f>
        <v>48179488</v>
      </c>
      <c r="G108" s="302">
        <f>Application!AO628</f>
        <v>4990000</v>
      </c>
      <c r="H108" s="302">
        <f>Application!AO629</f>
        <v>5882194</v>
      </c>
      <c r="I108" s="302">
        <f>Application!AO630</f>
        <v>13831285</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3"/>
      <c r="B112" s="157"/>
      <c r="C112" s="157"/>
      <c r="D112" s="157"/>
    </row>
    <row r="113" spans="1:21">
      <c r="A113" s="156" t="s">
        <v>1019</v>
      </c>
      <c r="B113" s="157"/>
      <c r="C113" s="157"/>
      <c r="D113" s="157"/>
    </row>
    <row r="114" spans="1:21">
      <c r="A114" s="156" t="s">
        <v>2097</v>
      </c>
      <c r="B114" s="157"/>
      <c r="C114" s="157"/>
      <c r="D114" s="157"/>
    </row>
    <row r="115" spans="1:21" ht="12" customHeight="1">
      <c r="A115" s="313"/>
      <c r="B115" s="157"/>
      <c r="C115" s="157"/>
      <c r="D115" s="157"/>
    </row>
    <row r="116" spans="1:21">
      <c r="A116" s="346" t="s">
        <v>1022</v>
      </c>
      <c r="B116" s="157"/>
      <c r="C116" s="157"/>
      <c r="D116" s="157"/>
    </row>
    <row r="117" spans="1:21">
      <c r="A117" s="346" t="s">
        <v>1223</v>
      </c>
      <c r="B117" s="157"/>
      <c r="C117" s="157"/>
      <c r="D117" s="157"/>
    </row>
    <row r="118" spans="1:21">
      <c r="A118" s="346" t="s">
        <v>1021</v>
      </c>
      <c r="B118" s="157"/>
      <c r="C118" s="157"/>
      <c r="D118" s="157"/>
    </row>
    <row r="119" spans="1:21">
      <c r="A119" s="346" t="s">
        <v>1023</v>
      </c>
      <c r="B119" s="157"/>
      <c r="C119" s="157"/>
      <c r="D119" s="157"/>
    </row>
    <row r="120" spans="1:21" ht="12" customHeight="1">
      <c r="A120" s="345"/>
      <c r="B120" s="157"/>
      <c r="C120" s="157"/>
      <c r="D120" s="157"/>
    </row>
    <row r="121" spans="1:21" ht="15.5">
      <c r="A121" s="339" t="s">
        <v>1005</v>
      </c>
      <c r="B121" s="157"/>
      <c r="C121" s="157"/>
      <c r="D121" s="157"/>
    </row>
    <row r="122" spans="1:21">
      <c r="A122" s="326" t="s">
        <v>989</v>
      </c>
      <c r="B122" s="325"/>
      <c r="C122" s="325"/>
      <c r="D122" s="1868" t="s">
        <v>990</v>
      </c>
      <c r="E122" s="1868"/>
      <c r="F122" s="1868"/>
      <c r="G122" s="325"/>
      <c r="H122" s="325"/>
      <c r="I122" s="325"/>
      <c r="J122" s="325"/>
      <c r="K122" s="325"/>
      <c r="L122" s="325"/>
      <c r="M122" s="325"/>
      <c r="N122" s="325"/>
      <c r="O122" s="325"/>
      <c r="P122" s="325"/>
      <c r="Q122" s="325"/>
      <c r="R122" s="325"/>
      <c r="S122" s="325"/>
      <c r="T122" s="325"/>
      <c r="U122" s="327"/>
    </row>
    <row r="123" spans="1:21">
      <c r="A123" s="325" t="s">
        <v>991</v>
      </c>
      <c r="B123" s="334"/>
      <c r="C123" s="325"/>
      <c r="D123" s="1860" t="s">
        <v>1224</v>
      </c>
      <c r="E123" s="1555"/>
      <c r="F123" s="1555"/>
      <c r="G123" s="1555"/>
      <c r="H123" s="1555"/>
      <c r="I123" s="1555"/>
      <c r="J123" s="1555"/>
      <c r="K123" s="1555"/>
      <c r="L123" s="1555"/>
      <c r="M123" s="1555"/>
      <c r="N123" s="1555"/>
      <c r="O123" s="1555"/>
      <c r="P123" s="1555"/>
      <c r="Q123" s="1555"/>
      <c r="R123" s="1555"/>
      <c r="S123" s="1555"/>
      <c r="T123" s="325"/>
      <c r="U123" s="327"/>
    </row>
    <row r="124" spans="1:21" ht="12.5">
      <c r="A124" s="117" t="s">
        <v>992</v>
      </c>
      <c r="B124" s="334"/>
      <c r="C124" s="117"/>
      <c r="D124" s="1555"/>
      <c r="E124" s="1555"/>
      <c r="F124" s="1555"/>
      <c r="G124" s="1555"/>
      <c r="H124" s="1555"/>
      <c r="I124" s="1555"/>
      <c r="J124" s="1555"/>
      <c r="K124" s="1555"/>
      <c r="L124" s="1555"/>
      <c r="M124" s="1555"/>
      <c r="N124" s="1555"/>
      <c r="O124" s="1555"/>
      <c r="P124" s="1555"/>
      <c r="Q124" s="1555"/>
      <c r="R124" s="1555"/>
      <c r="S124" s="1555"/>
      <c r="T124" s="325"/>
      <c r="U124" s="327"/>
    </row>
    <row r="125" spans="1:21" ht="12.5">
      <c r="A125" s="117" t="s">
        <v>993</v>
      </c>
      <c r="B125" s="334"/>
      <c r="C125" s="117"/>
      <c r="D125" s="1555"/>
      <c r="E125" s="1555"/>
      <c r="F125" s="1555"/>
      <c r="G125" s="1555"/>
      <c r="H125" s="1555"/>
      <c r="I125" s="1555"/>
      <c r="J125" s="1555"/>
      <c r="K125" s="1555"/>
      <c r="L125" s="1555"/>
      <c r="M125" s="1555"/>
      <c r="N125" s="1555"/>
      <c r="O125" s="1555"/>
      <c r="P125" s="1555"/>
      <c r="Q125" s="1555"/>
      <c r="R125" s="1555"/>
      <c r="S125" s="1555"/>
      <c r="T125" s="325"/>
      <c r="U125" s="327"/>
    </row>
    <row r="126" spans="1:21" ht="12.5">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996</v>
      </c>
      <c r="B128" s="334"/>
      <c r="C128" s="117"/>
      <c r="D128" s="1863"/>
      <c r="E128" s="1863"/>
      <c r="F128" s="1863"/>
      <c r="G128" s="1863"/>
      <c r="H128" s="1863"/>
      <c r="I128" s="117"/>
      <c r="J128" s="1859"/>
      <c r="K128" s="1859"/>
      <c r="L128" s="117"/>
      <c r="M128" s="117"/>
      <c r="N128" s="117"/>
      <c r="O128" s="117"/>
      <c r="P128" s="117"/>
      <c r="Q128" s="117"/>
      <c r="R128" s="117"/>
      <c r="S128" s="117"/>
      <c r="T128" s="325"/>
      <c r="U128" s="327"/>
    </row>
    <row r="129" spans="1:21" ht="12.5">
      <c r="A129" s="117" t="s">
        <v>300</v>
      </c>
      <c r="B129" s="334"/>
      <c r="C129" s="117"/>
      <c r="D129" s="1867" t="s">
        <v>997</v>
      </c>
      <c r="E129" s="1867"/>
      <c r="F129" s="1867"/>
      <c r="G129" s="1867"/>
      <c r="H129" s="1867"/>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999</v>
      </c>
      <c r="B131" s="335">
        <f>SUM(B123:B129)</f>
        <v>0</v>
      </c>
      <c r="C131" s="117"/>
      <c r="D131" s="1585"/>
      <c r="E131" s="1585"/>
      <c r="F131" s="1585"/>
      <c r="G131" s="1585"/>
      <c r="H131" s="1585"/>
      <c r="I131" s="117"/>
      <c r="J131" s="1585"/>
      <c r="K131" s="1585"/>
      <c r="L131" s="1585"/>
      <c r="M131" s="1585"/>
      <c r="N131" s="117"/>
      <c r="O131" s="117"/>
      <c r="P131" s="117"/>
      <c r="Q131" s="117"/>
      <c r="R131" s="117"/>
      <c r="S131" s="117"/>
      <c r="T131" s="325"/>
      <c r="U131" s="327"/>
    </row>
    <row r="132" spans="1:21" ht="12" customHeight="1">
      <c r="A132" s="337"/>
      <c r="B132" s="117"/>
      <c r="C132" s="117"/>
      <c r="D132" s="1861" t="s">
        <v>1000</v>
      </c>
      <c r="E132" s="1861"/>
      <c r="F132" s="1861"/>
      <c r="G132" s="1861"/>
      <c r="H132" s="1861"/>
      <c r="I132" s="117"/>
      <c r="J132" s="1861" t="s">
        <v>1001</v>
      </c>
      <c r="K132" s="1861"/>
      <c r="L132" s="1861"/>
      <c r="M132" s="1861"/>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2"/>
      <c r="B138" s="1863"/>
      <c r="C138" s="1863"/>
      <c r="D138" s="329"/>
      <c r="E138" s="1859"/>
      <c r="F138" s="1859"/>
      <c r="G138" s="117"/>
      <c r="H138" s="117"/>
      <c r="I138" s="117"/>
      <c r="J138" s="117"/>
      <c r="K138" s="117"/>
      <c r="L138" s="117"/>
      <c r="M138" s="117"/>
      <c r="N138" s="117"/>
      <c r="O138" s="117"/>
      <c r="P138" s="117"/>
      <c r="Q138" s="117"/>
      <c r="R138" s="117"/>
      <c r="S138" s="117"/>
      <c r="T138" s="331"/>
      <c r="U138" s="332"/>
    </row>
    <row r="139" spans="1:21" ht="13">
      <c r="A139" s="1858" t="s">
        <v>1004</v>
      </c>
      <c r="B139" s="1858"/>
      <c r="C139" s="1858"/>
      <c r="D139" s="329"/>
      <c r="E139" s="117" t="s">
        <v>998</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71" t="s">
        <v>1227</v>
      </c>
      <c r="B1" s="1872"/>
      <c r="C1" s="1872"/>
      <c r="D1" s="1872"/>
      <c r="E1" s="1872"/>
      <c r="F1" s="1872"/>
      <c r="G1" s="1872"/>
      <c r="H1" s="1872"/>
      <c r="I1" s="1872"/>
      <c r="J1" s="1873"/>
      <c r="K1" s="356"/>
    </row>
    <row r="2" spans="1:11" s="402" customFormat="1" ht="69">
      <c r="A2" s="399"/>
      <c r="B2" s="400" t="s">
        <v>1027</v>
      </c>
      <c r="C2" s="400" t="s">
        <v>1229</v>
      </c>
      <c r="D2" s="400" t="s">
        <v>1230</v>
      </c>
      <c r="E2" s="400" t="s">
        <v>1158</v>
      </c>
      <c r="F2" s="400" t="s">
        <v>1231</v>
      </c>
      <c r="G2" s="400" t="s">
        <v>1232</v>
      </c>
      <c r="H2" s="400" t="s">
        <v>1028</v>
      </c>
      <c r="I2" s="400" t="s">
        <v>1233</v>
      </c>
      <c r="J2" s="400" t="s">
        <v>1234</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1800000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10000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1810000</v>
      </c>
      <c r="C8" s="362">
        <f>SUM(C4:C7)</f>
        <v>0</v>
      </c>
      <c r="D8" s="362">
        <f>SUM(D4:D7)</f>
        <v>0</v>
      </c>
      <c r="E8" s="364"/>
      <c r="F8" s="364"/>
      <c r="G8" s="364"/>
      <c r="H8" s="364"/>
      <c r="I8" s="364"/>
      <c r="J8" s="364"/>
      <c r="K8" s="360"/>
    </row>
    <row r="9" spans="1:11" s="361" customFormat="1">
      <c r="A9" s="365" t="s">
        <v>595</v>
      </c>
      <c r="B9" s="362">
        <f>'Sources and Uses Budget'!C9</f>
        <v>30900000</v>
      </c>
      <c r="C9" s="363"/>
      <c r="D9" s="363"/>
      <c r="E9" s="364"/>
      <c r="F9" s="364"/>
      <c r="G9" s="364"/>
      <c r="H9" s="362">
        <f>'Sources and Uses Budget'!T9</f>
        <v>30900000</v>
      </c>
      <c r="I9" s="363"/>
      <c r="J9" s="363"/>
      <c r="K9" s="360"/>
    </row>
    <row r="10" spans="1:11" s="361" customFormat="1">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597</v>
      </c>
      <c r="B11" s="362">
        <f>'Sources and Uses Budget'!C11</f>
        <v>30900000</v>
      </c>
      <c r="C11" s="362">
        <f>SUM(C9:C10)</f>
        <v>0</v>
      </c>
      <c r="D11" s="362">
        <f>SUM(D9:D10)</f>
        <v>0</v>
      </c>
      <c r="E11" s="364"/>
      <c r="F11" s="364"/>
      <c r="G11" s="364"/>
      <c r="H11" s="362">
        <f>'Sources and Uses Budget'!T11</f>
        <v>30900000</v>
      </c>
      <c r="I11" s="362">
        <f>SUM(I9:I10)</f>
        <v>0</v>
      </c>
      <c r="J11" s="362">
        <f>SUM(J9:J10)</f>
        <v>0</v>
      </c>
      <c r="K11" s="360"/>
    </row>
    <row r="12" spans="1:11" s="361" customFormat="1">
      <c r="A12" s="366" t="s">
        <v>84</v>
      </c>
      <c r="B12" s="362">
        <f>'Sources and Uses Budget'!C12</f>
        <v>32710000</v>
      </c>
      <c r="C12" s="362">
        <f>SUM(C8+C11)</f>
        <v>0</v>
      </c>
      <c r="D12" s="362">
        <f>SUM(D8+D11)</f>
        <v>0</v>
      </c>
      <c r="E12" s="364"/>
      <c r="F12" s="364"/>
      <c r="G12" s="364"/>
      <c r="H12" s="364"/>
      <c r="I12" s="364"/>
      <c r="J12" s="364"/>
      <c r="K12" s="360"/>
    </row>
    <row r="13" spans="1:11" s="361" customFormat="1">
      <c r="A13" s="367" t="s">
        <v>902</v>
      </c>
      <c r="B13" s="362">
        <f>'Sources and Uses Budget'!C13</f>
        <v>41000</v>
      </c>
      <c r="C13" s="363"/>
      <c r="D13" s="363"/>
      <c r="E13" s="362">
        <f>'Sources and Uses Budget'!S13</f>
        <v>41000</v>
      </c>
      <c r="F13" s="363"/>
      <c r="G13" s="363"/>
      <c r="H13" s="362">
        <f>'Sources and Uses Budget'!T13</f>
        <v>0</v>
      </c>
      <c r="I13" s="363"/>
      <c r="J13" s="363"/>
      <c r="K13" s="360"/>
    </row>
    <row r="14" spans="1:11" s="361" customFormat="1" ht="23">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598</v>
      </c>
      <c r="B16" s="359"/>
      <c r="C16" s="359"/>
      <c r="D16" s="359"/>
      <c r="E16" s="359"/>
      <c r="F16" s="359"/>
      <c r="G16" s="359"/>
      <c r="H16" s="359"/>
      <c r="I16" s="359"/>
      <c r="J16" s="359"/>
      <c r="K16" s="360"/>
    </row>
    <row r="17" spans="1:11" s="361" customFormat="1">
      <c r="A17" s="365" t="s">
        <v>599</v>
      </c>
      <c r="B17" s="362">
        <f>'Sources and Uses Budget'!C17</f>
        <v>200000</v>
      </c>
      <c r="C17" s="363"/>
      <c r="D17" s="363"/>
      <c r="E17" s="362">
        <f>'Sources and Uses Budget'!S17</f>
        <v>200000</v>
      </c>
      <c r="F17" s="363"/>
      <c r="G17" s="363"/>
      <c r="H17" s="362">
        <f>'Sources and Uses Budget'!T17</f>
        <v>0</v>
      </c>
      <c r="I17" s="363"/>
      <c r="J17" s="363"/>
      <c r="K17" s="360"/>
    </row>
    <row r="18" spans="1:11" s="361" customFormat="1">
      <c r="A18" s="365" t="s">
        <v>600</v>
      </c>
      <c r="B18" s="362">
        <f>'Sources and Uses Budget'!C18</f>
        <v>38341721</v>
      </c>
      <c r="C18" s="363"/>
      <c r="D18" s="363"/>
      <c r="E18" s="362">
        <f>'Sources and Uses Budget'!S18</f>
        <v>38341721</v>
      </c>
      <c r="F18" s="363"/>
      <c r="G18" s="363"/>
      <c r="H18" s="362">
        <f>'Sources and Uses Budget'!T18</f>
        <v>0</v>
      </c>
      <c r="I18" s="363"/>
      <c r="J18" s="363"/>
      <c r="K18" s="360"/>
    </row>
    <row r="19" spans="1:11" s="361" customFormat="1">
      <c r="A19" s="365" t="s">
        <v>601</v>
      </c>
      <c r="B19" s="362">
        <f>'Sources and Uses Budget'!C19</f>
        <v>1702481</v>
      </c>
      <c r="C19" s="363"/>
      <c r="D19" s="363"/>
      <c r="E19" s="362">
        <f>'Sources and Uses Budget'!S19</f>
        <v>1702481</v>
      </c>
      <c r="F19" s="363"/>
      <c r="G19" s="363"/>
      <c r="H19" s="362">
        <f>'Sources and Uses Budget'!T19</f>
        <v>0</v>
      </c>
      <c r="I19" s="363"/>
      <c r="J19" s="363"/>
      <c r="K19" s="360"/>
    </row>
    <row r="20" spans="1:11" s="361" customFormat="1">
      <c r="A20" s="365" t="s">
        <v>137</v>
      </c>
      <c r="B20" s="362">
        <f>'Sources and Uses Budget'!C20</f>
        <v>1702481</v>
      </c>
      <c r="C20" s="363"/>
      <c r="D20" s="363"/>
      <c r="E20" s="362">
        <f>'Sources and Uses Budget'!S20</f>
        <v>1702481</v>
      </c>
      <c r="F20" s="363"/>
      <c r="G20" s="363"/>
      <c r="H20" s="362">
        <f>'Sources and Uses Budget'!T20</f>
        <v>0</v>
      </c>
      <c r="I20" s="363"/>
      <c r="J20" s="363"/>
      <c r="K20" s="360"/>
    </row>
    <row r="21" spans="1:11" s="361" customFormat="1">
      <c r="A21" s="365" t="s">
        <v>138</v>
      </c>
      <c r="B21" s="362">
        <f>'Sources and Uses Budget'!C21</f>
        <v>1513317</v>
      </c>
      <c r="C21" s="363"/>
      <c r="D21" s="363"/>
      <c r="E21" s="362">
        <f>'Sources and Uses Budget'!S21</f>
        <v>1513317</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1640</v>
      </c>
      <c r="B24" s="362">
        <f>'Sources and Uses Budget'!C24</f>
        <v>190000</v>
      </c>
      <c r="C24" s="363"/>
      <c r="D24" s="363"/>
      <c r="E24" s="362">
        <f>'Sources and Uses Budget'!S24</f>
        <v>190000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43650000</v>
      </c>
      <c r="C26" s="362">
        <f>SUM(C17:C25)</f>
        <v>0</v>
      </c>
      <c r="D26" s="362">
        <f>SUM(D17:D25)</f>
        <v>0</v>
      </c>
      <c r="E26" s="362">
        <f>'Sources and Uses Budget'!S26</f>
        <v>43650000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599</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600</v>
      </c>
      <c r="B30" s="362">
        <f>'Sources and Uses Budget'!C30</f>
        <v>0</v>
      </c>
      <c r="C30" s="363"/>
      <c r="D30" s="363"/>
      <c r="E30" s="362">
        <f>'Sources and Uses Budget'!S30</f>
        <v>0</v>
      </c>
      <c r="F30" s="363"/>
      <c r="G30" s="363"/>
      <c r="H30" s="362">
        <f>'Sources and Uses Budget'!T30</f>
        <v>0</v>
      </c>
      <c r="I30" s="363"/>
      <c r="J30" s="363"/>
      <c r="K30" s="360"/>
    </row>
    <row r="31" spans="1:11" s="361" customFormat="1">
      <c r="A31" s="145" t="s">
        <v>601</v>
      </c>
      <c r="B31" s="362">
        <f>'Sources and Uses Budget'!C31</f>
        <v>0</v>
      </c>
      <c r="C31" s="363"/>
      <c r="D31" s="363"/>
      <c r="E31" s="362">
        <f>'Sources and Uses Budget'!S31</f>
        <v>0</v>
      </c>
      <c r="F31" s="363"/>
      <c r="G31" s="363"/>
      <c r="H31" s="362">
        <f>'Sources and Uses Budget'!T31</f>
        <v>0</v>
      </c>
      <c r="I31" s="363"/>
      <c r="J31" s="363"/>
      <c r="K31" s="360"/>
    </row>
    <row r="32" spans="1:11" s="361" customFormat="1">
      <c r="A32" s="145" t="s">
        <v>137</v>
      </c>
      <c r="B32" s="362">
        <f>'Sources and Uses Budget'!C32</f>
        <v>0</v>
      </c>
      <c r="C32" s="363"/>
      <c r="D32" s="363"/>
      <c r="E32" s="362">
        <f>'Sources and Uses Budget'!S32</f>
        <v>0</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c r="A36" s="509" t="s">
        <v>1640</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0</v>
      </c>
      <c r="C38" s="362">
        <f>SUM(C29:C37)</f>
        <v>0</v>
      </c>
      <c r="D38" s="362">
        <f>SUM(D29:D37)</f>
        <v>0</v>
      </c>
      <c r="E38" s="362">
        <f>'Sources and Uses Budget'!S38</f>
        <v>0</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400000</v>
      </c>
      <c r="C40" s="363"/>
      <c r="D40" s="363"/>
      <c r="E40" s="362">
        <f>'Sources and Uses Budget'!S40</f>
        <v>400000</v>
      </c>
      <c r="F40" s="363"/>
      <c r="G40" s="363"/>
      <c r="H40" s="362">
        <f>'Sources and Uses Budget'!T40</f>
        <v>0</v>
      </c>
      <c r="I40" s="363"/>
      <c r="J40" s="363"/>
      <c r="K40" s="360"/>
    </row>
    <row r="41" spans="1:11" s="361" customFormat="1">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400000</v>
      </c>
      <c r="C42" s="362">
        <f>SUM(C39:C41)</f>
        <v>0</v>
      </c>
      <c r="D42" s="362">
        <f>SUM(D39:D41)</f>
        <v>0</v>
      </c>
      <c r="E42" s="362">
        <f>'Sources and Uses Budget'!S42</f>
        <v>400000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465000</v>
      </c>
      <c r="C43" s="363"/>
      <c r="D43" s="363"/>
      <c r="E43" s="362">
        <f>'Sources and Uses Budget'!S43</f>
        <v>465000</v>
      </c>
      <c r="F43" s="363"/>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5650000</v>
      </c>
      <c r="C45" s="363"/>
      <c r="D45" s="363"/>
      <c r="E45" s="362">
        <f>'Sources and Uses Budget'!S45</f>
        <v>2825000</v>
      </c>
      <c r="F45" s="363"/>
      <c r="G45" s="363"/>
      <c r="H45" s="362">
        <f>'Sources and Uses Budget'!T45</f>
        <v>0</v>
      </c>
      <c r="I45" s="363"/>
      <c r="J45" s="363"/>
      <c r="K45" s="360"/>
    </row>
    <row r="46" spans="1:11" s="361" customFormat="1">
      <c r="A46" s="365" t="s">
        <v>151</v>
      </c>
      <c r="B46" s="362">
        <f>'Sources and Uses Budget'!C46</f>
        <v>826483</v>
      </c>
      <c r="C46" s="363"/>
      <c r="D46" s="363"/>
      <c r="E46" s="362">
        <f>'Sources and Uses Budget'!S46</f>
        <v>826483</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414418</v>
      </c>
      <c r="C49" s="363"/>
      <c r="D49" s="363"/>
      <c r="E49" s="362">
        <f>'Sources and Uses Budget'!S49</f>
        <v>50606</v>
      </c>
      <c r="F49" s="363"/>
      <c r="G49" s="363"/>
      <c r="H49" s="362">
        <f>'Sources and Uses Budget'!T49</f>
        <v>0</v>
      </c>
      <c r="I49" s="363"/>
      <c r="J49" s="363"/>
      <c r="K49" s="360"/>
    </row>
    <row r="50" spans="1:11" s="361" customFormat="1">
      <c r="A50" s="365" t="s">
        <v>156</v>
      </c>
      <c r="B50" s="362">
        <f>'Sources and Uses Budget'!C50</f>
        <v>60000</v>
      </c>
      <c r="C50" s="363"/>
      <c r="D50" s="363"/>
      <c r="E50" s="362">
        <f>'Sources and Uses Budget'!S50</f>
        <v>60000</v>
      </c>
      <c r="F50" s="363"/>
      <c r="G50" s="363"/>
      <c r="H50" s="362">
        <f>'Sources and Uses Budget'!T50</f>
        <v>0</v>
      </c>
      <c r="I50" s="363"/>
      <c r="J50" s="363"/>
      <c r="K50" s="360"/>
    </row>
    <row r="51" spans="1:11" s="361" customFormat="1">
      <c r="A51" s="365" t="s">
        <v>154</v>
      </c>
      <c r="B51" s="362">
        <f>'Sources and Uses Budget'!C51</f>
        <v>100000</v>
      </c>
      <c r="C51" s="363"/>
      <c r="D51" s="363"/>
      <c r="E51" s="362">
        <f>'Sources and Uses Budget'!S51</f>
        <v>0</v>
      </c>
      <c r="F51" s="363"/>
      <c r="G51" s="363"/>
      <c r="H51" s="362">
        <f>'Sources and Uses Budget'!T51</f>
        <v>0</v>
      </c>
      <c r="I51" s="363"/>
      <c r="J51" s="363"/>
      <c r="K51" s="360"/>
    </row>
    <row r="52" spans="1:11" s="361" customFormat="1">
      <c r="A52" s="365" t="s">
        <v>155</v>
      </c>
      <c r="B52" s="362">
        <f>'Sources and Uses Budget'!C52</f>
        <v>800000</v>
      </c>
      <c r="C52" s="363"/>
      <c r="D52" s="363"/>
      <c r="E52" s="362">
        <f>'Sources and Uses Budget'!S52</f>
        <v>800000</v>
      </c>
      <c r="F52" s="363"/>
      <c r="G52" s="363"/>
      <c r="H52" s="362">
        <f>'Sources and Uses Budget'!T52</f>
        <v>0</v>
      </c>
      <c r="I52" s="363"/>
      <c r="J52" s="363"/>
      <c r="K52" s="360"/>
    </row>
    <row r="53" spans="1:11" s="361" customFormat="1">
      <c r="A53" s="365" t="str">
        <f>'Sources and Uses Budget'!$A53</f>
        <v>Other: (Specify)</v>
      </c>
      <c r="B53" s="362">
        <f>'Sources and Uses Budget'!C53</f>
        <v>0</v>
      </c>
      <c r="C53" s="363"/>
      <c r="D53" s="363"/>
      <c r="E53" s="362">
        <f>'Sources and Uses Budget'!S53</f>
        <v>0</v>
      </c>
      <c r="F53" s="363"/>
      <c r="G53" s="363"/>
      <c r="H53" s="362">
        <f>'Sources and Uses Budget'!T53</f>
        <v>0</v>
      </c>
      <c r="I53" s="363"/>
      <c r="J53" s="363"/>
      <c r="K53" s="360"/>
    </row>
    <row r="54" spans="1:11" s="370" customFormat="1">
      <c r="A54" s="366" t="s">
        <v>157</v>
      </c>
      <c r="B54" s="362">
        <f>'Sources and Uses Budget'!C54</f>
        <v>7850901</v>
      </c>
      <c r="C54" s="368">
        <f>SUM(C45:C53)</f>
        <v>0</v>
      </c>
      <c r="D54" s="368">
        <f>SUM(D45:D53)</f>
        <v>0</v>
      </c>
      <c r="E54" s="362">
        <f>'Sources and Uses Budget'!S54</f>
        <v>4562089</v>
      </c>
      <c r="F54" s="368">
        <f>SUM(F45:F53)</f>
        <v>0</v>
      </c>
      <c r="G54" s="368">
        <f>SUM(G45:G53)</f>
        <v>0</v>
      </c>
      <c r="H54" s="362">
        <f>'Sources and Uses Budget'!T54</f>
        <v>0</v>
      </c>
      <c r="I54" s="368">
        <f>SUM(I45:I53)</f>
        <v>0</v>
      </c>
      <c r="J54" s="368">
        <f>SUM(J45:J53)</f>
        <v>0</v>
      </c>
      <c r="K54" s="369"/>
    </row>
    <row r="55" spans="1:11" s="361" customFormat="1" ht="12">
      <c r="A55" s="358" t="s">
        <v>418</v>
      </c>
      <c r="B55" s="359"/>
      <c r="C55" s="359"/>
      <c r="D55" s="359"/>
      <c r="E55" s="359"/>
      <c r="F55" s="359"/>
      <c r="G55" s="359"/>
      <c r="H55" s="359"/>
      <c r="I55" s="359"/>
      <c r="J55" s="359"/>
      <c r="K55" s="360"/>
    </row>
    <row r="56" spans="1:11" s="361" customFormat="1">
      <c r="A56" s="365" t="s">
        <v>158</v>
      </c>
      <c r="B56" s="362">
        <f>'Sources and Uses Budget'!C56</f>
        <v>471795</v>
      </c>
      <c r="C56" s="363"/>
      <c r="D56" s="363"/>
      <c r="E56" s="364"/>
      <c r="F56" s="364"/>
      <c r="G56" s="364"/>
      <c r="H56" s="364"/>
      <c r="I56" s="364"/>
      <c r="J56" s="364"/>
      <c r="K56" s="360"/>
    </row>
    <row r="57" spans="1:11" s="361" customFormat="1" ht="12" customHeight="1">
      <c r="A57" s="365" t="s">
        <v>152</v>
      </c>
      <c r="B57" s="362">
        <f>'Sources and Uses Budget'!C57</f>
        <v>3000</v>
      </c>
      <c r="C57" s="363"/>
      <c r="D57" s="363"/>
      <c r="E57" s="364"/>
      <c r="F57" s="364"/>
      <c r="G57" s="364"/>
      <c r="H57" s="364"/>
      <c r="I57" s="364"/>
      <c r="J57" s="364"/>
      <c r="K57" s="360"/>
    </row>
    <row r="58" spans="1:11" s="361" customFormat="1">
      <c r="A58" s="365" t="s">
        <v>156</v>
      </c>
      <c r="B58" s="362">
        <f>'Sources and Uses Budget'!C58</f>
        <v>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75" customHeight="1">
      <c r="A62" s="366" t="s">
        <v>301</v>
      </c>
      <c r="B62" s="362">
        <f>'Sources and Uses Budget'!C62</f>
        <v>474795</v>
      </c>
      <c r="C62" s="362">
        <f>SUM(C56:C61)</f>
        <v>0</v>
      </c>
      <c r="D62" s="362">
        <f>SUM(D56:D61)</f>
        <v>0</v>
      </c>
      <c r="E62" s="364"/>
      <c r="F62" s="364"/>
      <c r="G62" s="364"/>
      <c r="H62" s="364"/>
      <c r="I62" s="364"/>
      <c r="J62" s="364"/>
      <c r="K62" s="360"/>
    </row>
    <row r="63" spans="1:11" s="361" customFormat="1">
      <c r="A63" s="371" t="s">
        <v>302</v>
      </c>
      <c r="B63" s="362">
        <f>'Sources and Uses Budget'!C63</f>
        <v>85591696</v>
      </c>
      <c r="C63" s="362">
        <f>SUM(C8+C11+C13+C14+C15+C26+C27+C38+C42+C43+C54+C62)</f>
        <v>0</v>
      </c>
      <c r="D63" s="362">
        <f>SUM(D8+D11+D13+D14+D15+D26+D27+D38+D42+D43+D54+D62)</f>
        <v>0</v>
      </c>
      <c r="E63" s="362">
        <f>'Sources and Uses Budget'!S63</f>
        <v>49118089</v>
      </c>
      <c r="F63" s="362">
        <f>SUM(F10+F13+F14+F15+F26+F27+F38+F42+F43+F54)</f>
        <v>0</v>
      </c>
      <c r="G63" s="362">
        <f>SUM(G10+G13+G14+G15+G26+G27+G38+G42+G43+G54)</f>
        <v>0</v>
      </c>
      <c r="H63" s="362">
        <f>'Sources and Uses Budget'!T63</f>
        <v>30900000</v>
      </c>
      <c r="I63" s="362">
        <f>SUM(I11+I13+I14+I15+I26+I27+I38+I42+I43+I54)</f>
        <v>0</v>
      </c>
      <c r="J63" s="362">
        <f>SUM(J11+J13+J14+J15+J26+J27+J38+J42+J43+J54)</f>
        <v>0</v>
      </c>
      <c r="K63" s="360"/>
    </row>
    <row r="64" spans="1:11" s="361" customFormat="1" ht="24">
      <c r="A64" s="141" t="s">
        <v>1644</v>
      </c>
      <c r="B64" s="359"/>
      <c r="C64" s="359"/>
      <c r="D64" s="359"/>
      <c r="E64" s="359"/>
      <c r="F64" s="359"/>
      <c r="G64" s="359"/>
      <c r="H64" s="359"/>
      <c r="I64" s="359"/>
      <c r="J64" s="359"/>
      <c r="K64" s="360"/>
    </row>
    <row r="65" spans="1:11" s="361" customFormat="1">
      <c r="A65" s="145" t="s">
        <v>171</v>
      </c>
      <c r="B65" s="362">
        <f>'Sources and Uses Budget'!C65</f>
        <v>75000</v>
      </c>
      <c r="C65" s="363"/>
      <c r="D65" s="363"/>
      <c r="E65" s="362">
        <f>'Sources and Uses Budget'!S65</f>
        <v>75000</v>
      </c>
      <c r="F65" s="363"/>
      <c r="G65" s="363"/>
      <c r="H65" s="362">
        <f>'Sources and Uses Budget'!T65</f>
        <v>0</v>
      </c>
      <c r="I65" s="363"/>
      <c r="J65" s="363"/>
      <c r="K65" s="360"/>
    </row>
    <row r="66" spans="1:11" s="361" customFormat="1" ht="23">
      <c r="A66" s="284" t="s">
        <v>1641</v>
      </c>
      <c r="B66" s="362">
        <f>'Sources and Uses Budget'!C66</f>
        <v>335000</v>
      </c>
      <c r="C66" s="363"/>
      <c r="D66" s="363"/>
      <c r="E66" s="362">
        <f>'Sources and Uses Budget'!S66</f>
        <v>335000</v>
      </c>
      <c r="F66" s="363"/>
      <c r="G66" s="363"/>
      <c r="H66" s="362">
        <f>'Sources and Uses Budget'!T66</f>
        <v>0</v>
      </c>
      <c r="I66" s="363"/>
      <c r="J66" s="363"/>
      <c r="K66" s="360"/>
    </row>
    <row r="67" spans="1:11" s="361" customFormat="1" ht="23">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(Developer Legal)</v>
      </c>
      <c r="B69" s="362">
        <f>'Sources and Uses Budget'!C69</f>
        <v>215000</v>
      </c>
      <c r="C69" s="363"/>
      <c r="D69" s="363"/>
      <c r="E69" s="362">
        <f>'Sources and Uses Budget'!S69</f>
        <v>200000</v>
      </c>
      <c r="F69" s="363"/>
      <c r="G69" s="363"/>
      <c r="H69" s="362">
        <f>'Sources and Uses Budget'!T69</f>
        <v>0</v>
      </c>
      <c r="I69" s="363"/>
      <c r="J69" s="363"/>
      <c r="K69" s="360"/>
    </row>
    <row r="70" spans="1:11" s="361" customFormat="1">
      <c r="A70" s="366" t="s">
        <v>602</v>
      </c>
      <c r="B70" s="362">
        <f>'Sources and Uses Budget'!C70</f>
        <v>625000</v>
      </c>
      <c r="C70" s="362">
        <f>SUM(C64:C69)</f>
        <v>0</v>
      </c>
      <c r="D70" s="362">
        <f>SUM(D64:D69)</f>
        <v>0</v>
      </c>
      <c r="E70" s="362">
        <f>'Sources and Uses Budget'!S70</f>
        <v>610000</v>
      </c>
      <c r="F70" s="368">
        <f>SUM(F65:F69)</f>
        <v>0</v>
      </c>
      <c r="G70" s="368">
        <f>SUM(G65:G69)</f>
        <v>0</v>
      </c>
      <c r="H70" s="362">
        <f>'Sources and Uses Budget'!T70</f>
        <v>0</v>
      </c>
      <c r="I70" s="368">
        <f>SUM(I65:I69)</f>
        <v>0</v>
      </c>
      <c r="J70" s="368">
        <f>SUM(J65:J69)</f>
        <v>0</v>
      </c>
      <c r="K70" s="360"/>
    </row>
    <row r="71" spans="1:11" s="361" customFormat="1" ht="12">
      <c r="A71" s="358" t="s">
        <v>603</v>
      </c>
      <c r="B71" s="359"/>
      <c r="C71" s="359"/>
      <c r="D71" s="359"/>
      <c r="E71" s="359"/>
      <c r="F71" s="359"/>
      <c r="G71" s="359"/>
      <c r="H71" s="359"/>
      <c r="I71" s="359"/>
      <c r="J71" s="359"/>
      <c r="K71" s="360"/>
    </row>
    <row r="72" spans="1:11" s="361" customFormat="1">
      <c r="A72" s="365" t="s">
        <v>604</v>
      </c>
      <c r="B72" s="362">
        <f>'Sources and Uses Budget'!C72</f>
        <v>0</v>
      </c>
      <c r="C72" s="363"/>
      <c r="D72" s="363"/>
      <c r="E72" s="364"/>
      <c r="F72" s="364"/>
      <c r="G72" s="364"/>
      <c r="H72" s="364"/>
      <c r="I72" s="364"/>
      <c r="J72" s="364"/>
      <c r="K72" s="360"/>
    </row>
    <row r="73" spans="1:11" s="361" customFormat="1">
      <c r="A73" s="365" t="s">
        <v>605</v>
      </c>
      <c r="B73" s="362">
        <f>'Sources and Uses Budget'!C73</f>
        <v>0</v>
      </c>
      <c r="C73" s="363"/>
      <c r="D73" s="363"/>
      <c r="E73" s="364"/>
      <c r="F73" s="364"/>
      <c r="G73" s="364"/>
      <c r="H73" s="364"/>
      <c r="I73" s="364"/>
      <c r="J73" s="364"/>
      <c r="K73" s="360"/>
    </row>
    <row r="74" spans="1:11" s="361" customFormat="1">
      <c r="A74" s="367" t="s">
        <v>986</v>
      </c>
      <c r="B74" s="362">
        <f>'Sources and Uses Budget'!C74</f>
        <v>0</v>
      </c>
      <c r="C74" s="363"/>
      <c r="D74" s="363"/>
      <c r="E74" s="364"/>
      <c r="F74" s="364"/>
      <c r="G74" s="364"/>
      <c r="H74" s="364"/>
      <c r="I74" s="364"/>
      <c r="J74" s="364"/>
      <c r="K74" s="360"/>
    </row>
    <row r="75" spans="1:11" s="361" customFormat="1">
      <c r="A75" s="365" t="s">
        <v>606</v>
      </c>
      <c r="B75" s="362">
        <f>'Sources and Uses Budget'!C75</f>
        <v>1149586</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607</v>
      </c>
      <c r="B77" s="362">
        <f>'Sources and Uses Budget'!C77</f>
        <v>1149586</v>
      </c>
      <c r="C77" s="362">
        <f>SUM(C72:C76)</f>
        <v>0</v>
      </c>
      <c r="D77" s="362">
        <f>SUM(D72:D76)</f>
        <v>0</v>
      </c>
      <c r="E77" s="364"/>
      <c r="F77" s="364"/>
      <c r="G77" s="364"/>
      <c r="H77" s="364"/>
      <c r="I77" s="364"/>
      <c r="J77" s="364"/>
      <c r="K77" s="360"/>
    </row>
    <row r="78" spans="1:11" s="361" customFormat="1" ht="12">
      <c r="A78" s="358" t="s">
        <v>1210</v>
      </c>
      <c r="B78" s="359"/>
      <c r="C78" s="359"/>
      <c r="D78" s="359"/>
      <c r="E78" s="359"/>
      <c r="F78" s="359"/>
      <c r="G78" s="359"/>
      <c r="H78" s="359"/>
      <c r="I78" s="359"/>
      <c r="J78" s="359"/>
      <c r="K78" s="360"/>
    </row>
    <row r="79" spans="1:11" s="361" customFormat="1">
      <c r="A79" s="365" t="s">
        <v>1212</v>
      </c>
      <c r="B79" s="362">
        <f>'Sources and Uses Budget'!C79</f>
        <v>3207000</v>
      </c>
      <c r="C79" s="363"/>
      <c r="D79" s="363"/>
      <c r="E79" s="362">
        <f>'Sources and Uses Budget'!S79</f>
        <v>3207000</v>
      </c>
      <c r="F79" s="363"/>
      <c r="G79" s="363"/>
      <c r="H79" s="362">
        <f>'Sources and Uses Budget'!T79</f>
        <v>0</v>
      </c>
      <c r="I79" s="363"/>
      <c r="J79" s="363"/>
      <c r="K79" s="360"/>
    </row>
    <row r="80" spans="1:11" s="361" customFormat="1">
      <c r="A80" s="365" t="s">
        <v>58</v>
      </c>
      <c r="B80" s="362">
        <f>'Sources and Uses Budget'!C80</f>
        <v>672748</v>
      </c>
      <c r="C80" s="363"/>
      <c r="D80" s="363"/>
      <c r="E80" s="362">
        <f>'Sources and Uses Budget'!S80</f>
        <v>672748</v>
      </c>
      <c r="F80" s="363"/>
      <c r="G80" s="363"/>
      <c r="H80" s="362">
        <f>'Sources and Uses Budget'!T80</f>
        <v>0</v>
      </c>
      <c r="I80" s="363"/>
      <c r="J80" s="363"/>
      <c r="K80" s="360"/>
    </row>
    <row r="81" spans="1:11" s="361" customFormat="1">
      <c r="A81" s="366" t="s">
        <v>1209</v>
      </c>
      <c r="B81" s="362">
        <f>'Sources and Uses Budget'!C81</f>
        <v>3879748</v>
      </c>
      <c r="C81" s="362">
        <f>SUM(C79:C80)</f>
        <v>0</v>
      </c>
      <c r="D81" s="362">
        <f>SUM(D79:D80)</f>
        <v>0</v>
      </c>
      <c r="E81" s="362">
        <f>'Sources and Uses Budget'!S81</f>
        <v>3879748</v>
      </c>
      <c r="F81" s="362">
        <f>SUM(F79:F80)</f>
        <v>0</v>
      </c>
      <c r="G81" s="362">
        <f>SUM(G79:G80)</f>
        <v>0</v>
      </c>
      <c r="H81" s="362">
        <f>'Sources and Uses Budget'!T81</f>
        <v>0</v>
      </c>
      <c r="I81" s="362">
        <f>SUM(I79:I80)</f>
        <v>0</v>
      </c>
      <c r="J81" s="362">
        <f>SUM(J79:J80)</f>
        <v>0</v>
      </c>
      <c r="K81" s="360"/>
    </row>
    <row r="82" spans="1:11" s="361" customFormat="1" ht="12">
      <c r="A82" s="358" t="s">
        <v>766</v>
      </c>
      <c r="B82" s="359"/>
      <c r="C82" s="359"/>
      <c r="D82" s="359"/>
      <c r="E82" s="359"/>
      <c r="F82" s="359"/>
      <c r="G82" s="359"/>
      <c r="H82" s="359"/>
      <c r="I82" s="359"/>
      <c r="J82" s="359"/>
      <c r="K82" s="360"/>
    </row>
    <row r="83" spans="1:11" s="361" customFormat="1" ht="13.75" customHeight="1">
      <c r="A83" s="145" t="s">
        <v>2096</v>
      </c>
      <c r="B83" s="362">
        <f>'Sources and Uses Budget'!C83</f>
        <v>209885</v>
      </c>
      <c r="C83" s="363"/>
      <c r="D83" s="363"/>
      <c r="E83" s="364"/>
      <c r="F83" s="364"/>
      <c r="G83" s="364"/>
      <c r="H83" s="364"/>
      <c r="I83" s="364"/>
      <c r="J83" s="364"/>
      <c r="K83" s="360"/>
    </row>
    <row r="84" spans="1:11" s="361" customFormat="1">
      <c r="A84" s="145" t="s">
        <v>768</v>
      </c>
      <c r="B84" s="362">
        <f>'Sources and Uses Budget'!C84</f>
        <v>0</v>
      </c>
      <c r="C84" s="363"/>
      <c r="D84" s="363"/>
      <c r="E84" s="362">
        <f>'Sources and Uses Budget'!S84</f>
        <v>0</v>
      </c>
      <c r="F84" s="363"/>
      <c r="G84" s="363"/>
      <c r="H84" s="362">
        <f>'Sources and Uses Budget'!T84</f>
        <v>0</v>
      </c>
      <c r="I84" s="363"/>
      <c r="J84" s="363"/>
      <c r="K84" s="360"/>
    </row>
    <row r="85" spans="1:11" s="361" customFormat="1">
      <c r="A85" s="145" t="s">
        <v>769</v>
      </c>
      <c r="B85" s="362">
        <f>'Sources and Uses Budget'!C85</f>
        <v>923589</v>
      </c>
      <c r="C85" s="363"/>
      <c r="D85" s="363"/>
      <c r="E85" s="362">
        <f>'Sources and Uses Budget'!S85</f>
        <v>923589</v>
      </c>
      <c r="F85" s="363"/>
      <c r="G85" s="363"/>
      <c r="H85" s="362">
        <f>'Sources and Uses Budget'!T85</f>
        <v>0</v>
      </c>
      <c r="I85" s="363"/>
      <c r="J85" s="363"/>
      <c r="K85" s="360"/>
    </row>
    <row r="86" spans="1:11" s="361" customFormat="1">
      <c r="A86" s="145" t="s">
        <v>770</v>
      </c>
      <c r="B86" s="362">
        <f>'Sources and Uses Budget'!C86</f>
        <v>135000</v>
      </c>
      <c r="C86" s="363"/>
      <c r="D86" s="363"/>
      <c r="E86" s="362">
        <f>'Sources and Uses Budget'!S86</f>
        <v>135000</v>
      </c>
      <c r="F86" s="363"/>
      <c r="G86" s="363"/>
      <c r="H86" s="362">
        <f>'Sources and Uses Budget'!T86</f>
        <v>0</v>
      </c>
      <c r="I86" s="363"/>
      <c r="J86" s="363"/>
      <c r="K86" s="360"/>
    </row>
    <row r="87" spans="1:11" s="361" customFormat="1">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772</v>
      </c>
      <c r="B88" s="362">
        <f>'Sources and Uses Budget'!C88</f>
        <v>30000</v>
      </c>
      <c r="C88" s="363"/>
      <c r="D88" s="363"/>
      <c r="E88" s="364"/>
      <c r="F88" s="364"/>
      <c r="G88" s="364"/>
      <c r="H88" s="364"/>
      <c r="I88" s="364"/>
      <c r="J88" s="364"/>
      <c r="K88" s="360"/>
    </row>
    <row r="89" spans="1:11" s="361" customFormat="1">
      <c r="A89" s="145" t="s">
        <v>773</v>
      </c>
      <c r="B89" s="362">
        <f>'Sources and Uses Budget'!C89</f>
        <v>158750</v>
      </c>
      <c r="C89" s="363"/>
      <c r="D89" s="363"/>
      <c r="E89" s="362">
        <f>'Sources and Uses Budget'!S89</f>
        <v>0</v>
      </c>
      <c r="F89" s="363"/>
      <c r="G89" s="363"/>
      <c r="H89" s="362">
        <f>'Sources and Uses Budget'!T89</f>
        <v>0</v>
      </c>
      <c r="I89" s="363"/>
      <c r="J89" s="363"/>
      <c r="K89" s="360"/>
    </row>
    <row r="90" spans="1:11" s="361" customFormat="1">
      <c r="A90" s="145" t="s">
        <v>774</v>
      </c>
      <c r="B90" s="362">
        <f>'Sources and Uses Budget'!C90</f>
        <v>10000</v>
      </c>
      <c r="C90" s="363"/>
      <c r="D90" s="363"/>
      <c r="E90" s="362">
        <f>'Sources and Uses Budget'!S90</f>
        <v>10000</v>
      </c>
      <c r="F90" s="363"/>
      <c r="G90" s="363"/>
      <c r="H90" s="362">
        <f>'Sources and Uses Budget'!T90</f>
        <v>0</v>
      </c>
      <c r="I90" s="363"/>
      <c r="J90" s="363"/>
      <c r="K90" s="360"/>
    </row>
    <row r="91" spans="1:11" s="361" customFormat="1">
      <c r="A91" s="155" t="s">
        <v>372</v>
      </c>
      <c r="B91" s="362">
        <f>'Sources and Uses Budget'!C91</f>
        <v>75000</v>
      </c>
      <c r="C91" s="363"/>
      <c r="D91" s="363"/>
      <c r="E91" s="362">
        <f>'Sources and Uses Budget'!S91</f>
        <v>75000</v>
      </c>
      <c r="F91" s="363"/>
      <c r="G91" s="363"/>
      <c r="H91" s="362">
        <f>'Sources and Uses Budget'!T91</f>
        <v>0</v>
      </c>
      <c r="I91" s="363"/>
      <c r="J91" s="363"/>
      <c r="K91" s="360"/>
    </row>
    <row r="92" spans="1:11" s="361" customFormat="1">
      <c r="A92" s="509" t="s">
        <v>1211</v>
      </c>
      <c r="B92" s="362">
        <f>'Sources and Uses Budget'!C92</f>
        <v>10000</v>
      </c>
      <c r="C92" s="363"/>
      <c r="D92" s="363"/>
      <c r="E92" s="362">
        <f>'Sources and Uses Budget'!S92</f>
        <v>0</v>
      </c>
      <c r="F92" s="363"/>
      <c r="G92" s="363"/>
      <c r="H92" s="362">
        <f>'Sources and Uses Budget'!T92</f>
        <v>0</v>
      </c>
      <c r="I92" s="363"/>
      <c r="J92" s="363"/>
      <c r="K92" s="360"/>
    </row>
    <row r="93" spans="1:11" s="361" customFormat="1">
      <c r="A93" s="365" t="str">
        <f>'Sources and Uses Budget'!$A93</f>
        <v>Other: (Inspections)</v>
      </c>
      <c r="B93" s="362">
        <f>'Sources and Uses Budget'!C93</f>
        <v>80000</v>
      </c>
      <c r="C93" s="363"/>
      <c r="D93" s="363"/>
      <c r="E93" s="362">
        <f>'Sources and Uses Budget'!S93</f>
        <v>80000</v>
      </c>
      <c r="F93" s="363"/>
      <c r="G93" s="363"/>
      <c r="H93" s="362">
        <f>'Sources and Uses Budget'!T93</f>
        <v>0</v>
      </c>
      <c r="I93" s="363"/>
      <c r="J93" s="363"/>
      <c r="K93" s="360"/>
    </row>
    <row r="94" spans="1:11" s="361" customFormat="1">
      <c r="A94" s="365" t="str">
        <f>'Sources and Uses Budget'!$A94</f>
        <v>Other: (Plan Check Fees)</v>
      </c>
      <c r="B94" s="362">
        <f>'Sources and Uses Budget'!C94</f>
        <v>1150000</v>
      </c>
      <c r="C94" s="363"/>
      <c r="D94" s="363"/>
      <c r="E94" s="362">
        <f>'Sources and Uses Budget'!S94</f>
        <v>1150000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775</v>
      </c>
      <c r="B96" s="362">
        <f>'Sources and Uses Budget'!C96</f>
        <v>2782224</v>
      </c>
      <c r="C96" s="362">
        <f>SUM(C83:C95)</f>
        <v>0</v>
      </c>
      <c r="D96" s="362">
        <f>SUM(D83:D95)</f>
        <v>0</v>
      </c>
      <c r="E96" s="362">
        <f>'Sources and Uses Budget'!S96</f>
        <v>2373589</v>
      </c>
      <c r="F96" s="368">
        <f>SUM(F84:F87,F89:F95)</f>
        <v>0</v>
      </c>
      <c r="G96" s="368">
        <f>SUM(G84:G87,G89:G95)</f>
        <v>0</v>
      </c>
      <c r="H96" s="362">
        <f>'Sources and Uses Budget'!T96</f>
        <v>0</v>
      </c>
      <c r="I96" s="362">
        <f>SUM(I84:I87,I89:I95)</f>
        <v>0</v>
      </c>
      <c r="J96" s="362">
        <f>SUM(J84:J87,J89:J95)</f>
        <v>0</v>
      </c>
      <c r="K96" s="360"/>
    </row>
    <row r="97" spans="1:11" s="361" customFormat="1">
      <c r="A97" s="366" t="s">
        <v>1029</v>
      </c>
      <c r="B97" s="362">
        <f>'Sources and Uses Budget'!C97</f>
        <v>94028254</v>
      </c>
      <c r="C97" s="362">
        <f>SUM(C63+C70+C77+C81+C96)</f>
        <v>0</v>
      </c>
      <c r="D97" s="362">
        <f>SUM(D63+D70+D77+D81+D96)</f>
        <v>0</v>
      </c>
      <c r="E97" s="362">
        <f>'Sources and Uses Budget'!S97</f>
        <v>55981426</v>
      </c>
      <c r="F97" s="368">
        <f>SUM(+F63+F70+F81+F96)</f>
        <v>0</v>
      </c>
      <c r="G97" s="368">
        <f>SUM(+G63+G70+G81+G96)</f>
        <v>0</v>
      </c>
      <c r="H97" s="362">
        <f>'Sources and Uses Budget'!T97</f>
        <v>30900000</v>
      </c>
      <c r="I97" s="368">
        <f>SUM(I63+I70+I81+I96)</f>
        <v>0</v>
      </c>
      <c r="J97" s="368">
        <f>SUM(J63+J70+J81+J96)</f>
        <v>0</v>
      </c>
      <c r="K97" s="360"/>
    </row>
    <row r="98" spans="1:11" s="361" customFormat="1" ht="12">
      <c r="A98" s="358" t="s">
        <v>777</v>
      </c>
      <c r="B98" s="359"/>
      <c r="C98" s="359"/>
      <c r="D98" s="359"/>
      <c r="E98" s="359"/>
      <c r="F98" s="359"/>
      <c r="G98" s="359"/>
      <c r="H98" s="359"/>
      <c r="I98" s="359"/>
      <c r="J98" s="359"/>
      <c r="K98" s="360"/>
    </row>
    <row r="99" spans="1:11" s="361" customFormat="1">
      <c r="A99" s="145" t="s">
        <v>778</v>
      </c>
      <c r="B99" s="362">
        <f>'Sources and Uses Budget'!C99</f>
        <v>15831285</v>
      </c>
      <c r="C99" s="363"/>
      <c r="D99" s="363"/>
      <c r="E99" s="362">
        <f>'Sources and Uses Budget'!S99</f>
        <v>11196285</v>
      </c>
      <c r="F99" s="363"/>
      <c r="G99" s="363"/>
      <c r="H99" s="362">
        <f>'Sources and Uses Budget'!T99</f>
        <v>4635000</v>
      </c>
      <c r="I99" s="363"/>
      <c r="J99" s="363"/>
      <c r="K99" s="360"/>
    </row>
    <row r="100" spans="1:11" s="361" customFormat="1">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15831285</v>
      </c>
      <c r="C104" s="362">
        <f>SUM(C99:C103)</f>
        <v>0</v>
      </c>
      <c r="D104" s="362">
        <f>SUM(D99:D103)</f>
        <v>0</v>
      </c>
      <c r="E104" s="362">
        <f>'Sources and Uses Budget'!S104</f>
        <v>11196285</v>
      </c>
      <c r="F104" s="368">
        <f>SUM(F99:F103)</f>
        <v>0</v>
      </c>
      <c r="G104" s="368">
        <f>SUM(G99:G103)</f>
        <v>0</v>
      </c>
      <c r="H104" s="362">
        <f>'Sources and Uses Budget'!T104</f>
        <v>4635000</v>
      </c>
      <c r="I104" s="368">
        <f>SUM(I99:I103)</f>
        <v>0</v>
      </c>
      <c r="J104" s="368">
        <f>SUM(J99:J103)</f>
        <v>0</v>
      </c>
      <c r="K104" s="360"/>
    </row>
    <row r="105" spans="1:11" s="361" customFormat="1">
      <c r="A105" s="366" t="s">
        <v>1030</v>
      </c>
      <c r="B105" s="362">
        <f>'Sources and Uses Budget'!C105</f>
        <v>109859539</v>
      </c>
      <c r="C105" s="368">
        <f>SUM(C97+C104)</f>
        <v>0</v>
      </c>
      <c r="D105" s="368">
        <f>SUM(D97+D104)</f>
        <v>0</v>
      </c>
      <c r="E105" s="362">
        <f>'Sources and Uses Budget'!S105</f>
        <v>67177711</v>
      </c>
      <c r="F105" s="368">
        <f>F97+F104</f>
        <v>0</v>
      </c>
      <c r="G105" s="368">
        <f>G97+G104</f>
        <v>0</v>
      </c>
      <c r="H105" s="362">
        <f>'Sources and Uses Budget'!T105</f>
        <v>35535000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67177711</v>
      </c>
      <c r="F107" s="368">
        <f>F105+F106</f>
        <v>0</v>
      </c>
      <c r="G107" s="368">
        <f>G105+G106</f>
        <v>0</v>
      </c>
      <c r="H107" s="362">
        <f>'Sources and Uses Budget'!T107</f>
        <v>35535000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69"/>
      <c r="E124" s="1311"/>
      <c r="F124" s="1311"/>
      <c r="G124" s="1311"/>
      <c r="H124" s="1311"/>
      <c r="I124" s="1311"/>
      <c r="J124" s="377"/>
      <c r="K124" s="360"/>
    </row>
    <row r="125" spans="1:11" s="361" customFormat="1" ht="12.5">
      <c r="A125" s="386"/>
      <c r="B125" s="385"/>
      <c r="C125" s="386"/>
      <c r="D125" s="1311"/>
      <c r="E125" s="1311"/>
      <c r="F125" s="1311"/>
      <c r="G125" s="1311"/>
      <c r="H125" s="1311"/>
      <c r="I125" s="1311"/>
      <c r="J125" s="377"/>
      <c r="K125" s="360"/>
    </row>
    <row r="126" spans="1:11" s="361" customFormat="1" ht="12.5">
      <c r="A126" s="386"/>
      <c r="B126" s="385"/>
      <c r="C126" s="386"/>
      <c r="D126" s="1311"/>
      <c r="E126" s="1311"/>
      <c r="F126" s="1311"/>
      <c r="G126" s="1311"/>
      <c r="H126" s="1311"/>
      <c r="I126" s="1311"/>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70"/>
      <c r="B139" s="1311"/>
      <c r="C139" s="1311"/>
      <c r="D139" s="357"/>
      <c r="E139" s="386"/>
      <c r="F139" s="386"/>
      <c r="G139" s="386"/>
    </row>
    <row r="140" spans="1:11" ht="12" customHeight="1">
      <c r="A140" s="1282"/>
      <c r="B140" s="1282"/>
      <c r="C140" s="128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c r="A1" s="1882" t="s">
        <v>2460</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4"/>
    </row>
    <row r="2" spans="1:65" ht="15.75" customHeight="1">
      <c r="A2" s="1885" t="s">
        <v>2459</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7"/>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1874" t="str">
        <f>IF(Application!H18="","",Application!H18)</f>
        <v>Sky Castle</v>
      </c>
      <c r="M4" s="1875"/>
      <c r="N4" s="1875"/>
      <c r="O4" s="1875"/>
      <c r="P4" s="1875"/>
      <c r="Q4" s="1875"/>
      <c r="R4" s="1875"/>
      <c r="S4" s="1875"/>
      <c r="T4" s="1875"/>
      <c r="U4" s="1875"/>
      <c r="V4" s="1875"/>
      <c r="W4" s="1875"/>
      <c r="X4" s="1875"/>
      <c r="Y4" s="1875"/>
      <c r="Z4" s="1875"/>
      <c r="AA4" s="1875"/>
      <c r="AB4" s="1875"/>
      <c r="AC4" s="1876"/>
      <c r="AD4" s="1192"/>
      <c r="AE4" s="1192"/>
      <c r="AF4" s="1888" t="s">
        <v>2458</v>
      </c>
      <c r="AG4" s="1888"/>
      <c r="AH4" s="1888"/>
      <c r="AI4" s="1888"/>
      <c r="AJ4" s="1888"/>
      <c r="AK4" s="1888"/>
      <c r="AL4" s="1888"/>
      <c r="AM4" s="1888"/>
      <c r="AN4" s="1888"/>
      <c r="AO4" s="1888"/>
      <c r="AP4" s="1889"/>
      <c r="AQ4" s="1890"/>
      <c r="AR4" s="1890"/>
      <c r="AS4" s="1890"/>
      <c r="AT4" s="1890"/>
      <c r="AU4" s="1890"/>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88" t="s">
        <v>2457</v>
      </c>
      <c r="AG5" s="1888"/>
      <c r="AH5" s="1888"/>
      <c r="AI5" s="1888"/>
      <c r="AJ5" s="1888"/>
      <c r="AK5" s="1888"/>
      <c r="AL5" s="1888"/>
      <c r="AM5" s="1888"/>
      <c r="AN5" s="1888"/>
      <c r="AO5" s="1888"/>
      <c r="AP5" s="1889"/>
      <c r="AQ5" s="1890"/>
      <c r="AR5" s="1890"/>
      <c r="AS5" s="1890"/>
      <c r="AT5" s="1890"/>
      <c r="AU5" s="1890"/>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1874" t="str">
        <f>IF(Application!H16="","",Application!H16)</f>
        <v>Sky Castle I, LP</v>
      </c>
      <c r="M6" s="1875"/>
      <c r="N6" s="1875"/>
      <c r="O6" s="1875"/>
      <c r="P6" s="1875"/>
      <c r="Q6" s="1875"/>
      <c r="R6" s="1875"/>
      <c r="S6" s="1875"/>
      <c r="T6" s="1875"/>
      <c r="U6" s="1875"/>
      <c r="V6" s="1875"/>
      <c r="W6" s="1875"/>
      <c r="X6" s="1875"/>
      <c r="Y6" s="1875"/>
      <c r="Z6" s="1875"/>
      <c r="AA6" s="1875"/>
      <c r="AB6" s="1875"/>
      <c r="AC6" s="1876"/>
      <c r="AD6" s="1192"/>
      <c r="AE6" s="1192"/>
      <c r="AF6" s="1877" t="s">
        <v>2455</v>
      </c>
      <c r="AG6" s="1877"/>
      <c r="AH6" s="1877"/>
      <c r="AI6" s="1877"/>
      <c r="AJ6" s="1877"/>
      <c r="AK6" s="1877"/>
      <c r="AL6" s="1877"/>
      <c r="AM6" s="1877"/>
      <c r="AN6" s="1877"/>
      <c r="AO6" s="1877"/>
      <c r="AP6" s="1878"/>
      <c r="AQ6" s="1878"/>
      <c r="AR6" s="1878"/>
      <c r="AS6" s="1878"/>
      <c r="AT6" s="1878"/>
      <c r="AU6" s="1878"/>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77" t="s">
        <v>2454</v>
      </c>
      <c r="AG7" s="1877"/>
      <c r="AH7" s="1877"/>
      <c r="AI7" s="1877"/>
      <c r="AJ7" s="1877"/>
      <c r="AK7" s="1877"/>
      <c r="AL7" s="1877"/>
      <c r="AM7" s="1877"/>
      <c r="AN7" s="1877"/>
      <c r="AO7" s="1877"/>
      <c r="AP7" s="1878"/>
      <c r="AQ7" s="1878"/>
      <c r="AR7" s="1878"/>
      <c r="AS7" s="1878"/>
      <c r="AT7" s="1878"/>
      <c r="AU7" s="1878"/>
      <c r="AV7" s="1192"/>
      <c r="AW7" s="1192"/>
      <c r="AX7" s="1192"/>
      <c r="AY7" s="1192"/>
      <c r="AZ7" s="1192"/>
      <c r="BA7" s="1192"/>
      <c r="BB7" s="1192"/>
      <c r="BC7" s="1192"/>
      <c r="BD7" s="1192"/>
      <c r="BE7" s="1193"/>
    </row>
    <row r="8" spans="1:65" ht="1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79" t="str">
        <f>Application!T197</f>
        <v>No</v>
      </c>
      <c r="AC8" s="1880"/>
      <c r="AD8" s="1881"/>
      <c r="AE8" s="1192"/>
      <c r="AF8" s="1877" t="s">
        <v>2452</v>
      </c>
      <c r="AG8" s="1877"/>
      <c r="AH8" s="1877"/>
      <c r="AI8" s="1877"/>
      <c r="AJ8" s="1877"/>
      <c r="AK8" s="1877"/>
      <c r="AL8" s="1877"/>
      <c r="AM8" s="1877"/>
      <c r="AN8" s="1877"/>
      <c r="AO8" s="1877"/>
      <c r="AP8" s="1878" t="s">
        <v>2100</v>
      </c>
      <c r="AQ8" s="1878"/>
      <c r="AR8" s="1878"/>
      <c r="AS8" s="1878"/>
      <c r="AT8" s="1878"/>
      <c r="AU8" s="1878"/>
      <c r="AV8" s="1192"/>
      <c r="AW8" s="1192"/>
      <c r="AX8" s="1192"/>
      <c r="AY8" s="1192"/>
      <c r="AZ8" s="1192"/>
      <c r="BA8" s="1192"/>
      <c r="BB8" s="1192"/>
      <c r="BC8" s="1192"/>
      <c r="BD8" s="1192"/>
      <c r="BE8" s="1193"/>
      <c r="BM8" s="1189" t="s">
        <v>1984</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88" t="s">
        <v>2451</v>
      </c>
      <c r="AG9" s="1888"/>
      <c r="AH9" s="1888"/>
      <c r="AI9" s="1888"/>
      <c r="AJ9" s="1888"/>
      <c r="AK9" s="1888"/>
      <c r="AL9" s="1888"/>
      <c r="AM9" s="1888"/>
      <c r="AN9" s="1888"/>
      <c r="AO9" s="1888"/>
      <c r="AP9" s="1889"/>
      <c r="AQ9" s="1890"/>
      <c r="AR9" s="1890"/>
      <c r="AS9" s="1890"/>
      <c r="AT9" s="1890"/>
      <c r="AU9" s="1890"/>
      <c r="AV9" s="1192"/>
      <c r="AW9" s="1192"/>
      <c r="AX9" s="1192"/>
      <c r="AY9" s="1192"/>
      <c r="AZ9" s="1192"/>
      <c r="BA9" s="1192"/>
      <c r="BB9" s="1192"/>
      <c r="BC9" s="1192"/>
      <c r="BD9" s="1192"/>
      <c r="BE9" s="1193"/>
      <c r="BM9" s="1189" t="s">
        <v>2450</v>
      </c>
    </row>
    <row r="10" spans="1:65" ht="14.5">
      <c r="A10" s="1191"/>
      <c r="B10" s="1194" t="s">
        <v>2449</v>
      </c>
      <c r="C10" s="1194"/>
      <c r="D10" s="1194"/>
      <c r="E10" s="1194"/>
      <c r="F10" s="1194"/>
      <c r="G10" s="1194"/>
      <c r="H10" s="1194"/>
      <c r="I10" s="1194"/>
      <c r="J10" s="1194"/>
      <c r="K10" s="1194"/>
      <c r="L10" s="1194"/>
      <c r="M10" s="1192"/>
      <c r="N10" s="1903">
        <f>Application!AO627</f>
        <v>48179488</v>
      </c>
      <c r="O10" s="1903"/>
      <c r="P10" s="1903"/>
      <c r="Q10" s="1903"/>
      <c r="R10" s="1903"/>
      <c r="S10" s="1903"/>
      <c r="T10" s="1903"/>
      <c r="U10" s="1192"/>
      <c r="V10" s="1192"/>
      <c r="W10" s="1192"/>
      <c r="X10" s="1195"/>
      <c r="Y10" s="1195"/>
      <c r="Z10" s="1195"/>
      <c r="AA10" s="1195"/>
      <c r="AB10" s="1195"/>
      <c r="AC10" s="1195"/>
      <c r="AD10" s="1195"/>
      <c r="AE10" s="1195"/>
      <c r="AF10" s="1888" t="s">
        <v>2448</v>
      </c>
      <c r="AG10" s="1888"/>
      <c r="AH10" s="1888"/>
      <c r="AI10" s="1888"/>
      <c r="AJ10" s="1888"/>
      <c r="AK10" s="1888"/>
      <c r="AL10" s="1888"/>
      <c r="AM10" s="1888"/>
      <c r="AN10" s="1888"/>
      <c r="AO10" s="1888"/>
      <c r="AP10" s="1889"/>
      <c r="AQ10" s="1890"/>
      <c r="AR10" s="1890"/>
      <c r="AS10" s="1890"/>
      <c r="AT10" s="1890"/>
      <c r="AU10" s="1890"/>
      <c r="AV10" s="1195"/>
      <c r="AW10" s="1195"/>
      <c r="AX10" s="1192"/>
      <c r="AY10" s="1192"/>
      <c r="AZ10" s="1192"/>
      <c r="BA10" s="1192"/>
      <c r="BB10" s="1192"/>
      <c r="BC10" s="1192"/>
      <c r="BD10" s="1192"/>
      <c r="BE10" s="1193"/>
      <c r="BM10" s="1189" t="s">
        <v>2447</v>
      </c>
    </row>
    <row r="11" spans="1:65" ht="14.5">
      <c r="A11" s="1191"/>
      <c r="B11" s="1194" t="s">
        <v>2446</v>
      </c>
      <c r="C11" s="1194"/>
      <c r="D11" s="1194"/>
      <c r="E11" s="1194"/>
      <c r="F11" s="1194"/>
      <c r="G11" s="1194"/>
      <c r="H11" s="1194"/>
      <c r="I11" s="1194"/>
      <c r="J11" s="1194"/>
      <c r="K11" s="1194"/>
      <c r="L11" s="1194"/>
      <c r="M11" s="1192"/>
      <c r="N11" s="1903">
        <f>Application!AA933</f>
        <v>0</v>
      </c>
      <c r="O11" s="1903"/>
      <c r="P11" s="1903"/>
      <c r="Q11" s="1903"/>
      <c r="R11" s="1903"/>
      <c r="S11" s="1903"/>
      <c r="T11" s="1903"/>
      <c r="U11" s="1192"/>
      <c r="V11" s="1192"/>
      <c r="W11" s="1192"/>
      <c r="X11" s="1195"/>
      <c r="Y11" s="1195"/>
      <c r="Z11" s="1195"/>
      <c r="AA11" s="1195"/>
      <c r="AB11" s="1195"/>
      <c r="AC11" s="1195"/>
      <c r="AD11" s="1195"/>
      <c r="AE11" s="1195"/>
      <c r="AF11" s="1888" t="s">
        <v>2445</v>
      </c>
      <c r="AG11" s="1888"/>
      <c r="AH11" s="1888"/>
      <c r="AI11" s="1888"/>
      <c r="AJ11" s="1888"/>
      <c r="AK11" s="1888"/>
      <c r="AL11" s="1888"/>
      <c r="AM11" s="1888"/>
      <c r="AN11" s="1888"/>
      <c r="AO11" s="1888"/>
      <c r="AP11" s="1889"/>
      <c r="AQ11" s="1890"/>
      <c r="AR11" s="1890"/>
      <c r="AS11" s="1890"/>
      <c r="AT11" s="1890"/>
      <c r="AU11" s="1890"/>
      <c r="AV11" s="1195"/>
      <c r="AW11" s="1195"/>
      <c r="AX11" s="1192"/>
      <c r="AY11" s="1192"/>
      <c r="AZ11" s="1192"/>
      <c r="BA11" s="1192"/>
      <c r="BB11" s="1192"/>
      <c r="BC11" s="1192"/>
      <c r="BD11" s="1192"/>
      <c r="BE11" s="1193"/>
      <c r="BM11" s="1189" t="s">
        <v>2100</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ht="15" thickBot="1">
      <c r="A13" s="1192"/>
      <c r="B13" s="1891" t="s">
        <v>2443</v>
      </c>
      <c r="C13" s="1892"/>
      <c r="D13" s="1892"/>
      <c r="E13" s="1892"/>
      <c r="F13" s="1892"/>
      <c r="G13" s="1892"/>
      <c r="H13" s="1892"/>
      <c r="I13" s="1892"/>
      <c r="J13" s="1892"/>
      <c r="K13" s="1892"/>
      <c r="L13" s="1892"/>
      <c r="M13" s="1892"/>
      <c r="N13" s="1892"/>
      <c r="O13" s="1892"/>
      <c r="P13" s="1893"/>
      <c r="Q13" s="1894" t="s">
        <v>670</v>
      </c>
      <c r="R13" s="1895"/>
      <c r="S13" s="1895"/>
      <c r="T13" s="1896"/>
      <c r="U13" s="1195"/>
      <c r="V13" s="1192"/>
      <c r="W13" s="1192"/>
      <c r="X13" s="1192"/>
      <c r="Y13" s="1192"/>
      <c r="Z13" s="1192"/>
      <c r="AA13" s="1897" t="s">
        <v>2442</v>
      </c>
      <c r="AB13" s="1897"/>
      <c r="AC13" s="1897"/>
      <c r="AD13" s="1897"/>
      <c r="AE13" s="1897"/>
      <c r="AF13" s="1897"/>
      <c r="AG13" s="1897"/>
      <c r="AH13" s="1897"/>
      <c r="AI13" s="1897"/>
      <c r="AJ13" s="1897"/>
      <c r="AK13" s="1897"/>
      <c r="AL13" s="1897"/>
      <c r="AM13" s="1897"/>
      <c r="AN13" s="1897"/>
      <c r="AO13" s="1898">
        <f>Application!W473</f>
        <v>0</v>
      </c>
      <c r="AP13" s="1899"/>
      <c r="AQ13" s="1899"/>
      <c r="AR13" s="1899"/>
      <c r="AS13" s="1899"/>
      <c r="AT13" s="1195"/>
      <c r="AU13" s="1195"/>
      <c r="AV13" s="1195"/>
      <c r="AW13" s="1195"/>
      <c r="AX13" s="1195"/>
      <c r="AY13" s="1195"/>
      <c r="AZ13" s="1195"/>
      <c r="BA13" s="1195"/>
      <c r="BB13" s="1195"/>
      <c r="BC13" s="1195"/>
      <c r="BD13" s="1195"/>
      <c r="BE13" s="1196"/>
      <c r="BM13" s="1189" t="s">
        <v>2441</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900" t="s">
        <v>2440</v>
      </c>
      <c r="AB14" s="1900"/>
      <c r="AC14" s="1900"/>
      <c r="AD14" s="1900"/>
      <c r="AE14" s="1900"/>
      <c r="AF14" s="1900"/>
      <c r="AG14" s="1900"/>
      <c r="AH14" s="1900"/>
      <c r="AI14" s="1900"/>
      <c r="AJ14" s="1900"/>
      <c r="AK14" s="1900"/>
      <c r="AL14" s="1900"/>
      <c r="AM14" s="1900"/>
      <c r="AN14" s="1900"/>
      <c r="AO14" s="1901"/>
      <c r="AP14" s="1902"/>
      <c r="AQ14" s="1902"/>
      <c r="AR14" s="1902"/>
      <c r="AS14" s="1902"/>
      <c r="AT14" s="1195"/>
      <c r="AU14" s="1195"/>
      <c r="AV14" s="1195"/>
      <c r="AW14" s="1195"/>
      <c r="AX14" s="1195"/>
      <c r="AY14" s="1195"/>
      <c r="AZ14" s="1195"/>
      <c r="BA14" s="1195"/>
      <c r="BB14" s="1195"/>
      <c r="BC14" s="1195"/>
      <c r="BD14" s="1195"/>
      <c r="BE14" s="1196"/>
    </row>
    <row r="15" spans="1:65" ht="15" thickBot="1">
      <c r="A15" s="1192"/>
      <c r="B15" s="1904" t="s">
        <v>2439</v>
      </c>
      <c r="C15" s="1905"/>
      <c r="D15" s="1905"/>
      <c r="E15" s="1905"/>
      <c r="F15" s="1905"/>
      <c r="G15" s="1905"/>
      <c r="H15" s="1905"/>
      <c r="I15" s="1905"/>
      <c r="J15" s="1905"/>
      <c r="K15" s="1905"/>
      <c r="L15" s="1905"/>
      <c r="M15" s="1905"/>
      <c r="N15" s="1905"/>
      <c r="O15" s="1905"/>
      <c r="P15" s="1905"/>
      <c r="Q15" s="1905"/>
      <c r="R15" s="1906"/>
      <c r="S15" s="1907" t="str">
        <f>IF(Application!AB214="","",Application!AB214)</f>
        <v/>
      </c>
      <c r="T15" s="1907"/>
      <c r="U15" s="1907"/>
      <c r="V15" s="1907"/>
      <c r="W15" s="1908"/>
      <c r="X15" s="1195"/>
      <c r="Y15" s="1192"/>
      <c r="Z15" s="1192"/>
      <c r="AA15" s="1897" t="s">
        <v>2438</v>
      </c>
      <c r="AB15" s="1897"/>
      <c r="AC15" s="1897"/>
      <c r="AD15" s="1897"/>
      <c r="AE15" s="1897"/>
      <c r="AF15" s="1897"/>
      <c r="AG15" s="1897"/>
      <c r="AH15" s="1897"/>
      <c r="AI15" s="1897"/>
      <c r="AJ15" s="1897"/>
      <c r="AK15" s="1897"/>
      <c r="AL15" s="1897"/>
      <c r="AM15" s="1897"/>
      <c r="AN15" s="1897"/>
      <c r="AO15" s="1901"/>
      <c r="AP15" s="1902"/>
      <c r="AQ15" s="1902"/>
      <c r="AR15" s="1902"/>
      <c r="AS15" s="1902"/>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1909" t="s">
        <v>2437</v>
      </c>
      <c r="C17" s="1910"/>
      <c r="D17" s="1910"/>
      <c r="E17" s="1910"/>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c r="AL17" s="1910"/>
      <c r="AM17" s="1910"/>
      <c r="AN17" s="1910"/>
      <c r="AO17" s="1910"/>
      <c r="AP17" s="1910"/>
      <c r="AQ17" s="1910"/>
      <c r="AR17" s="1910"/>
      <c r="AS17" s="1910"/>
      <c r="AT17" s="1910"/>
      <c r="AU17" s="1910"/>
      <c r="AV17" s="1910"/>
      <c r="AW17" s="1910"/>
      <c r="AX17" s="1910"/>
      <c r="AY17" s="1911"/>
      <c r="AZ17" s="1192"/>
      <c r="BA17" s="1192"/>
      <c r="BB17" s="1192"/>
      <c r="BC17" s="1192"/>
      <c r="BD17" s="1192"/>
      <c r="BE17" s="1196"/>
      <c r="BF17" s="1190"/>
    </row>
    <row r="18" spans="1:58" ht="15.75" customHeight="1">
      <c r="A18" s="1192"/>
      <c r="B18" s="1912" t="s">
        <v>2436</v>
      </c>
      <c r="C18" s="1913"/>
      <c r="D18" s="1913"/>
      <c r="E18" s="1913"/>
      <c r="F18" s="1913"/>
      <c r="G18" s="1913"/>
      <c r="H18" s="1913"/>
      <c r="I18" s="1914"/>
      <c r="J18" s="1915" t="s">
        <v>1586</v>
      </c>
      <c r="K18" s="1916"/>
      <c r="L18" s="1916"/>
      <c r="M18" s="1916"/>
      <c r="N18" s="1916"/>
      <c r="O18" s="1917"/>
      <c r="P18" s="1915" t="s">
        <v>324</v>
      </c>
      <c r="Q18" s="1916"/>
      <c r="R18" s="1916"/>
      <c r="S18" s="1916"/>
      <c r="T18" s="1916"/>
      <c r="U18" s="1917"/>
      <c r="V18" s="1915" t="s">
        <v>325</v>
      </c>
      <c r="W18" s="1916"/>
      <c r="X18" s="1916"/>
      <c r="Y18" s="1916"/>
      <c r="Z18" s="1916"/>
      <c r="AA18" s="1917"/>
      <c r="AB18" s="1915" t="s">
        <v>163</v>
      </c>
      <c r="AC18" s="1916"/>
      <c r="AD18" s="1916"/>
      <c r="AE18" s="1916"/>
      <c r="AF18" s="1916"/>
      <c r="AG18" s="1917"/>
      <c r="AH18" s="1915" t="s">
        <v>164</v>
      </c>
      <c r="AI18" s="1916"/>
      <c r="AJ18" s="1916"/>
      <c r="AK18" s="1916"/>
      <c r="AL18" s="1916"/>
      <c r="AM18" s="1917"/>
      <c r="AN18" s="1915" t="s">
        <v>165</v>
      </c>
      <c r="AO18" s="1916"/>
      <c r="AP18" s="1916"/>
      <c r="AQ18" s="1916"/>
      <c r="AR18" s="1916"/>
      <c r="AS18" s="1917"/>
      <c r="AT18" s="1915" t="s">
        <v>2435</v>
      </c>
      <c r="AU18" s="1916"/>
      <c r="AV18" s="1916"/>
      <c r="AW18" s="1916"/>
      <c r="AX18" s="1916"/>
      <c r="AY18" s="1918"/>
      <c r="AZ18" s="1192"/>
      <c r="BA18" s="1192"/>
      <c r="BB18" s="1192"/>
      <c r="BC18" s="1192"/>
      <c r="BD18" s="1192"/>
      <c r="BE18" s="1196"/>
    </row>
    <row r="19" spans="1:58" ht="14.5">
      <c r="A19" s="1192"/>
      <c r="B19" s="1919">
        <v>0.3</v>
      </c>
      <c r="C19" s="1920"/>
      <c r="D19" s="1920"/>
      <c r="E19" s="1920"/>
      <c r="F19" s="1920"/>
      <c r="G19" s="1920"/>
      <c r="H19" s="1920"/>
      <c r="I19" s="1921"/>
      <c r="J19" s="1922">
        <f t="shared" ref="J19:J24" si="0">SUM(P19:AS19)</f>
        <v>95</v>
      </c>
      <c r="K19" s="1923"/>
      <c r="L19" s="1923"/>
      <c r="M19" s="1923"/>
      <c r="N19" s="1923"/>
      <c r="O19" s="1924"/>
      <c r="P19" s="1922" cm="1">
        <f t="array" ref="P19">SUMPRODUCT((Application!$B$718:$B$752 = 'CalHFA Addendum'!P$18)*(Application!$AC$718:$AC$752 = 'CalHFA Addendum'!$B19),Application!$G$718:$G$752)</f>
        <v>9</v>
      </c>
      <c r="Q19" s="1923"/>
      <c r="R19" s="1923"/>
      <c r="S19" s="1923"/>
      <c r="T19" s="1923"/>
      <c r="U19" s="1924"/>
      <c r="V19" s="1922" cm="1">
        <f t="array" ref="V19">SUMPRODUCT((Application!$B$714:$B$738 = 'CalHFA Addendum'!V$18)*(Application!$AC$714:$AC$738 = 'CalHFA Addendum'!$B19),Application!$G$714:$G$738)</f>
        <v>60</v>
      </c>
      <c r="W19" s="1923"/>
      <c r="X19" s="1923"/>
      <c r="Y19" s="1923"/>
      <c r="Z19" s="1923"/>
      <c r="AA19" s="1924"/>
      <c r="AB19" s="1922" cm="1">
        <f t="array" ref="AB19">SUMPRODUCT((Application!$B$714:$B$738 = 'CalHFA Addendum'!AB$18)*(Application!$AC$714:$AC$738 = 'CalHFA Addendum'!$B19),Application!$G$714:$G$738)</f>
        <v>13</v>
      </c>
      <c r="AC19" s="1923"/>
      <c r="AD19" s="1923"/>
      <c r="AE19" s="1923"/>
      <c r="AF19" s="1923"/>
      <c r="AG19" s="1924"/>
      <c r="AH19" s="1922" cm="1">
        <f t="array" ref="AH19">SUMPRODUCT((Application!$B$714:$B$738 = 'CalHFA Addendum'!AH$18)*(Application!$AC$714:$AC$738 = 'CalHFA Addendum'!$B19),Application!$G$714:$G$738)</f>
        <v>13</v>
      </c>
      <c r="AI19" s="1923"/>
      <c r="AJ19" s="1923"/>
      <c r="AK19" s="1923"/>
      <c r="AL19" s="1923"/>
      <c r="AM19" s="1924"/>
      <c r="AN19" s="1922" cm="1">
        <f t="array" ref="AN19">SUMPRODUCT((Application!$B$714:$B$738 = 'CalHFA Addendum'!AN$18)*(Application!$AC$714:$AC$738 = 'CalHFA Addendum'!$B19),Application!$G$714:$G$738)</f>
        <v>0</v>
      </c>
      <c r="AO19" s="1923"/>
      <c r="AP19" s="1923"/>
      <c r="AQ19" s="1923"/>
      <c r="AR19" s="1923"/>
      <c r="AS19" s="1924"/>
      <c r="AT19" s="1925">
        <f t="shared" ref="AT19:AT29" si="1">J19/$J$29</f>
        <v>0.39419087136929459</v>
      </c>
      <c r="AU19" s="1926"/>
      <c r="AV19" s="1926"/>
      <c r="AW19" s="1926"/>
      <c r="AX19" s="1926"/>
      <c r="AY19" s="1927"/>
      <c r="AZ19" s="1197"/>
      <c r="BA19" s="1192"/>
      <c r="BB19" s="1192"/>
      <c r="BC19" s="1192"/>
      <c r="BD19" s="1192"/>
      <c r="BE19" s="1196"/>
    </row>
    <row r="20" spans="1:58" ht="15" customHeight="1">
      <c r="A20" s="1192"/>
      <c r="B20" s="1919">
        <v>0.4</v>
      </c>
      <c r="C20" s="1920"/>
      <c r="D20" s="1920"/>
      <c r="E20" s="1920"/>
      <c r="F20" s="1920"/>
      <c r="G20" s="1920"/>
      <c r="H20" s="1920"/>
      <c r="I20" s="1921"/>
      <c r="J20" s="1922">
        <f t="shared" si="0"/>
        <v>0</v>
      </c>
      <c r="K20" s="1923"/>
      <c r="L20" s="1923"/>
      <c r="M20" s="1923"/>
      <c r="N20" s="1923"/>
      <c r="O20" s="1924"/>
      <c r="P20" s="1922" cm="1">
        <f t="array" ref="P20">SUMPRODUCT((Application!$B$718:$B$752 = 'CalHFA Addendum'!P$18)*(Application!$AC$718:$AC$752 = 'CalHFA Addendum'!$B20),Application!$G$718:$G$752)</f>
        <v>0</v>
      </c>
      <c r="Q20" s="1923"/>
      <c r="R20" s="1923"/>
      <c r="S20" s="1923"/>
      <c r="T20" s="1923"/>
      <c r="U20" s="1924"/>
      <c r="V20" s="1922" cm="1">
        <f t="array" ref="V20">SUMPRODUCT((Application!$B$714:$B$738 = 'CalHFA Addendum'!V$18)*(Application!$AC$714:$AC$738 = 'CalHFA Addendum'!$B20),Application!$G$714:$G$738)</f>
        <v>0</v>
      </c>
      <c r="W20" s="1923"/>
      <c r="X20" s="1923"/>
      <c r="Y20" s="1923"/>
      <c r="Z20" s="1923"/>
      <c r="AA20" s="1924"/>
      <c r="AB20" s="1922" cm="1">
        <f t="array" ref="AB20">SUMPRODUCT((Application!$B$714:$B$738 = 'CalHFA Addendum'!AB$18)*(Application!$AC$714:$AC$738 = 'CalHFA Addendum'!$B20),Application!$G$714:$G$738)</f>
        <v>0</v>
      </c>
      <c r="AC20" s="1923"/>
      <c r="AD20" s="1923"/>
      <c r="AE20" s="1923"/>
      <c r="AF20" s="1923"/>
      <c r="AG20" s="1924"/>
      <c r="AH20" s="1922" cm="1">
        <f t="array" ref="AH20">SUMPRODUCT((Application!$B$714:$B$738 = 'CalHFA Addendum'!AH$18)*(Application!$AC$714:$AC$738 = 'CalHFA Addendum'!$B20),Application!$G$714:$G$738)</f>
        <v>0</v>
      </c>
      <c r="AI20" s="1923"/>
      <c r="AJ20" s="1923"/>
      <c r="AK20" s="1923"/>
      <c r="AL20" s="1923"/>
      <c r="AM20" s="1924"/>
      <c r="AN20" s="1922" cm="1">
        <f t="array" ref="AN20">SUMPRODUCT((Application!$B$714:$B$738 = 'CalHFA Addendum'!AN$18)*(Application!$AC$714:$AC$738 = 'CalHFA Addendum'!$B20),Application!$G$714:$G$738)</f>
        <v>0</v>
      </c>
      <c r="AO20" s="1923"/>
      <c r="AP20" s="1923"/>
      <c r="AQ20" s="1923"/>
      <c r="AR20" s="1923"/>
      <c r="AS20" s="1924"/>
      <c r="AT20" s="1925">
        <f t="shared" si="1"/>
        <v>0</v>
      </c>
      <c r="AU20" s="1926"/>
      <c r="AV20" s="1926"/>
      <c r="AW20" s="1926"/>
      <c r="AX20" s="1926"/>
      <c r="AY20" s="1927"/>
      <c r="AZ20" s="1192"/>
      <c r="BA20" s="1192"/>
      <c r="BB20" s="1192"/>
      <c r="BC20" s="1192"/>
      <c r="BD20" s="1192"/>
      <c r="BE20" s="1196"/>
    </row>
    <row r="21" spans="1:58" ht="14.5">
      <c r="A21" s="1192"/>
      <c r="B21" s="1919">
        <v>0.5</v>
      </c>
      <c r="C21" s="1920"/>
      <c r="D21" s="1920"/>
      <c r="E21" s="1920"/>
      <c r="F21" s="1920"/>
      <c r="G21" s="1920"/>
      <c r="H21" s="1920"/>
      <c r="I21" s="1921"/>
      <c r="J21" s="1922">
        <f t="shared" si="0"/>
        <v>1</v>
      </c>
      <c r="K21" s="1923"/>
      <c r="L21" s="1923"/>
      <c r="M21" s="1923"/>
      <c r="N21" s="1923"/>
      <c r="O21" s="1924"/>
      <c r="P21" s="1922" cm="1">
        <f t="array" ref="P21">SUMPRODUCT((Application!$B$714:$B$738 = 'CalHFA Addendum'!P$18)*(Application!$AC$714:$AC$738 = 'CalHFA Addendum'!$B21),Application!$G$714:$G$738)</f>
        <v>0</v>
      </c>
      <c r="Q21" s="1923"/>
      <c r="R21" s="1923"/>
      <c r="S21" s="1923"/>
      <c r="T21" s="1923"/>
      <c r="U21" s="1924"/>
      <c r="V21" s="1922" cm="1">
        <f t="array" ref="V21">SUMPRODUCT((Application!$B$714:$B$738 = 'CalHFA Addendum'!V$18)*(Application!$AC$714:$AC$738 = 'CalHFA Addendum'!$B21),Application!$G$714:$G$738)</f>
        <v>0</v>
      </c>
      <c r="W21" s="1923"/>
      <c r="X21" s="1923"/>
      <c r="Y21" s="1923"/>
      <c r="Z21" s="1923"/>
      <c r="AA21" s="1924"/>
      <c r="AB21" s="1922" cm="1">
        <f t="array" ref="AB21">SUMPRODUCT((Application!$B$714:$B$738 = 'CalHFA Addendum'!AB$18)*(Application!$AC$714:$AC$738 = 'CalHFA Addendum'!$B21),Application!$G$714:$G$738)</f>
        <v>1</v>
      </c>
      <c r="AC21" s="1923"/>
      <c r="AD21" s="1923"/>
      <c r="AE21" s="1923"/>
      <c r="AF21" s="1923"/>
      <c r="AG21" s="1924"/>
      <c r="AH21" s="1922" cm="1">
        <f t="array" ref="AH21">SUMPRODUCT((Application!$B$714:$B$738 = 'CalHFA Addendum'!AH$18)*(Application!$AC$714:$AC$738 = 'CalHFA Addendum'!$B21),Application!$G$714:$G$738)</f>
        <v>0</v>
      </c>
      <c r="AI21" s="1923"/>
      <c r="AJ21" s="1923"/>
      <c r="AK21" s="1923"/>
      <c r="AL21" s="1923"/>
      <c r="AM21" s="1924"/>
      <c r="AN21" s="1922" cm="1">
        <f t="array" ref="AN21">SUMPRODUCT((Application!$B$714:$B$738 = 'CalHFA Addendum'!AN$18)*(Application!$AC$714:$AC$738 = 'CalHFA Addendum'!$B21),Application!$G$714:$G$738)</f>
        <v>0</v>
      </c>
      <c r="AO21" s="1923"/>
      <c r="AP21" s="1923"/>
      <c r="AQ21" s="1923"/>
      <c r="AR21" s="1923"/>
      <c r="AS21" s="1924"/>
      <c r="AT21" s="1925">
        <f t="shared" si="1"/>
        <v>4.1493775933609959E-3</v>
      </c>
      <c r="AU21" s="1926"/>
      <c r="AV21" s="1926"/>
      <c r="AW21" s="1926"/>
      <c r="AX21" s="1926"/>
      <c r="AY21" s="1927"/>
      <c r="AZ21" s="1192"/>
      <c r="BA21" s="1192"/>
      <c r="BB21" s="1192"/>
      <c r="BC21" s="1192"/>
      <c r="BD21" s="1192"/>
      <c r="BE21" s="1196"/>
    </row>
    <row r="22" spans="1:58" ht="14.5">
      <c r="A22" s="1192"/>
      <c r="B22" s="1919">
        <v>0.6</v>
      </c>
      <c r="C22" s="1920"/>
      <c r="D22" s="1920"/>
      <c r="E22" s="1920"/>
      <c r="F22" s="1920"/>
      <c r="G22" s="1920"/>
      <c r="H22" s="1920"/>
      <c r="I22" s="1921"/>
      <c r="J22" s="1922">
        <f t="shared" si="0"/>
        <v>0</v>
      </c>
      <c r="K22" s="1923"/>
      <c r="L22" s="1923"/>
      <c r="M22" s="1923"/>
      <c r="N22" s="1923"/>
      <c r="O22" s="1924"/>
      <c r="P22" s="1922" cm="1">
        <f t="array" ref="P22">SUMPRODUCT((Application!$B$714:$B$738 = 'CalHFA Addendum'!P$18)*(Application!$AC$714:$AC$738 = 'CalHFA Addendum'!$B22),Application!$G$714:$G$738)</f>
        <v>0</v>
      </c>
      <c r="Q22" s="1923"/>
      <c r="R22" s="1923"/>
      <c r="S22" s="1923"/>
      <c r="T22" s="1923"/>
      <c r="U22" s="1924"/>
      <c r="V22" s="1922" cm="1">
        <f t="array" ref="V22">SUMPRODUCT((Application!$B$714:$B$738 = 'CalHFA Addendum'!V$18)*(Application!$AC$714:$AC$738 = 'CalHFA Addendum'!$B22),Application!$G$714:$G$738)</f>
        <v>0</v>
      </c>
      <c r="W22" s="1923"/>
      <c r="X22" s="1923"/>
      <c r="Y22" s="1923"/>
      <c r="Z22" s="1923"/>
      <c r="AA22" s="1924"/>
      <c r="AB22" s="1922" cm="1">
        <f t="array" ref="AB22">SUMPRODUCT((Application!$B$714:$B$738 = 'CalHFA Addendum'!AB$18)*(Application!$AC$714:$AC$738 = 'CalHFA Addendum'!$B22),Application!$G$714:$G$738)</f>
        <v>0</v>
      </c>
      <c r="AC22" s="1923"/>
      <c r="AD22" s="1923"/>
      <c r="AE22" s="1923"/>
      <c r="AF22" s="1923"/>
      <c r="AG22" s="1924"/>
      <c r="AH22" s="1922" cm="1">
        <f t="array" ref="AH22">SUMPRODUCT((Application!$B$714:$B$738 = 'CalHFA Addendum'!AH$18)*(Application!$AC$714:$AC$738 = 'CalHFA Addendum'!$B22),Application!$G$714:$G$738)</f>
        <v>0</v>
      </c>
      <c r="AI22" s="1923"/>
      <c r="AJ22" s="1923"/>
      <c r="AK22" s="1923"/>
      <c r="AL22" s="1923"/>
      <c r="AM22" s="1924"/>
      <c r="AN22" s="1922" cm="1">
        <f t="array" ref="AN22">SUMPRODUCT((Application!$B$714:$B$738 = 'CalHFA Addendum'!AN$18)*(Application!$AC$714:$AC$738 = 'CalHFA Addendum'!$B22),Application!$G$714:$G$738)</f>
        <v>0</v>
      </c>
      <c r="AO22" s="1923"/>
      <c r="AP22" s="1923"/>
      <c r="AQ22" s="1923"/>
      <c r="AR22" s="1923"/>
      <c r="AS22" s="1924"/>
      <c r="AT22" s="1925">
        <f t="shared" si="1"/>
        <v>0</v>
      </c>
      <c r="AU22" s="1926"/>
      <c r="AV22" s="1926"/>
      <c r="AW22" s="1926"/>
      <c r="AX22" s="1926"/>
      <c r="AY22" s="1927"/>
      <c r="AZ22" s="1192"/>
      <c r="BA22" s="1192"/>
      <c r="BB22" s="1192"/>
      <c r="BC22" s="1192"/>
      <c r="BD22" s="1192"/>
      <c r="BE22" s="1196"/>
    </row>
    <row r="23" spans="1:58" ht="14.5">
      <c r="A23" s="1192"/>
      <c r="B23" s="1919">
        <v>0.7</v>
      </c>
      <c r="C23" s="1920"/>
      <c r="D23" s="1920"/>
      <c r="E23" s="1920"/>
      <c r="F23" s="1920"/>
      <c r="G23" s="1920"/>
      <c r="H23" s="1920"/>
      <c r="I23" s="1921"/>
      <c r="J23" s="1922">
        <f t="shared" si="0"/>
        <v>0</v>
      </c>
      <c r="K23" s="1923"/>
      <c r="L23" s="1923"/>
      <c r="M23" s="1923"/>
      <c r="N23" s="1923"/>
      <c r="O23" s="1924"/>
      <c r="P23" s="1922" cm="1">
        <f t="array" ref="P23">SUMPRODUCT((Application!$B$714:$B$738 = 'CalHFA Addendum'!P$18)*(Application!$AC$714:$AC$738 = 'CalHFA Addendum'!$B23),Application!$G$714:$G$738)</f>
        <v>0</v>
      </c>
      <c r="Q23" s="1923"/>
      <c r="R23" s="1923"/>
      <c r="S23" s="1923"/>
      <c r="T23" s="1923"/>
      <c r="U23" s="1924"/>
      <c r="V23" s="1922" cm="1">
        <f t="array" ref="V23">SUMPRODUCT((Application!$B$714:$B$738 = 'CalHFA Addendum'!V$18)*(Application!$AC$714:$AC$738 = 'CalHFA Addendum'!$B23),Application!$G$714:$G$738)</f>
        <v>0</v>
      </c>
      <c r="W23" s="1923"/>
      <c r="X23" s="1923"/>
      <c r="Y23" s="1923"/>
      <c r="Z23" s="1923"/>
      <c r="AA23" s="1924"/>
      <c r="AB23" s="1922" cm="1">
        <f t="array" ref="AB23">SUMPRODUCT((Application!$B$714:$B$738 = 'CalHFA Addendum'!AB$18)*(Application!$AC$714:$AC$738 = 'CalHFA Addendum'!$B23),Application!$G$714:$G$738)</f>
        <v>0</v>
      </c>
      <c r="AC23" s="1923"/>
      <c r="AD23" s="1923"/>
      <c r="AE23" s="1923"/>
      <c r="AF23" s="1923"/>
      <c r="AG23" s="1924"/>
      <c r="AH23" s="1922" cm="1">
        <f t="array" ref="AH23">SUMPRODUCT((Application!$B$714:$B$738 = 'CalHFA Addendum'!AH$18)*(Application!$AC$714:$AC$738 = 'CalHFA Addendum'!$B23),Application!$G$714:$G$738)</f>
        <v>0</v>
      </c>
      <c r="AI23" s="1923"/>
      <c r="AJ23" s="1923"/>
      <c r="AK23" s="1923"/>
      <c r="AL23" s="1923"/>
      <c r="AM23" s="1924"/>
      <c r="AN23" s="1922" cm="1">
        <f t="array" ref="AN23">SUMPRODUCT((Application!$B$714:$B$738 = 'CalHFA Addendum'!AN$18)*(Application!$AC$714:$AC$738 = 'CalHFA Addendum'!$B23),Application!$G$714:$G$738)</f>
        <v>0</v>
      </c>
      <c r="AO23" s="1923"/>
      <c r="AP23" s="1923"/>
      <c r="AQ23" s="1923"/>
      <c r="AR23" s="1923"/>
      <c r="AS23" s="1924"/>
      <c r="AT23" s="1925">
        <f t="shared" si="1"/>
        <v>0</v>
      </c>
      <c r="AU23" s="1926"/>
      <c r="AV23" s="1926"/>
      <c r="AW23" s="1926"/>
      <c r="AX23" s="1926"/>
      <c r="AY23" s="1927"/>
      <c r="AZ23" s="1192"/>
      <c r="BA23" s="1192"/>
      <c r="BB23" s="1192"/>
      <c r="BC23" s="1192"/>
      <c r="BD23" s="1192"/>
      <c r="BE23" s="1196"/>
    </row>
    <row r="24" spans="1:58" ht="14.5">
      <c r="A24" s="1192"/>
      <c r="B24" s="1919">
        <v>0.8</v>
      </c>
      <c r="C24" s="1920"/>
      <c r="D24" s="1920"/>
      <c r="E24" s="1920"/>
      <c r="F24" s="1920"/>
      <c r="G24" s="1920"/>
      <c r="H24" s="1920"/>
      <c r="I24" s="1921"/>
      <c r="J24" s="1922">
        <f t="shared" si="0"/>
        <v>143</v>
      </c>
      <c r="K24" s="1923"/>
      <c r="L24" s="1923"/>
      <c r="M24" s="1923"/>
      <c r="N24" s="1923"/>
      <c r="O24" s="1924"/>
      <c r="P24" s="1922" cm="1">
        <f t="array" ref="P24">SUMPRODUCT((Application!$B$714:$B$738 = 'CalHFA Addendum'!P$18)*(Application!$AC$714:$AC$738 = 'CalHFA Addendum'!$B24),Application!$G$714:$G$738)</f>
        <v>12</v>
      </c>
      <c r="Q24" s="1923"/>
      <c r="R24" s="1923"/>
      <c r="S24" s="1923"/>
      <c r="T24" s="1923"/>
      <c r="U24" s="1924"/>
      <c r="V24" s="1922" cm="1">
        <f t="array" ref="V24">SUMPRODUCT((Application!$B$714:$B$738 = 'CalHFA Addendum'!V$18)*(Application!$AC$714:$AC$738 = 'CalHFA Addendum'!$B24),Application!$G$714:$G$738)</f>
        <v>73</v>
      </c>
      <c r="W24" s="1923"/>
      <c r="X24" s="1923"/>
      <c r="Y24" s="1923"/>
      <c r="Z24" s="1923"/>
      <c r="AA24" s="1924"/>
      <c r="AB24" s="1922" cm="1">
        <f t="array" ref="AB24">SUMPRODUCT((Application!$B$714:$B$738 = 'CalHFA Addendum'!AB$18)*(Application!$AC$714:$AC$738 = 'CalHFA Addendum'!$B24),Application!$G$714:$G$738)</f>
        <v>23</v>
      </c>
      <c r="AC24" s="1923"/>
      <c r="AD24" s="1923"/>
      <c r="AE24" s="1923"/>
      <c r="AF24" s="1923"/>
      <c r="AG24" s="1924"/>
      <c r="AH24" s="1922" cm="1">
        <f t="array" ref="AH24">SUMPRODUCT((Application!$B$714:$B$738 = 'CalHFA Addendum'!AH$18)*(Application!$AC$714:$AC$738 = 'CalHFA Addendum'!$B24),Application!$G$714:$G$738)</f>
        <v>35</v>
      </c>
      <c r="AI24" s="1923"/>
      <c r="AJ24" s="1923"/>
      <c r="AK24" s="1923"/>
      <c r="AL24" s="1923"/>
      <c r="AM24" s="1924"/>
      <c r="AN24" s="1922" cm="1">
        <f t="array" ref="AN24">SUMPRODUCT((Application!$B$714:$B$738 = 'CalHFA Addendum'!AN$18)*(Application!$AC$714:$AC$738 = 'CalHFA Addendum'!$B24),Application!$G$714:$G$738)</f>
        <v>0</v>
      </c>
      <c r="AO24" s="1923"/>
      <c r="AP24" s="1923"/>
      <c r="AQ24" s="1923"/>
      <c r="AR24" s="1923"/>
      <c r="AS24" s="1924"/>
      <c r="AT24" s="1925">
        <f t="shared" si="1"/>
        <v>0.59336099585062241</v>
      </c>
      <c r="AU24" s="1926"/>
      <c r="AV24" s="1926"/>
      <c r="AW24" s="1926"/>
      <c r="AX24" s="1926"/>
      <c r="AY24" s="1927"/>
      <c r="AZ24" s="1192"/>
      <c r="BA24" s="1192"/>
      <c r="BB24" s="1192"/>
      <c r="BC24" s="1192"/>
      <c r="BD24" s="1192"/>
      <c r="BE24" s="1196"/>
    </row>
    <row r="25" spans="1:58" ht="14.5">
      <c r="A25" s="1192"/>
      <c r="B25" s="1919">
        <v>0.9</v>
      </c>
      <c r="C25" s="1920"/>
      <c r="D25" s="1920"/>
      <c r="E25" s="1920"/>
      <c r="F25" s="1920"/>
      <c r="G25" s="1920"/>
      <c r="H25" s="1920"/>
      <c r="I25" s="1921"/>
      <c r="J25" s="1928"/>
      <c r="K25" s="1929"/>
      <c r="L25" s="1929"/>
      <c r="M25" s="1929"/>
      <c r="N25" s="1929"/>
      <c r="O25" s="1930"/>
      <c r="P25" s="1928"/>
      <c r="Q25" s="1929"/>
      <c r="R25" s="1929"/>
      <c r="S25" s="1929"/>
      <c r="T25" s="1929"/>
      <c r="U25" s="1930"/>
      <c r="V25" s="1928"/>
      <c r="W25" s="1929"/>
      <c r="X25" s="1929"/>
      <c r="Y25" s="1929"/>
      <c r="Z25" s="1929"/>
      <c r="AA25" s="1930"/>
      <c r="AB25" s="1928"/>
      <c r="AC25" s="1929"/>
      <c r="AD25" s="1929"/>
      <c r="AE25" s="1929"/>
      <c r="AF25" s="1929"/>
      <c r="AG25" s="1930"/>
      <c r="AH25" s="1928"/>
      <c r="AI25" s="1929"/>
      <c r="AJ25" s="1929"/>
      <c r="AK25" s="1929"/>
      <c r="AL25" s="1929"/>
      <c r="AM25" s="1930"/>
      <c r="AN25" s="1928"/>
      <c r="AO25" s="1929"/>
      <c r="AP25" s="1929"/>
      <c r="AQ25" s="1929"/>
      <c r="AR25" s="1929"/>
      <c r="AS25" s="1930"/>
      <c r="AT25" s="1925">
        <f t="shared" si="1"/>
        <v>0</v>
      </c>
      <c r="AU25" s="1926"/>
      <c r="AV25" s="1926"/>
      <c r="AW25" s="1926"/>
      <c r="AX25" s="1926"/>
      <c r="AY25" s="1927"/>
      <c r="AZ25" s="1192"/>
      <c r="BA25" s="1192"/>
      <c r="BB25" s="1192"/>
      <c r="BC25" s="1192"/>
      <c r="BD25" s="1192"/>
      <c r="BE25" s="1196"/>
    </row>
    <row r="26" spans="1:58" ht="14.5">
      <c r="A26" s="1192"/>
      <c r="B26" s="1919">
        <v>1</v>
      </c>
      <c r="C26" s="1920"/>
      <c r="D26" s="1920"/>
      <c r="E26" s="1920"/>
      <c r="F26" s="1920"/>
      <c r="G26" s="1920"/>
      <c r="H26" s="1920"/>
      <c r="I26" s="1921"/>
      <c r="J26" s="1928"/>
      <c r="K26" s="1929"/>
      <c r="L26" s="1929"/>
      <c r="M26" s="1929"/>
      <c r="N26" s="1929"/>
      <c r="O26" s="1930"/>
      <c r="P26" s="1928"/>
      <c r="Q26" s="1929"/>
      <c r="R26" s="1929"/>
      <c r="S26" s="1929"/>
      <c r="T26" s="1929"/>
      <c r="U26" s="1930"/>
      <c r="V26" s="1928"/>
      <c r="W26" s="1929"/>
      <c r="X26" s="1929"/>
      <c r="Y26" s="1929"/>
      <c r="Z26" s="1929"/>
      <c r="AA26" s="1930"/>
      <c r="AB26" s="1928"/>
      <c r="AC26" s="1929"/>
      <c r="AD26" s="1929"/>
      <c r="AE26" s="1929"/>
      <c r="AF26" s="1929"/>
      <c r="AG26" s="1930"/>
      <c r="AH26" s="1928"/>
      <c r="AI26" s="1929"/>
      <c r="AJ26" s="1929"/>
      <c r="AK26" s="1929"/>
      <c r="AL26" s="1929"/>
      <c r="AM26" s="1930"/>
      <c r="AN26" s="1928"/>
      <c r="AO26" s="1929"/>
      <c r="AP26" s="1929"/>
      <c r="AQ26" s="1929"/>
      <c r="AR26" s="1929"/>
      <c r="AS26" s="1930"/>
      <c r="AT26" s="1925">
        <f t="shared" si="1"/>
        <v>0</v>
      </c>
      <c r="AU26" s="1926"/>
      <c r="AV26" s="1926"/>
      <c r="AW26" s="1926"/>
      <c r="AX26" s="1926"/>
      <c r="AY26" s="1927"/>
      <c r="AZ26" s="1192"/>
      <c r="BA26" s="1192"/>
      <c r="BB26" s="1192"/>
      <c r="BC26" s="1192"/>
      <c r="BD26" s="1192"/>
      <c r="BE26" s="1196"/>
    </row>
    <row r="27" spans="1:58" ht="14.5">
      <c r="A27" s="1192"/>
      <c r="B27" s="1919">
        <v>1.2</v>
      </c>
      <c r="C27" s="1920"/>
      <c r="D27" s="1920"/>
      <c r="E27" s="1920"/>
      <c r="F27" s="1920"/>
      <c r="G27" s="1920"/>
      <c r="H27" s="1920"/>
      <c r="I27" s="1921"/>
      <c r="J27" s="1928"/>
      <c r="K27" s="1929"/>
      <c r="L27" s="1929"/>
      <c r="M27" s="1929"/>
      <c r="N27" s="1929"/>
      <c r="O27" s="1930"/>
      <c r="P27" s="1928"/>
      <c r="Q27" s="1929"/>
      <c r="R27" s="1929"/>
      <c r="S27" s="1929"/>
      <c r="T27" s="1929"/>
      <c r="U27" s="1930"/>
      <c r="V27" s="1928"/>
      <c r="W27" s="1929"/>
      <c r="X27" s="1929"/>
      <c r="Y27" s="1929"/>
      <c r="Z27" s="1929"/>
      <c r="AA27" s="1930"/>
      <c r="AB27" s="1928"/>
      <c r="AC27" s="1929"/>
      <c r="AD27" s="1929"/>
      <c r="AE27" s="1929"/>
      <c r="AF27" s="1929"/>
      <c r="AG27" s="1930"/>
      <c r="AH27" s="1928"/>
      <c r="AI27" s="1929"/>
      <c r="AJ27" s="1929"/>
      <c r="AK27" s="1929"/>
      <c r="AL27" s="1929"/>
      <c r="AM27" s="1930"/>
      <c r="AN27" s="1928"/>
      <c r="AO27" s="1929"/>
      <c r="AP27" s="1929"/>
      <c r="AQ27" s="1929"/>
      <c r="AR27" s="1929"/>
      <c r="AS27" s="1930"/>
      <c r="AT27" s="1925">
        <f t="shared" si="1"/>
        <v>0</v>
      </c>
      <c r="AU27" s="1926"/>
      <c r="AV27" s="1926"/>
      <c r="AW27" s="1926"/>
      <c r="AX27" s="1926"/>
      <c r="AY27" s="1927"/>
      <c r="AZ27" s="1192"/>
      <c r="BA27" s="1192"/>
      <c r="BB27" s="1192"/>
      <c r="BC27" s="1192"/>
      <c r="BD27" s="1192"/>
      <c r="BE27" s="1196"/>
    </row>
    <row r="28" spans="1:58" ht="15" thickBot="1">
      <c r="A28" s="1192"/>
      <c r="B28" s="1931" t="s">
        <v>2434</v>
      </c>
      <c r="C28" s="1932"/>
      <c r="D28" s="1932"/>
      <c r="E28" s="1932"/>
      <c r="F28" s="1932"/>
      <c r="G28" s="1932"/>
      <c r="H28" s="1932"/>
      <c r="I28" s="1933"/>
      <c r="J28" s="1934">
        <f>SUM(P28:AS28)</f>
        <v>2</v>
      </c>
      <c r="K28" s="1935"/>
      <c r="L28" s="1935"/>
      <c r="M28" s="1935"/>
      <c r="N28" s="1935"/>
      <c r="O28" s="1936"/>
      <c r="P28" s="1934">
        <f>_xlfn.IFNA(VLOOKUP(P$18,Application!$J$773:$S$776,6,FALSE), 0)</f>
        <v>0</v>
      </c>
      <c r="Q28" s="1935"/>
      <c r="R28" s="1935"/>
      <c r="S28" s="1935"/>
      <c r="T28" s="1935"/>
      <c r="U28" s="1936"/>
      <c r="V28" s="1934">
        <f>_xlfn.IFNA(VLOOKUP(V$18,Application!$J$773:$S$776,6,FALSE), 0)</f>
        <v>0</v>
      </c>
      <c r="W28" s="1935"/>
      <c r="X28" s="1935"/>
      <c r="Y28" s="1935"/>
      <c r="Z28" s="1935"/>
      <c r="AA28" s="1936"/>
      <c r="AB28" s="1934">
        <f>_xlfn.IFNA(VLOOKUP(AB$18,Application!$J$773:$S$776,6,FALSE), 0)</f>
        <v>2</v>
      </c>
      <c r="AC28" s="1935"/>
      <c r="AD28" s="1935"/>
      <c r="AE28" s="1935"/>
      <c r="AF28" s="1935"/>
      <c r="AG28" s="1936"/>
      <c r="AH28" s="1934">
        <f>_xlfn.IFNA(VLOOKUP(AH$18,Application!$J$773:$S$776,6,FALSE), 0)</f>
        <v>0</v>
      </c>
      <c r="AI28" s="1935"/>
      <c r="AJ28" s="1935"/>
      <c r="AK28" s="1935"/>
      <c r="AL28" s="1935"/>
      <c r="AM28" s="1936"/>
      <c r="AN28" s="1934">
        <f>_xlfn.IFNA(VLOOKUP(AN$18,Application!$J$773:$S$776,6,FALSE), 0)</f>
        <v>0</v>
      </c>
      <c r="AO28" s="1935"/>
      <c r="AP28" s="1935"/>
      <c r="AQ28" s="1935"/>
      <c r="AR28" s="1935"/>
      <c r="AS28" s="1936"/>
      <c r="AT28" s="1937">
        <f t="shared" si="1"/>
        <v>8.2987551867219917E-3</v>
      </c>
      <c r="AU28" s="1938"/>
      <c r="AV28" s="1938"/>
      <c r="AW28" s="1938"/>
      <c r="AX28" s="1938"/>
      <c r="AY28" s="1939"/>
      <c r="AZ28" s="1192"/>
      <c r="BA28" s="1192"/>
      <c r="BB28" s="1192"/>
      <c r="BC28" s="1192"/>
      <c r="BD28" s="1192"/>
      <c r="BE28" s="1196"/>
    </row>
    <row r="29" spans="1:58" ht="15" thickBot="1">
      <c r="A29" s="1192"/>
      <c r="B29" s="1968" t="s">
        <v>1586</v>
      </c>
      <c r="C29" s="1941"/>
      <c r="D29" s="1941"/>
      <c r="E29" s="1941"/>
      <c r="F29" s="1941"/>
      <c r="G29" s="1941"/>
      <c r="H29" s="1941"/>
      <c r="I29" s="1942"/>
      <c r="J29" s="1940">
        <f>SUM(J19:O28)</f>
        <v>241</v>
      </c>
      <c r="K29" s="1941"/>
      <c r="L29" s="1941"/>
      <c r="M29" s="1941"/>
      <c r="N29" s="1941"/>
      <c r="O29" s="1942"/>
      <c r="P29" s="1940">
        <f>SUM(P19:U28)</f>
        <v>21</v>
      </c>
      <c r="Q29" s="1941"/>
      <c r="R29" s="1941"/>
      <c r="S29" s="1941"/>
      <c r="T29" s="1941"/>
      <c r="U29" s="1942"/>
      <c r="V29" s="1940">
        <f>SUM(V19:AA28)</f>
        <v>133</v>
      </c>
      <c r="W29" s="1941"/>
      <c r="X29" s="1941"/>
      <c r="Y29" s="1941"/>
      <c r="Z29" s="1941"/>
      <c r="AA29" s="1942"/>
      <c r="AB29" s="1940">
        <f>SUM(AB19:AG28)</f>
        <v>39</v>
      </c>
      <c r="AC29" s="1941"/>
      <c r="AD29" s="1941"/>
      <c r="AE29" s="1941"/>
      <c r="AF29" s="1941"/>
      <c r="AG29" s="1942"/>
      <c r="AH29" s="1940">
        <f>SUM(AH19:AM28)</f>
        <v>48</v>
      </c>
      <c r="AI29" s="1941"/>
      <c r="AJ29" s="1941"/>
      <c r="AK29" s="1941"/>
      <c r="AL29" s="1941"/>
      <c r="AM29" s="1942"/>
      <c r="AN29" s="1940">
        <f>SUM(AN19:AS28)</f>
        <v>0</v>
      </c>
      <c r="AO29" s="1941"/>
      <c r="AP29" s="1941"/>
      <c r="AQ29" s="1941"/>
      <c r="AR29" s="1941"/>
      <c r="AS29" s="1942"/>
      <c r="AT29" s="1943">
        <f t="shared" si="1"/>
        <v>1</v>
      </c>
      <c r="AU29" s="1944"/>
      <c r="AV29" s="1944"/>
      <c r="AW29" s="1944"/>
      <c r="AX29" s="1944"/>
      <c r="AY29" s="1945"/>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1946" t="s">
        <v>2433</v>
      </c>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47"/>
      <c r="AP31" s="1947"/>
      <c r="AQ31" s="1947"/>
      <c r="AR31" s="1947"/>
      <c r="AS31" s="1947"/>
      <c r="AT31" s="1947"/>
      <c r="AU31" s="1947"/>
      <c r="AV31" s="1947"/>
      <c r="AW31" s="1947"/>
      <c r="AX31" s="1947"/>
      <c r="AY31" s="1947"/>
      <c r="AZ31" s="1947"/>
      <c r="BA31" s="1947"/>
      <c r="BB31" s="1947"/>
      <c r="BC31" s="1947"/>
      <c r="BD31" s="1948"/>
      <c r="BE31" s="1196"/>
    </row>
    <row r="32" spans="1:58" ht="15" thickBot="1">
      <c r="A32" s="1192"/>
      <c r="B32" s="1949" t="s">
        <v>2432</v>
      </c>
      <c r="C32" s="1950"/>
      <c r="D32" s="1950"/>
      <c r="E32" s="1950"/>
      <c r="F32" s="1950"/>
      <c r="G32" s="1950"/>
      <c r="H32" s="1950"/>
      <c r="I32" s="1950"/>
      <c r="J32" s="1953" t="s">
        <v>2431</v>
      </c>
      <c r="K32" s="1954"/>
      <c r="L32" s="1954"/>
      <c r="M32" s="1954"/>
      <c r="N32" s="1953" t="s">
        <v>2430</v>
      </c>
      <c r="O32" s="1954"/>
      <c r="P32" s="1954"/>
      <c r="Q32" s="1956"/>
      <c r="R32" s="1958" t="s">
        <v>2429</v>
      </c>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1959"/>
      <c r="AR32" s="1959"/>
      <c r="AS32" s="1959"/>
      <c r="AT32" s="1959"/>
      <c r="AU32" s="1959"/>
      <c r="AV32" s="1959"/>
      <c r="AW32" s="1959"/>
      <c r="AX32" s="1959"/>
      <c r="AY32" s="1959"/>
      <c r="AZ32" s="1959"/>
      <c r="BA32" s="1959"/>
      <c r="BB32" s="1959"/>
      <c r="BC32" s="1959"/>
      <c r="BD32" s="1960"/>
      <c r="BE32" s="1196"/>
    </row>
    <row r="33" spans="1:58" ht="15" customHeight="1">
      <c r="A33" s="1192"/>
      <c r="B33" s="1951"/>
      <c r="C33" s="1952"/>
      <c r="D33" s="1952"/>
      <c r="E33" s="1952"/>
      <c r="F33" s="1952"/>
      <c r="G33" s="1952"/>
      <c r="H33" s="1952"/>
      <c r="I33" s="1952"/>
      <c r="J33" s="1955"/>
      <c r="K33" s="1955"/>
      <c r="L33" s="1955"/>
      <c r="M33" s="1955"/>
      <c r="N33" s="1955"/>
      <c r="O33" s="1955"/>
      <c r="P33" s="1955"/>
      <c r="Q33" s="1957"/>
      <c r="R33" s="1961" t="s">
        <v>2428</v>
      </c>
      <c r="S33" s="1962"/>
      <c r="T33" s="1962"/>
      <c r="U33" s="1962"/>
      <c r="V33" s="1962"/>
      <c r="W33" s="1962"/>
      <c r="X33" s="1962"/>
      <c r="Y33" s="1962"/>
      <c r="Z33" s="1962"/>
      <c r="AA33" s="1962"/>
      <c r="AB33" s="1962"/>
      <c r="AC33" s="1962"/>
      <c r="AD33" s="1962"/>
      <c r="AE33" s="1962"/>
      <c r="AF33" s="1962"/>
      <c r="AG33" s="1962"/>
      <c r="AH33" s="1962"/>
      <c r="AI33" s="1962"/>
      <c r="AJ33" s="1962"/>
      <c r="AK33" s="1962"/>
      <c r="AL33" s="1962"/>
      <c r="AM33" s="1962"/>
      <c r="AN33" s="1962"/>
      <c r="AO33" s="1962"/>
      <c r="AP33" s="1962"/>
      <c r="AQ33" s="1962"/>
      <c r="AR33" s="1962"/>
      <c r="AS33" s="1962"/>
      <c r="AT33" s="1962"/>
      <c r="AU33" s="1962"/>
      <c r="AV33" s="1962"/>
      <c r="AW33" s="1962"/>
      <c r="AX33" s="1962"/>
      <c r="AY33" s="1962"/>
      <c r="AZ33" s="1962"/>
      <c r="BA33" s="1962"/>
      <c r="BB33" s="1962"/>
      <c r="BC33" s="1962"/>
      <c r="BD33" s="1963"/>
      <c r="BE33" s="1196"/>
    </row>
    <row r="34" spans="1:58" ht="15.75" customHeight="1" thickBot="1">
      <c r="A34" s="1192"/>
      <c r="B34" s="1951"/>
      <c r="C34" s="1952"/>
      <c r="D34" s="1952"/>
      <c r="E34" s="1952"/>
      <c r="F34" s="1952"/>
      <c r="G34" s="1952"/>
      <c r="H34" s="1952"/>
      <c r="I34" s="1952"/>
      <c r="J34" s="1955"/>
      <c r="K34" s="1955"/>
      <c r="L34" s="1955"/>
      <c r="M34" s="1955"/>
      <c r="N34" s="1955"/>
      <c r="O34" s="1955"/>
      <c r="P34" s="1955"/>
      <c r="Q34" s="1957"/>
      <c r="R34" s="1964"/>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c r="AN34" s="1965"/>
      <c r="AO34" s="1965"/>
      <c r="AP34" s="1965"/>
      <c r="AQ34" s="1965"/>
      <c r="AR34" s="1965"/>
      <c r="AS34" s="1965"/>
      <c r="AT34" s="1965"/>
      <c r="AU34" s="1965"/>
      <c r="AV34" s="1965"/>
      <c r="AW34" s="1965"/>
      <c r="AX34" s="1965"/>
      <c r="AY34" s="1965"/>
      <c r="AZ34" s="1965"/>
      <c r="BA34" s="1965"/>
      <c r="BB34" s="1965"/>
      <c r="BC34" s="1965"/>
      <c r="BD34" s="1966"/>
      <c r="BE34" s="1196"/>
    </row>
    <row r="35" spans="1:58" ht="15.75" customHeight="1">
      <c r="A35" s="1192"/>
      <c r="B35" s="1951"/>
      <c r="C35" s="1952"/>
      <c r="D35" s="1952"/>
      <c r="E35" s="1952"/>
      <c r="F35" s="1952"/>
      <c r="G35" s="1952"/>
      <c r="H35" s="1952"/>
      <c r="I35" s="1952"/>
      <c r="J35" s="1955"/>
      <c r="K35" s="1955"/>
      <c r="L35" s="1955"/>
      <c r="M35" s="1955"/>
      <c r="N35" s="1955"/>
      <c r="O35" s="1955"/>
      <c r="P35" s="1955"/>
      <c r="Q35" s="1955"/>
      <c r="R35" s="1967">
        <v>0.3</v>
      </c>
      <c r="S35" s="1967"/>
      <c r="T35" s="1967"/>
      <c r="U35" s="1967"/>
      <c r="V35" s="1967">
        <v>0.4</v>
      </c>
      <c r="W35" s="1967"/>
      <c r="X35" s="1967"/>
      <c r="Y35" s="1967"/>
      <c r="Z35" s="1967">
        <v>0.5</v>
      </c>
      <c r="AA35" s="1967"/>
      <c r="AB35" s="1967"/>
      <c r="AC35" s="1967"/>
      <c r="AD35" s="1967">
        <v>0.6</v>
      </c>
      <c r="AE35" s="1967"/>
      <c r="AF35" s="1967"/>
      <c r="AG35" s="1967"/>
      <c r="AH35" s="1967">
        <v>0.7</v>
      </c>
      <c r="AI35" s="1967"/>
      <c r="AJ35" s="1967"/>
      <c r="AK35" s="1967"/>
      <c r="AL35" s="1972">
        <v>0.8</v>
      </c>
      <c r="AM35" s="1973"/>
      <c r="AN35" s="1973"/>
      <c r="AO35" s="1974"/>
      <c r="AP35" s="1975">
        <v>1.2</v>
      </c>
      <c r="AQ35" s="1976"/>
      <c r="AR35" s="1977"/>
      <c r="AS35" s="1969" t="s">
        <v>2427</v>
      </c>
      <c r="AT35" s="1970"/>
      <c r="AU35" s="1970"/>
      <c r="AV35" s="1970"/>
      <c r="AW35" s="1970"/>
      <c r="AX35" s="1978"/>
      <c r="AY35" s="1969" t="s">
        <v>2426</v>
      </c>
      <c r="AZ35" s="1970"/>
      <c r="BA35" s="1970"/>
      <c r="BB35" s="1970"/>
      <c r="BC35" s="1970"/>
      <c r="BD35" s="1971"/>
      <c r="BE35" s="1196"/>
    </row>
    <row r="36" spans="1:58" ht="15.75" customHeight="1">
      <c r="A36" s="1192"/>
      <c r="B36" s="1988" t="s">
        <v>2425</v>
      </c>
      <c r="C36" s="1989"/>
      <c r="D36" s="1989"/>
      <c r="E36" s="1989"/>
      <c r="F36" s="1989"/>
      <c r="G36" s="1989"/>
      <c r="H36" s="1989"/>
      <c r="I36" s="1989"/>
      <c r="J36" s="1990" t="s">
        <v>2424</v>
      </c>
      <c r="K36" s="1990"/>
      <c r="L36" s="1990"/>
      <c r="M36" s="1990"/>
      <c r="N36" s="1990">
        <v>55</v>
      </c>
      <c r="O36" s="1990"/>
      <c r="P36" s="1990"/>
      <c r="Q36" s="1990"/>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79"/>
      <c r="AM36" s="1980"/>
      <c r="AN36" s="1980"/>
      <c r="AO36" s="1981"/>
      <c r="AP36" s="1979"/>
      <c r="AQ36" s="1980"/>
      <c r="AR36" s="1981"/>
      <c r="AS36" s="1982">
        <f t="shared" ref="AS36:AS47" si="2">SUM(R36:AR36)</f>
        <v>0</v>
      </c>
      <c r="AT36" s="1983"/>
      <c r="AU36" s="1983"/>
      <c r="AV36" s="1983"/>
      <c r="AW36" s="1983"/>
      <c r="AX36" s="1984"/>
      <c r="AY36" s="1985">
        <f t="shared" ref="AY36:AY47" si="3">AS36/$J$29</f>
        <v>0</v>
      </c>
      <c r="AZ36" s="1986"/>
      <c r="BA36" s="1986"/>
      <c r="BB36" s="1986"/>
      <c r="BC36" s="1986"/>
      <c r="BD36" s="1987"/>
      <c r="BE36" s="1196"/>
    </row>
    <row r="37" spans="1:58" ht="15.75" customHeight="1">
      <c r="A37" s="1192"/>
      <c r="B37" s="1988" t="s">
        <v>2423</v>
      </c>
      <c r="C37" s="1989"/>
      <c r="D37" s="1989"/>
      <c r="E37" s="1989"/>
      <c r="F37" s="1989"/>
      <c r="G37" s="1989"/>
      <c r="H37" s="1989"/>
      <c r="I37" s="1989"/>
      <c r="J37" s="1990" t="s">
        <v>2422</v>
      </c>
      <c r="K37" s="1990"/>
      <c r="L37" s="1990"/>
      <c r="M37" s="1990"/>
      <c r="N37" s="1990">
        <v>55</v>
      </c>
      <c r="O37" s="1990"/>
      <c r="P37" s="1990"/>
      <c r="Q37" s="1990"/>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79"/>
      <c r="AM37" s="1980"/>
      <c r="AN37" s="1980"/>
      <c r="AO37" s="1981"/>
      <c r="AP37" s="1979"/>
      <c r="AQ37" s="1980"/>
      <c r="AR37" s="1981"/>
      <c r="AS37" s="1982">
        <f t="shared" si="2"/>
        <v>0</v>
      </c>
      <c r="AT37" s="1983"/>
      <c r="AU37" s="1983"/>
      <c r="AV37" s="1983"/>
      <c r="AW37" s="1983"/>
      <c r="AX37" s="1984"/>
      <c r="AY37" s="1985">
        <f t="shared" si="3"/>
        <v>0</v>
      </c>
      <c r="AZ37" s="1986"/>
      <c r="BA37" s="1986"/>
      <c r="BB37" s="1986"/>
      <c r="BC37" s="1986"/>
      <c r="BD37" s="1987"/>
      <c r="BE37" s="1196"/>
    </row>
    <row r="38" spans="1:58" ht="15.75" customHeight="1">
      <c r="A38" s="1192"/>
      <c r="B38" s="1988" t="s">
        <v>2421</v>
      </c>
      <c r="C38" s="1989"/>
      <c r="D38" s="1989"/>
      <c r="E38" s="1989"/>
      <c r="F38" s="1989"/>
      <c r="G38" s="1989"/>
      <c r="H38" s="1989"/>
      <c r="I38" s="1989"/>
      <c r="J38" s="1990" t="s">
        <v>2420</v>
      </c>
      <c r="K38" s="1990"/>
      <c r="L38" s="1990"/>
      <c r="M38" s="1990"/>
      <c r="N38" s="1990">
        <v>55</v>
      </c>
      <c r="O38" s="1990"/>
      <c r="P38" s="1990"/>
      <c r="Q38" s="1990"/>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79"/>
      <c r="AM38" s="1980"/>
      <c r="AN38" s="1980"/>
      <c r="AO38" s="1981"/>
      <c r="AP38" s="1979"/>
      <c r="AQ38" s="1980"/>
      <c r="AR38" s="1981"/>
      <c r="AS38" s="1982">
        <f t="shared" si="2"/>
        <v>0</v>
      </c>
      <c r="AT38" s="1983"/>
      <c r="AU38" s="1983"/>
      <c r="AV38" s="1983"/>
      <c r="AW38" s="1983"/>
      <c r="AX38" s="1984"/>
      <c r="AY38" s="1985">
        <f t="shared" si="3"/>
        <v>0</v>
      </c>
      <c r="AZ38" s="1986"/>
      <c r="BA38" s="1986"/>
      <c r="BB38" s="1986"/>
      <c r="BC38" s="1986"/>
      <c r="BD38" s="1987"/>
      <c r="BE38" s="1196"/>
    </row>
    <row r="39" spans="1:58" ht="15.75" customHeight="1">
      <c r="A39" s="1192"/>
      <c r="B39" s="1988" t="s">
        <v>2419</v>
      </c>
      <c r="C39" s="1989"/>
      <c r="D39" s="1989"/>
      <c r="E39" s="1989"/>
      <c r="F39" s="1989"/>
      <c r="G39" s="1989"/>
      <c r="H39" s="1989"/>
      <c r="I39" s="1989"/>
      <c r="J39" s="1990"/>
      <c r="K39" s="1990"/>
      <c r="L39" s="1990"/>
      <c r="M39" s="1990"/>
      <c r="N39" s="1990"/>
      <c r="O39" s="1990"/>
      <c r="P39" s="1990"/>
      <c r="Q39" s="1990"/>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79"/>
      <c r="AM39" s="1980"/>
      <c r="AN39" s="1980"/>
      <c r="AO39" s="1981"/>
      <c r="AP39" s="1979"/>
      <c r="AQ39" s="1980"/>
      <c r="AR39" s="1981"/>
      <c r="AS39" s="1982">
        <f t="shared" si="2"/>
        <v>0</v>
      </c>
      <c r="AT39" s="1983"/>
      <c r="AU39" s="1983"/>
      <c r="AV39" s="1983"/>
      <c r="AW39" s="1983"/>
      <c r="AX39" s="1984"/>
      <c r="AY39" s="1985">
        <f t="shared" si="3"/>
        <v>0</v>
      </c>
      <c r="AZ39" s="1986"/>
      <c r="BA39" s="1986"/>
      <c r="BB39" s="1986"/>
      <c r="BC39" s="1986"/>
      <c r="BD39" s="1987"/>
      <c r="BE39" s="1196"/>
    </row>
    <row r="40" spans="1:58" ht="15.75" customHeight="1">
      <c r="A40" s="1192"/>
      <c r="B40" s="1988" t="s">
        <v>2419</v>
      </c>
      <c r="C40" s="1989"/>
      <c r="D40" s="1989"/>
      <c r="E40" s="1989"/>
      <c r="F40" s="1989"/>
      <c r="G40" s="1989"/>
      <c r="H40" s="1989"/>
      <c r="I40" s="1989"/>
      <c r="J40" s="1990"/>
      <c r="K40" s="1990"/>
      <c r="L40" s="1990"/>
      <c r="M40" s="1990"/>
      <c r="N40" s="1990"/>
      <c r="O40" s="1990"/>
      <c r="P40" s="1990"/>
      <c r="Q40" s="1990"/>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79"/>
      <c r="AM40" s="1980"/>
      <c r="AN40" s="1980"/>
      <c r="AO40" s="1981"/>
      <c r="AP40" s="1979"/>
      <c r="AQ40" s="1980"/>
      <c r="AR40" s="1981"/>
      <c r="AS40" s="1982">
        <f t="shared" si="2"/>
        <v>0</v>
      </c>
      <c r="AT40" s="1983"/>
      <c r="AU40" s="1983"/>
      <c r="AV40" s="1983"/>
      <c r="AW40" s="1983"/>
      <c r="AX40" s="1984"/>
      <c r="AY40" s="1985">
        <f t="shared" si="3"/>
        <v>0</v>
      </c>
      <c r="AZ40" s="1986"/>
      <c r="BA40" s="1986"/>
      <c r="BB40" s="1986"/>
      <c r="BC40" s="1986"/>
      <c r="BD40" s="1987"/>
      <c r="BE40" s="1196"/>
    </row>
    <row r="41" spans="1:58" ht="15.75" customHeight="1">
      <c r="A41" s="1192"/>
      <c r="B41" s="1988" t="s">
        <v>2418</v>
      </c>
      <c r="C41" s="1989"/>
      <c r="D41" s="1989"/>
      <c r="E41" s="1989"/>
      <c r="F41" s="1989"/>
      <c r="G41" s="1989"/>
      <c r="H41" s="1989"/>
      <c r="I41" s="1989"/>
      <c r="J41" s="1990"/>
      <c r="K41" s="1990"/>
      <c r="L41" s="1990"/>
      <c r="M41" s="1990"/>
      <c r="N41" s="1990"/>
      <c r="O41" s="1990"/>
      <c r="P41" s="1990"/>
      <c r="Q41" s="1990"/>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79"/>
      <c r="AM41" s="1980"/>
      <c r="AN41" s="1980"/>
      <c r="AO41" s="1981"/>
      <c r="AP41" s="1979"/>
      <c r="AQ41" s="1980"/>
      <c r="AR41" s="1981"/>
      <c r="AS41" s="1982">
        <f t="shared" si="2"/>
        <v>0</v>
      </c>
      <c r="AT41" s="1983"/>
      <c r="AU41" s="1983"/>
      <c r="AV41" s="1983"/>
      <c r="AW41" s="1983"/>
      <c r="AX41" s="1984"/>
      <c r="AY41" s="1985">
        <f t="shared" si="3"/>
        <v>0</v>
      </c>
      <c r="AZ41" s="1986"/>
      <c r="BA41" s="1986"/>
      <c r="BB41" s="1986"/>
      <c r="BC41" s="1986"/>
      <c r="BD41" s="1987"/>
      <c r="BE41" s="1196"/>
    </row>
    <row r="42" spans="1:58" ht="15.75" customHeight="1">
      <c r="A42" s="1192"/>
      <c r="B42" s="1988" t="s">
        <v>2418</v>
      </c>
      <c r="C42" s="1989"/>
      <c r="D42" s="1989"/>
      <c r="E42" s="1989"/>
      <c r="F42" s="1989"/>
      <c r="G42" s="1989"/>
      <c r="H42" s="1989"/>
      <c r="I42" s="1989"/>
      <c r="J42" s="1990"/>
      <c r="K42" s="1990"/>
      <c r="L42" s="1990"/>
      <c r="M42" s="1990"/>
      <c r="N42" s="1990"/>
      <c r="O42" s="1990"/>
      <c r="P42" s="1990"/>
      <c r="Q42" s="1990"/>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79"/>
      <c r="AM42" s="1980"/>
      <c r="AN42" s="1980"/>
      <c r="AO42" s="1981"/>
      <c r="AP42" s="1979"/>
      <c r="AQ42" s="1980"/>
      <c r="AR42" s="1981"/>
      <c r="AS42" s="1982">
        <f t="shared" si="2"/>
        <v>0</v>
      </c>
      <c r="AT42" s="1983"/>
      <c r="AU42" s="1983"/>
      <c r="AV42" s="1983"/>
      <c r="AW42" s="1983"/>
      <c r="AX42" s="1984"/>
      <c r="AY42" s="1985">
        <f t="shared" si="3"/>
        <v>0</v>
      </c>
      <c r="AZ42" s="1986"/>
      <c r="BA42" s="1986"/>
      <c r="BB42" s="1986"/>
      <c r="BC42" s="1986"/>
      <c r="BD42" s="1987"/>
      <c r="BE42" s="1196"/>
    </row>
    <row r="43" spans="1:58" ht="15.75" customHeight="1">
      <c r="A43" s="1192"/>
      <c r="B43" s="1992" t="s">
        <v>2417</v>
      </c>
      <c r="C43" s="1993"/>
      <c r="D43" s="1993"/>
      <c r="E43" s="1993"/>
      <c r="F43" s="1993"/>
      <c r="G43" s="1993"/>
      <c r="H43" s="1993"/>
      <c r="I43" s="1993"/>
      <c r="J43" s="1990"/>
      <c r="K43" s="1990"/>
      <c r="L43" s="1990"/>
      <c r="M43" s="1990"/>
      <c r="N43" s="1990"/>
      <c r="O43" s="1990"/>
      <c r="P43" s="1990"/>
      <c r="Q43" s="1990"/>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79"/>
      <c r="AM43" s="1980"/>
      <c r="AN43" s="1980"/>
      <c r="AO43" s="1981"/>
      <c r="AP43" s="1979"/>
      <c r="AQ43" s="1980"/>
      <c r="AR43" s="1981"/>
      <c r="AS43" s="1982">
        <f t="shared" si="2"/>
        <v>0</v>
      </c>
      <c r="AT43" s="1983"/>
      <c r="AU43" s="1983"/>
      <c r="AV43" s="1983"/>
      <c r="AW43" s="1983"/>
      <c r="AX43" s="1984"/>
      <c r="AY43" s="1985">
        <f t="shared" si="3"/>
        <v>0</v>
      </c>
      <c r="AZ43" s="1986"/>
      <c r="BA43" s="1986"/>
      <c r="BB43" s="1986"/>
      <c r="BC43" s="1986"/>
      <c r="BD43" s="1987"/>
      <c r="BE43" s="1196"/>
    </row>
    <row r="44" spans="1:58" ht="15.75" customHeight="1">
      <c r="A44" s="1192"/>
      <c r="B44" s="1992" t="s">
        <v>2416</v>
      </c>
      <c r="C44" s="1993"/>
      <c r="D44" s="1993"/>
      <c r="E44" s="1993"/>
      <c r="F44" s="1993"/>
      <c r="G44" s="1993"/>
      <c r="H44" s="1993"/>
      <c r="I44" s="1993"/>
      <c r="J44" s="1990"/>
      <c r="K44" s="1990"/>
      <c r="L44" s="1990"/>
      <c r="M44" s="1990"/>
      <c r="N44" s="1990"/>
      <c r="O44" s="1990"/>
      <c r="P44" s="1990"/>
      <c r="Q44" s="1990"/>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79"/>
      <c r="AM44" s="1980"/>
      <c r="AN44" s="1980"/>
      <c r="AO44" s="1981"/>
      <c r="AP44" s="1979"/>
      <c r="AQ44" s="1980"/>
      <c r="AR44" s="1981"/>
      <c r="AS44" s="1982">
        <f t="shared" si="2"/>
        <v>0</v>
      </c>
      <c r="AT44" s="1983"/>
      <c r="AU44" s="1983"/>
      <c r="AV44" s="1983"/>
      <c r="AW44" s="1983"/>
      <c r="AX44" s="1984"/>
      <c r="AY44" s="1985">
        <f t="shared" si="3"/>
        <v>0</v>
      </c>
      <c r="AZ44" s="1986"/>
      <c r="BA44" s="1986"/>
      <c r="BB44" s="1986"/>
      <c r="BC44" s="1986"/>
      <c r="BD44" s="1987"/>
      <c r="BE44" s="1196"/>
    </row>
    <row r="45" spans="1:58" ht="15.75" customHeight="1">
      <c r="A45" s="1192"/>
      <c r="B45" s="1992" t="s">
        <v>2415</v>
      </c>
      <c r="C45" s="1993"/>
      <c r="D45" s="1993"/>
      <c r="E45" s="1993"/>
      <c r="F45" s="1993"/>
      <c r="G45" s="1993"/>
      <c r="H45" s="1993"/>
      <c r="I45" s="1993"/>
      <c r="J45" s="1990"/>
      <c r="K45" s="1990"/>
      <c r="L45" s="1990"/>
      <c r="M45" s="1990"/>
      <c r="N45" s="1990"/>
      <c r="O45" s="1990"/>
      <c r="P45" s="1990"/>
      <c r="Q45" s="1990"/>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79"/>
      <c r="AM45" s="1980"/>
      <c r="AN45" s="1980"/>
      <c r="AO45" s="1981"/>
      <c r="AP45" s="1979"/>
      <c r="AQ45" s="1980"/>
      <c r="AR45" s="1981"/>
      <c r="AS45" s="1982">
        <f t="shared" si="2"/>
        <v>0</v>
      </c>
      <c r="AT45" s="1983"/>
      <c r="AU45" s="1983"/>
      <c r="AV45" s="1983"/>
      <c r="AW45" s="1983"/>
      <c r="AX45" s="1984"/>
      <c r="AY45" s="1985">
        <f t="shared" si="3"/>
        <v>0</v>
      </c>
      <c r="AZ45" s="1986"/>
      <c r="BA45" s="1986"/>
      <c r="BB45" s="1986"/>
      <c r="BC45" s="1986"/>
      <c r="BD45" s="1987"/>
      <c r="BE45" s="1196"/>
    </row>
    <row r="46" spans="1:58" ht="15.75" customHeight="1">
      <c r="A46" s="1192"/>
      <c r="B46" s="1992" t="s">
        <v>2339</v>
      </c>
      <c r="C46" s="1993"/>
      <c r="D46" s="1993"/>
      <c r="E46" s="1993"/>
      <c r="F46" s="1993"/>
      <c r="G46" s="1993"/>
      <c r="H46" s="1993"/>
      <c r="I46" s="1993"/>
      <c r="J46" s="1990"/>
      <c r="K46" s="1990"/>
      <c r="L46" s="1990"/>
      <c r="M46" s="1990"/>
      <c r="N46" s="1990">
        <v>99</v>
      </c>
      <c r="O46" s="1990"/>
      <c r="P46" s="1990"/>
      <c r="Q46" s="1990"/>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79"/>
      <c r="AM46" s="1980"/>
      <c r="AN46" s="1980"/>
      <c r="AO46" s="1981"/>
      <c r="AP46" s="1979"/>
      <c r="AQ46" s="1980"/>
      <c r="AR46" s="1981"/>
      <c r="AS46" s="1982">
        <f t="shared" si="2"/>
        <v>0</v>
      </c>
      <c r="AT46" s="1983"/>
      <c r="AU46" s="1983"/>
      <c r="AV46" s="1983"/>
      <c r="AW46" s="1983"/>
      <c r="AX46" s="1984"/>
      <c r="AY46" s="1985">
        <f t="shared" si="3"/>
        <v>0</v>
      </c>
      <c r="AZ46" s="1986"/>
      <c r="BA46" s="1986"/>
      <c r="BB46" s="1986"/>
      <c r="BC46" s="1986"/>
      <c r="BD46" s="1987"/>
      <c r="BE46" s="1196"/>
    </row>
    <row r="47" spans="1:58" ht="15.75" customHeight="1" thickBot="1">
      <c r="A47" s="1192"/>
      <c r="B47" s="1994" t="s">
        <v>300</v>
      </c>
      <c r="C47" s="1995"/>
      <c r="D47" s="1995"/>
      <c r="E47" s="1995"/>
      <c r="F47" s="1995"/>
      <c r="G47" s="1995"/>
      <c r="H47" s="1995"/>
      <c r="I47" s="1995"/>
      <c r="J47" s="1996"/>
      <c r="K47" s="1996"/>
      <c r="L47" s="1996"/>
      <c r="M47" s="1996"/>
      <c r="N47" s="1996"/>
      <c r="O47" s="1996"/>
      <c r="P47" s="1996"/>
      <c r="Q47" s="1996"/>
      <c r="R47" s="1997"/>
      <c r="S47" s="1997"/>
      <c r="T47" s="1997"/>
      <c r="U47" s="1997"/>
      <c r="V47" s="1997"/>
      <c r="W47" s="1997"/>
      <c r="X47" s="1997"/>
      <c r="Y47" s="1997"/>
      <c r="Z47" s="1997"/>
      <c r="AA47" s="1997"/>
      <c r="AB47" s="1997"/>
      <c r="AC47" s="1997"/>
      <c r="AD47" s="1997"/>
      <c r="AE47" s="1997"/>
      <c r="AF47" s="1997"/>
      <c r="AG47" s="1997"/>
      <c r="AH47" s="1997"/>
      <c r="AI47" s="1997"/>
      <c r="AJ47" s="1997"/>
      <c r="AK47" s="1997"/>
      <c r="AL47" s="2001"/>
      <c r="AM47" s="2002"/>
      <c r="AN47" s="2002"/>
      <c r="AO47" s="2003"/>
      <c r="AP47" s="2001"/>
      <c r="AQ47" s="2002"/>
      <c r="AR47" s="2003"/>
      <c r="AS47" s="1982">
        <f t="shared" si="2"/>
        <v>0</v>
      </c>
      <c r="AT47" s="1983"/>
      <c r="AU47" s="1983"/>
      <c r="AV47" s="1983"/>
      <c r="AW47" s="1983"/>
      <c r="AX47" s="1984"/>
      <c r="AY47" s="1998">
        <f t="shared" si="3"/>
        <v>0</v>
      </c>
      <c r="AZ47" s="1999"/>
      <c r="BA47" s="1999"/>
      <c r="BB47" s="1999"/>
      <c r="BC47" s="1999"/>
      <c r="BD47" s="2000"/>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4" t="s">
        <v>2412</v>
      </c>
      <c r="C50" s="2005"/>
      <c r="D50" s="2005"/>
      <c r="E50" s="2005"/>
      <c r="F50" s="2005"/>
      <c r="G50" s="2005"/>
      <c r="H50" s="2005"/>
      <c r="I50" s="2005"/>
      <c r="J50" s="2005"/>
      <c r="K50" s="2005"/>
      <c r="L50" s="2005"/>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c r="AN50" s="2005"/>
      <c r="AO50" s="2006"/>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07" t="s">
        <v>2405</v>
      </c>
      <c r="C51" s="2008"/>
      <c r="D51" s="2008"/>
      <c r="E51" s="2008"/>
      <c r="F51" s="2008"/>
      <c r="G51" s="2008"/>
      <c r="H51" s="2008"/>
      <c r="I51" s="2008"/>
      <c r="J51" s="2008" t="s">
        <v>2411</v>
      </c>
      <c r="K51" s="2008"/>
      <c r="L51" s="2008"/>
      <c r="M51" s="2008"/>
      <c r="N51" s="2008"/>
      <c r="O51" s="2008"/>
      <c r="P51" s="2008"/>
      <c r="Q51" s="2008"/>
      <c r="R51" s="2009" t="s">
        <v>2410</v>
      </c>
      <c r="S51" s="2009"/>
      <c r="T51" s="2009"/>
      <c r="U51" s="2009"/>
      <c r="V51" s="2009"/>
      <c r="W51" s="2009"/>
      <c r="X51" s="2009"/>
      <c r="Y51" s="2009"/>
      <c r="Z51" s="2009" t="s">
        <v>2409</v>
      </c>
      <c r="AA51" s="2009"/>
      <c r="AB51" s="2009"/>
      <c r="AC51" s="2009"/>
      <c r="AD51" s="2009"/>
      <c r="AE51" s="2009"/>
      <c r="AF51" s="2009"/>
      <c r="AG51" s="2009"/>
      <c r="AH51" s="2009" t="s">
        <v>2408</v>
      </c>
      <c r="AI51" s="2009"/>
      <c r="AJ51" s="2009"/>
      <c r="AK51" s="2009"/>
      <c r="AL51" s="2009"/>
      <c r="AM51" s="2009"/>
      <c r="AN51" s="2009"/>
      <c r="AO51" s="2010"/>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2" t="s">
        <v>2407</v>
      </c>
      <c r="C52" s="1993"/>
      <c r="D52" s="1993"/>
      <c r="E52" s="1993"/>
      <c r="F52" s="1993"/>
      <c r="G52" s="1993"/>
      <c r="H52" s="1993"/>
      <c r="I52" s="1993"/>
      <c r="J52" s="2011">
        <v>0</v>
      </c>
      <c r="K52" s="2011"/>
      <c r="L52" s="2011"/>
      <c r="M52" s="2011"/>
      <c r="N52" s="2011"/>
      <c r="O52" s="2011"/>
      <c r="P52" s="2011"/>
      <c r="Q52" s="2011"/>
      <c r="R52" s="2012">
        <v>0</v>
      </c>
      <c r="S52" s="2012"/>
      <c r="T52" s="2012"/>
      <c r="U52" s="2012"/>
      <c r="V52" s="2012"/>
      <c r="W52" s="2012"/>
      <c r="X52" s="2012"/>
      <c r="Y52" s="2012"/>
      <c r="Z52" s="2013">
        <v>0</v>
      </c>
      <c r="AA52" s="2013"/>
      <c r="AB52" s="2013"/>
      <c r="AC52" s="2013"/>
      <c r="AD52" s="2013"/>
      <c r="AE52" s="2013"/>
      <c r="AF52" s="2013"/>
      <c r="AG52" s="2013"/>
      <c r="AH52" s="2014"/>
      <c r="AI52" s="2014"/>
      <c r="AJ52" s="2014"/>
      <c r="AK52" s="2014"/>
      <c r="AL52" s="2014"/>
      <c r="AM52" s="2014"/>
      <c r="AN52" s="2014"/>
      <c r="AO52" s="2015"/>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2" t="s">
        <v>2406</v>
      </c>
      <c r="C53" s="1993"/>
      <c r="D53" s="1993"/>
      <c r="E53" s="1993"/>
      <c r="F53" s="1993"/>
      <c r="G53" s="1993"/>
      <c r="H53" s="1993"/>
      <c r="I53" s="1993"/>
      <c r="J53" s="2011">
        <v>0</v>
      </c>
      <c r="K53" s="2011"/>
      <c r="L53" s="2011"/>
      <c r="M53" s="2011"/>
      <c r="N53" s="2011"/>
      <c r="O53" s="2011"/>
      <c r="P53" s="2011"/>
      <c r="Q53" s="2011"/>
      <c r="R53" s="2012">
        <v>0</v>
      </c>
      <c r="S53" s="2012"/>
      <c r="T53" s="2012"/>
      <c r="U53" s="2012"/>
      <c r="V53" s="2012"/>
      <c r="W53" s="2012"/>
      <c r="X53" s="2012"/>
      <c r="Y53" s="2012"/>
      <c r="Z53" s="2013">
        <v>0</v>
      </c>
      <c r="AA53" s="2013"/>
      <c r="AB53" s="2013"/>
      <c r="AC53" s="2013"/>
      <c r="AD53" s="2013"/>
      <c r="AE53" s="2013"/>
      <c r="AF53" s="2013"/>
      <c r="AG53" s="2013"/>
      <c r="AH53" s="2014"/>
      <c r="AI53" s="2014"/>
      <c r="AJ53" s="2014"/>
      <c r="AK53" s="2014"/>
      <c r="AL53" s="2014"/>
      <c r="AM53" s="2014"/>
      <c r="AN53" s="2014"/>
      <c r="AO53" s="2015"/>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2"/>
      <c r="C54" s="1993"/>
      <c r="D54" s="1993"/>
      <c r="E54" s="1993"/>
      <c r="F54" s="1993"/>
      <c r="G54" s="1993"/>
      <c r="H54" s="1993"/>
      <c r="I54" s="1993"/>
      <c r="J54" s="2011"/>
      <c r="K54" s="2011"/>
      <c r="L54" s="2011"/>
      <c r="M54" s="2011"/>
      <c r="N54" s="2011"/>
      <c r="O54" s="2011"/>
      <c r="P54" s="2011"/>
      <c r="Q54" s="2011"/>
      <c r="R54" s="2012"/>
      <c r="S54" s="2012"/>
      <c r="T54" s="2012"/>
      <c r="U54" s="2012"/>
      <c r="V54" s="2012"/>
      <c r="W54" s="2012"/>
      <c r="X54" s="2012"/>
      <c r="Y54" s="2012"/>
      <c r="Z54" s="2013"/>
      <c r="AA54" s="2013"/>
      <c r="AB54" s="2013"/>
      <c r="AC54" s="2013"/>
      <c r="AD54" s="2013"/>
      <c r="AE54" s="2013"/>
      <c r="AF54" s="2013"/>
      <c r="AG54" s="2013"/>
      <c r="AH54" s="2014"/>
      <c r="AI54" s="2014"/>
      <c r="AJ54" s="2014"/>
      <c r="AK54" s="2014"/>
      <c r="AL54" s="2014"/>
      <c r="AM54" s="2014"/>
      <c r="AN54" s="2014"/>
      <c r="AO54" s="2015"/>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2"/>
      <c r="C55" s="1993"/>
      <c r="D55" s="1993"/>
      <c r="E55" s="1993"/>
      <c r="F55" s="1993"/>
      <c r="G55" s="1993"/>
      <c r="H55" s="1993"/>
      <c r="I55" s="1993"/>
      <c r="J55" s="2011"/>
      <c r="K55" s="2011"/>
      <c r="L55" s="2011"/>
      <c r="M55" s="2011"/>
      <c r="N55" s="2011"/>
      <c r="O55" s="2011"/>
      <c r="P55" s="2011"/>
      <c r="Q55" s="2011"/>
      <c r="R55" s="2012"/>
      <c r="S55" s="2012"/>
      <c r="T55" s="2012"/>
      <c r="U55" s="2012"/>
      <c r="V55" s="2012"/>
      <c r="W55" s="2012"/>
      <c r="X55" s="2012"/>
      <c r="Y55" s="2012"/>
      <c r="Z55" s="2013"/>
      <c r="AA55" s="2013"/>
      <c r="AB55" s="2013"/>
      <c r="AC55" s="2013"/>
      <c r="AD55" s="2013"/>
      <c r="AE55" s="2013"/>
      <c r="AF55" s="2013"/>
      <c r="AG55" s="2013"/>
      <c r="AH55" s="2014"/>
      <c r="AI55" s="2014"/>
      <c r="AJ55" s="2014"/>
      <c r="AK55" s="2014"/>
      <c r="AL55" s="2014"/>
      <c r="AM55" s="2014"/>
      <c r="AN55" s="2014"/>
      <c r="AO55" s="2015"/>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1992"/>
      <c r="C56" s="1993"/>
      <c r="D56" s="1993"/>
      <c r="E56" s="1993"/>
      <c r="F56" s="1993"/>
      <c r="G56" s="1993"/>
      <c r="H56" s="1993"/>
      <c r="I56" s="1993"/>
      <c r="J56" s="2011"/>
      <c r="K56" s="2011"/>
      <c r="L56" s="2011"/>
      <c r="M56" s="2011"/>
      <c r="N56" s="2011"/>
      <c r="O56" s="2011"/>
      <c r="P56" s="2011"/>
      <c r="Q56" s="2011"/>
      <c r="R56" s="2012"/>
      <c r="S56" s="2012"/>
      <c r="T56" s="2012"/>
      <c r="U56" s="2012"/>
      <c r="V56" s="2012"/>
      <c r="W56" s="2012"/>
      <c r="X56" s="2012"/>
      <c r="Y56" s="2012"/>
      <c r="Z56" s="2013"/>
      <c r="AA56" s="2013"/>
      <c r="AB56" s="2013"/>
      <c r="AC56" s="2013"/>
      <c r="AD56" s="2013"/>
      <c r="AE56" s="2013"/>
      <c r="AF56" s="2013"/>
      <c r="AG56" s="2013"/>
      <c r="AH56" s="2014"/>
      <c r="AI56" s="2014"/>
      <c r="AJ56" s="2014"/>
      <c r="AK56" s="2014"/>
      <c r="AL56" s="2014"/>
      <c r="AM56" s="2014"/>
      <c r="AN56" s="2014"/>
      <c r="AO56" s="2015"/>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5" t="s">
        <v>1586</v>
      </c>
      <c r="C57" s="2026"/>
      <c r="D57" s="2026"/>
      <c r="E57" s="2026"/>
      <c r="F57" s="2026"/>
      <c r="G57" s="2026"/>
      <c r="H57" s="2026"/>
      <c r="I57" s="2026"/>
      <c r="J57" s="2026"/>
      <c r="K57" s="2026"/>
      <c r="L57" s="2026"/>
      <c r="M57" s="2026"/>
      <c r="N57" s="2026"/>
      <c r="O57" s="2026"/>
      <c r="P57" s="2026"/>
      <c r="Q57" s="2026"/>
      <c r="R57" s="2027">
        <f>SUM(R52:Y56)</f>
        <v>0</v>
      </c>
      <c r="S57" s="2027"/>
      <c r="T57" s="2027"/>
      <c r="U57" s="2027"/>
      <c r="V57" s="2027"/>
      <c r="W57" s="2027"/>
      <c r="X57" s="2027"/>
      <c r="Y57" s="2027"/>
      <c r="Z57" s="2028">
        <f>SUM(Z52:AG56)</f>
        <v>0</v>
      </c>
      <c r="AA57" s="2028"/>
      <c r="AB57" s="2028"/>
      <c r="AC57" s="2028"/>
      <c r="AD57" s="2028"/>
      <c r="AE57" s="2028"/>
      <c r="AF57" s="2028"/>
      <c r="AG57" s="2028"/>
      <c r="AH57" s="2029"/>
      <c r="AI57" s="2029"/>
      <c r="AJ57" s="2029"/>
      <c r="AK57" s="2029"/>
      <c r="AL57" s="2029"/>
      <c r="AM57" s="2029"/>
      <c r="AN57" s="2029"/>
      <c r="AO57" s="2030"/>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6" t="s">
        <v>2405</v>
      </c>
      <c r="C59" s="2017"/>
      <c r="D59" s="2017"/>
      <c r="E59" s="2017"/>
      <c r="F59" s="2017"/>
      <c r="G59" s="2017"/>
      <c r="H59" s="2017"/>
      <c r="I59" s="2018"/>
      <c r="J59" s="1910" t="s">
        <v>2404</v>
      </c>
      <c r="K59" s="1910"/>
      <c r="L59" s="1910"/>
      <c r="M59" s="1910"/>
      <c r="N59" s="1910"/>
      <c r="O59" s="1910"/>
      <c r="P59" s="1910"/>
      <c r="Q59" s="1910"/>
      <c r="R59" s="1910"/>
      <c r="S59" s="1910"/>
      <c r="T59" s="1910"/>
      <c r="U59" s="1910"/>
      <c r="V59" s="1910"/>
      <c r="W59" s="1910"/>
      <c r="X59" s="1910"/>
      <c r="Y59" s="1910"/>
      <c r="Z59" s="1910"/>
      <c r="AA59" s="1910"/>
      <c r="AB59" s="1910"/>
      <c r="AC59" s="1910"/>
      <c r="AD59" s="1910"/>
      <c r="AE59" s="1910"/>
      <c r="AF59" s="1910"/>
      <c r="AG59" s="1910"/>
      <c r="AH59" s="1910"/>
      <c r="AI59" s="1910"/>
      <c r="AJ59" s="1910"/>
      <c r="AK59" s="1910"/>
      <c r="AL59" s="1910"/>
      <c r="AM59" s="1910"/>
      <c r="AN59" s="1910"/>
      <c r="AO59" s="1910"/>
      <c r="AP59" s="1910"/>
      <c r="AQ59" s="1910"/>
      <c r="AR59" s="1910"/>
      <c r="AS59" s="1910"/>
      <c r="AT59" s="1910"/>
      <c r="AU59" s="1910"/>
      <c r="AV59" s="1910"/>
      <c r="AW59" s="1911"/>
      <c r="AX59" s="1192"/>
      <c r="AY59" s="1192"/>
      <c r="AZ59" s="1192"/>
      <c r="BA59" s="1192"/>
      <c r="BB59" s="1192"/>
      <c r="BC59" s="1192"/>
      <c r="BD59" s="1192"/>
      <c r="BE59" s="1196"/>
    </row>
    <row r="60" spans="1:58" ht="15.75" customHeight="1">
      <c r="A60" s="1192"/>
      <c r="B60" s="2019" t="str">
        <f>IF(B52="", "", B52)</f>
        <v>Services Company 1</v>
      </c>
      <c r="C60" s="2020"/>
      <c r="D60" s="2020"/>
      <c r="E60" s="2020"/>
      <c r="F60" s="2020"/>
      <c r="G60" s="2020"/>
      <c r="H60" s="2020"/>
      <c r="I60" s="2021"/>
      <c r="J60" s="2022"/>
      <c r="K60" s="2023"/>
      <c r="L60" s="2023"/>
      <c r="M60" s="2023"/>
      <c r="N60" s="2023"/>
      <c r="O60" s="2023"/>
      <c r="P60" s="2023"/>
      <c r="Q60" s="2023"/>
      <c r="R60" s="2023"/>
      <c r="S60" s="2023"/>
      <c r="T60" s="2023"/>
      <c r="U60" s="2023"/>
      <c r="V60" s="2023"/>
      <c r="W60" s="2023"/>
      <c r="X60" s="2023"/>
      <c r="Y60" s="2023"/>
      <c r="Z60" s="2023"/>
      <c r="AA60" s="2023"/>
      <c r="AB60" s="2023"/>
      <c r="AC60" s="2023"/>
      <c r="AD60" s="2023"/>
      <c r="AE60" s="2023"/>
      <c r="AF60" s="2023"/>
      <c r="AG60" s="2023"/>
      <c r="AH60" s="2023"/>
      <c r="AI60" s="2023"/>
      <c r="AJ60" s="2023"/>
      <c r="AK60" s="2023"/>
      <c r="AL60" s="2023"/>
      <c r="AM60" s="2023"/>
      <c r="AN60" s="2023"/>
      <c r="AO60" s="2023"/>
      <c r="AP60" s="2023"/>
      <c r="AQ60" s="2023"/>
      <c r="AR60" s="2023"/>
      <c r="AS60" s="2023"/>
      <c r="AT60" s="2023"/>
      <c r="AU60" s="2023"/>
      <c r="AV60" s="2023"/>
      <c r="AW60" s="2024"/>
      <c r="AX60" s="1192"/>
      <c r="AY60" s="1192"/>
      <c r="AZ60" s="1192"/>
      <c r="BA60" s="1192"/>
      <c r="BB60" s="1192"/>
      <c r="BC60" s="1192"/>
      <c r="BD60" s="1192"/>
      <c r="BE60" s="1196"/>
    </row>
    <row r="61" spans="1:58" ht="15.75" customHeight="1">
      <c r="A61" s="1192"/>
      <c r="B61" s="2019" t="str">
        <f>IF(B53="", "", B53)</f>
        <v>Services Company 2</v>
      </c>
      <c r="C61" s="2020"/>
      <c r="D61" s="2020"/>
      <c r="E61" s="2020"/>
      <c r="F61" s="2020"/>
      <c r="G61" s="2020"/>
      <c r="H61" s="2020"/>
      <c r="I61" s="2021"/>
      <c r="J61" s="2022"/>
      <c r="K61" s="2023"/>
      <c r="L61" s="2023"/>
      <c r="M61" s="2023"/>
      <c r="N61" s="2023"/>
      <c r="O61" s="2023"/>
      <c r="P61" s="2023"/>
      <c r="Q61" s="2023"/>
      <c r="R61" s="2023"/>
      <c r="S61" s="2023"/>
      <c r="T61" s="2023"/>
      <c r="U61" s="2023"/>
      <c r="V61" s="2023"/>
      <c r="W61" s="2023"/>
      <c r="X61" s="2023"/>
      <c r="Y61" s="2023"/>
      <c r="Z61" s="2023"/>
      <c r="AA61" s="2023"/>
      <c r="AB61" s="2023"/>
      <c r="AC61" s="2023"/>
      <c r="AD61" s="2023"/>
      <c r="AE61" s="2023"/>
      <c r="AF61" s="2023"/>
      <c r="AG61" s="2023"/>
      <c r="AH61" s="2023"/>
      <c r="AI61" s="2023"/>
      <c r="AJ61" s="2023"/>
      <c r="AK61" s="2023"/>
      <c r="AL61" s="2023"/>
      <c r="AM61" s="2023"/>
      <c r="AN61" s="2023"/>
      <c r="AO61" s="2023"/>
      <c r="AP61" s="2023"/>
      <c r="AQ61" s="2023"/>
      <c r="AR61" s="2023"/>
      <c r="AS61" s="2023"/>
      <c r="AT61" s="2023"/>
      <c r="AU61" s="2023"/>
      <c r="AV61" s="2023"/>
      <c r="AW61" s="2024"/>
      <c r="AX61" s="1192"/>
      <c r="AY61" s="1192"/>
      <c r="AZ61" s="1192"/>
      <c r="BA61" s="1192"/>
      <c r="BB61" s="1192"/>
      <c r="BC61" s="1192"/>
      <c r="BD61" s="1192"/>
      <c r="BE61" s="1196"/>
    </row>
    <row r="62" spans="1:58" ht="15.75" customHeight="1">
      <c r="A62" s="1192"/>
      <c r="B62" s="2019" t="str">
        <f>IF(B54="", "", B54)</f>
        <v/>
      </c>
      <c r="C62" s="2020"/>
      <c r="D62" s="2020"/>
      <c r="E62" s="2020"/>
      <c r="F62" s="2020"/>
      <c r="G62" s="2020"/>
      <c r="H62" s="2020"/>
      <c r="I62" s="2021"/>
      <c r="J62" s="2022"/>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3"/>
      <c r="AK62" s="2023"/>
      <c r="AL62" s="2023"/>
      <c r="AM62" s="2023"/>
      <c r="AN62" s="2023"/>
      <c r="AO62" s="2023"/>
      <c r="AP62" s="2023"/>
      <c r="AQ62" s="2023"/>
      <c r="AR62" s="2023"/>
      <c r="AS62" s="2023"/>
      <c r="AT62" s="2023"/>
      <c r="AU62" s="2023"/>
      <c r="AV62" s="2023"/>
      <c r="AW62" s="2024"/>
      <c r="AX62" s="1192"/>
      <c r="AY62" s="1192"/>
      <c r="AZ62" s="1192"/>
      <c r="BA62" s="1192"/>
      <c r="BB62" s="1192"/>
      <c r="BC62" s="1192"/>
      <c r="BD62" s="1192"/>
      <c r="BE62" s="1196"/>
    </row>
    <row r="63" spans="1:58" ht="15.75" customHeight="1">
      <c r="A63" s="1192"/>
      <c r="B63" s="2019" t="str">
        <f>IF(B55="", "", B55)</f>
        <v/>
      </c>
      <c r="C63" s="2020"/>
      <c r="D63" s="2020"/>
      <c r="E63" s="2020"/>
      <c r="F63" s="2020"/>
      <c r="G63" s="2020"/>
      <c r="H63" s="2020"/>
      <c r="I63" s="2021"/>
      <c r="J63" s="2022"/>
      <c r="K63" s="2023"/>
      <c r="L63" s="2023"/>
      <c r="M63" s="2023"/>
      <c r="N63" s="2023"/>
      <c r="O63" s="2023"/>
      <c r="P63" s="2023"/>
      <c r="Q63" s="2023"/>
      <c r="R63" s="2023"/>
      <c r="S63" s="2023"/>
      <c r="T63" s="2023"/>
      <c r="U63" s="2023"/>
      <c r="V63" s="2023"/>
      <c r="W63" s="2023"/>
      <c r="X63" s="2023"/>
      <c r="Y63" s="2023"/>
      <c r="Z63" s="2023"/>
      <c r="AA63" s="2023"/>
      <c r="AB63" s="2023"/>
      <c r="AC63" s="2023"/>
      <c r="AD63" s="2023"/>
      <c r="AE63" s="2023"/>
      <c r="AF63" s="2023"/>
      <c r="AG63" s="2023"/>
      <c r="AH63" s="2023"/>
      <c r="AI63" s="2023"/>
      <c r="AJ63" s="2023"/>
      <c r="AK63" s="2023"/>
      <c r="AL63" s="2023"/>
      <c r="AM63" s="2023"/>
      <c r="AN63" s="2023"/>
      <c r="AO63" s="2023"/>
      <c r="AP63" s="2023"/>
      <c r="AQ63" s="2023"/>
      <c r="AR63" s="2023"/>
      <c r="AS63" s="2023"/>
      <c r="AT63" s="2023"/>
      <c r="AU63" s="2023"/>
      <c r="AV63" s="2023"/>
      <c r="AW63" s="2024"/>
      <c r="AX63" s="1192"/>
      <c r="AY63" s="1192"/>
      <c r="AZ63" s="1192"/>
      <c r="BA63" s="1192"/>
      <c r="BB63" s="1192"/>
      <c r="BC63" s="1192"/>
      <c r="BD63" s="1192"/>
      <c r="BE63" s="1196"/>
    </row>
    <row r="64" spans="1:58" ht="15.75" customHeight="1" thickBot="1">
      <c r="A64" s="1192"/>
      <c r="B64" s="2041" t="str">
        <f>IF(B56="", "", B56)</f>
        <v/>
      </c>
      <c r="C64" s="2042"/>
      <c r="D64" s="2042"/>
      <c r="E64" s="2042"/>
      <c r="F64" s="2042"/>
      <c r="G64" s="2042"/>
      <c r="H64" s="2042"/>
      <c r="I64" s="2043"/>
      <c r="J64" s="2044"/>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c r="AS64" s="2045"/>
      <c r="AT64" s="2045"/>
      <c r="AU64" s="2045"/>
      <c r="AV64" s="2045"/>
      <c r="AW64" s="2046"/>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09" t="s">
        <v>2402</v>
      </c>
      <c r="C68" s="1910"/>
      <c r="D68" s="1910"/>
      <c r="E68" s="1910"/>
      <c r="F68" s="1910"/>
      <c r="G68" s="1910"/>
      <c r="H68" s="1910"/>
      <c r="I68" s="1910"/>
      <c r="J68" s="1910"/>
      <c r="K68" s="1910"/>
      <c r="L68" s="1910"/>
      <c r="M68" s="1910"/>
      <c r="N68" s="1910"/>
      <c r="O68" s="1910"/>
      <c r="P68" s="1910"/>
      <c r="Q68" s="1910"/>
      <c r="R68" s="1910"/>
      <c r="S68" s="1910"/>
      <c r="T68" s="1910"/>
      <c r="U68" s="1910"/>
      <c r="V68" s="1910"/>
      <c r="W68" s="1910"/>
      <c r="X68" s="1910"/>
      <c r="Y68" s="1910"/>
      <c r="Z68" s="1910"/>
      <c r="AA68" s="1911"/>
      <c r="AB68" s="1192"/>
      <c r="AC68" s="2053" t="s">
        <v>2401</v>
      </c>
      <c r="AD68" s="2054"/>
      <c r="AE68" s="2054"/>
      <c r="AF68" s="2054"/>
      <c r="AG68" s="2054"/>
      <c r="AH68" s="2054"/>
      <c r="AI68" s="2054"/>
      <c r="AJ68" s="2054"/>
      <c r="AK68" s="2054"/>
      <c r="AL68" s="2054"/>
      <c r="AM68" s="2054"/>
      <c r="AN68" s="2054"/>
      <c r="AO68" s="2054"/>
      <c r="AP68" s="2054"/>
      <c r="AQ68" s="2054"/>
      <c r="AR68" s="2054"/>
      <c r="AS68" s="2054"/>
      <c r="AT68" s="2054"/>
      <c r="AU68" s="2054"/>
      <c r="AV68" s="2031" t="s">
        <v>670</v>
      </c>
      <c r="AW68" s="2032"/>
      <c r="AX68" s="2032"/>
      <c r="AY68" s="2032"/>
      <c r="AZ68" s="2032"/>
      <c r="BA68" s="2032"/>
      <c r="BB68" s="2032"/>
      <c r="BC68" s="2033"/>
      <c r="BD68" s="1192"/>
      <c r="BE68" s="1196"/>
      <c r="BM68" s="1201" t="s">
        <v>2400</v>
      </c>
    </row>
    <row r="69" spans="1:94" ht="15.75" customHeight="1" thickTop="1" thickBot="1">
      <c r="A69" s="1192"/>
      <c r="B69" s="2034" t="s">
        <v>2399</v>
      </c>
      <c r="C69" s="2035"/>
      <c r="D69" s="2035"/>
      <c r="E69" s="2035"/>
      <c r="F69" s="2035"/>
      <c r="G69" s="2035"/>
      <c r="H69" s="2035"/>
      <c r="I69" s="2035"/>
      <c r="J69" s="2035"/>
      <c r="K69" s="2035"/>
      <c r="L69" s="2035"/>
      <c r="M69" s="2035"/>
      <c r="N69" s="2035"/>
      <c r="O69" s="2036" t="s">
        <v>2398</v>
      </c>
      <c r="P69" s="2037"/>
      <c r="Q69" s="2037"/>
      <c r="R69" s="2037"/>
      <c r="S69" s="2037"/>
      <c r="T69" s="2037"/>
      <c r="U69" s="2037"/>
      <c r="V69" s="2037"/>
      <c r="W69" s="2037"/>
      <c r="X69" s="2037"/>
      <c r="Y69" s="2037"/>
      <c r="Z69" s="2037"/>
      <c r="AA69" s="2038"/>
      <c r="AB69" s="1192"/>
      <c r="AC69" s="2039" t="s">
        <v>2397</v>
      </c>
      <c r="AD69" s="2040"/>
      <c r="AE69" s="2040"/>
      <c r="AF69" s="2040"/>
      <c r="AG69" s="2040"/>
      <c r="AH69" s="2040"/>
      <c r="AI69" s="2040"/>
      <c r="AJ69" s="2040"/>
      <c r="AK69" s="2040"/>
      <c r="AL69" s="2040"/>
      <c r="AM69" s="2040"/>
      <c r="AN69" s="2040"/>
      <c r="AO69" s="2040"/>
      <c r="AP69" s="2040"/>
      <c r="AQ69" s="2040"/>
      <c r="AR69" s="2040"/>
      <c r="AS69" s="2040"/>
      <c r="AT69" s="2040"/>
      <c r="AU69" s="2040"/>
      <c r="AV69" s="2031" t="s">
        <v>670</v>
      </c>
      <c r="AW69" s="2032"/>
      <c r="AX69" s="2032"/>
      <c r="AY69" s="2032"/>
      <c r="AZ69" s="2032"/>
      <c r="BA69" s="2032"/>
      <c r="BB69" s="2032"/>
      <c r="BC69" s="2033"/>
      <c r="BD69" s="1192"/>
      <c r="BE69" s="1196"/>
      <c r="BM69" s="1202" t="s">
        <v>546</v>
      </c>
    </row>
    <row r="70" spans="1:94" ht="15.75" customHeight="1">
      <c r="A70" s="1192"/>
      <c r="B70" s="1988" t="s">
        <v>2396</v>
      </c>
      <c r="C70" s="1989"/>
      <c r="D70" s="1989"/>
      <c r="E70" s="1989"/>
      <c r="F70" s="1989"/>
      <c r="G70" s="1989"/>
      <c r="H70" s="1989"/>
      <c r="I70" s="1989"/>
      <c r="J70" s="1989"/>
      <c r="K70" s="1989"/>
      <c r="L70" s="1989"/>
      <c r="M70" s="1989"/>
      <c r="N70" s="1989"/>
      <c r="O70" s="2047">
        <v>0</v>
      </c>
      <c r="P70" s="2047"/>
      <c r="Q70" s="2047"/>
      <c r="R70" s="2047"/>
      <c r="S70" s="2047"/>
      <c r="T70" s="2047"/>
      <c r="U70" s="2047"/>
      <c r="V70" s="2047"/>
      <c r="W70" s="2047"/>
      <c r="X70" s="2047"/>
      <c r="Y70" s="2047"/>
      <c r="Z70" s="2047"/>
      <c r="AA70" s="2048"/>
      <c r="AB70" s="1192"/>
      <c r="AC70" s="2004" t="s">
        <v>2395</v>
      </c>
      <c r="AD70" s="2005"/>
      <c r="AE70" s="2005"/>
      <c r="AF70" s="2049"/>
      <c r="AG70" s="2049"/>
      <c r="AH70" s="2049"/>
      <c r="AI70" s="2049"/>
      <c r="AJ70" s="2049"/>
      <c r="AK70" s="2049"/>
      <c r="AL70" s="2049"/>
      <c r="AM70" s="2049"/>
      <c r="AN70" s="2049"/>
      <c r="AO70" s="2049"/>
      <c r="AP70" s="2049"/>
      <c r="AQ70" s="2049"/>
      <c r="AR70" s="2049"/>
      <c r="AS70" s="2049"/>
      <c r="AT70" s="2049"/>
      <c r="AU70" s="2050"/>
      <c r="AV70" s="1192"/>
      <c r="AW70" s="1192"/>
      <c r="AX70" s="1192"/>
      <c r="AY70" s="1192"/>
      <c r="AZ70" s="1192"/>
      <c r="BA70" s="1192"/>
      <c r="BB70" s="1192"/>
      <c r="BC70" s="1192"/>
      <c r="BD70" s="1192"/>
      <c r="BE70" s="1196"/>
      <c r="BM70" s="1203" t="s">
        <v>670</v>
      </c>
    </row>
    <row r="71" spans="1:94" ht="15.75" customHeight="1" thickBot="1">
      <c r="A71" s="1192"/>
      <c r="B71" s="1988" t="s">
        <v>2394</v>
      </c>
      <c r="C71" s="1989"/>
      <c r="D71" s="1989"/>
      <c r="E71" s="1989"/>
      <c r="F71" s="1989"/>
      <c r="G71" s="1989"/>
      <c r="H71" s="1989"/>
      <c r="I71" s="1989"/>
      <c r="J71" s="1989"/>
      <c r="K71" s="1989"/>
      <c r="L71" s="1989"/>
      <c r="M71" s="1989"/>
      <c r="N71" s="1989"/>
      <c r="O71" s="2047">
        <v>0</v>
      </c>
      <c r="P71" s="2047"/>
      <c r="Q71" s="2047"/>
      <c r="R71" s="2047"/>
      <c r="S71" s="2047"/>
      <c r="T71" s="2047"/>
      <c r="U71" s="2047"/>
      <c r="V71" s="2047"/>
      <c r="W71" s="2047"/>
      <c r="X71" s="2047"/>
      <c r="Y71" s="2047"/>
      <c r="Z71" s="2047"/>
      <c r="AA71" s="2048"/>
      <c r="AB71" s="1192"/>
      <c r="AC71" s="2051" t="s">
        <v>2393</v>
      </c>
      <c r="AD71" s="2052"/>
      <c r="AE71" s="2052"/>
      <c r="AF71" s="2045"/>
      <c r="AG71" s="2045"/>
      <c r="AH71" s="2045"/>
      <c r="AI71" s="2045"/>
      <c r="AJ71" s="2045"/>
      <c r="AK71" s="2045"/>
      <c r="AL71" s="2045"/>
      <c r="AM71" s="2045"/>
      <c r="AN71" s="2045"/>
      <c r="AO71" s="2045"/>
      <c r="AP71" s="2045"/>
      <c r="AQ71" s="2045"/>
      <c r="AR71" s="2045"/>
      <c r="AS71" s="2045"/>
      <c r="AT71" s="2045"/>
      <c r="AU71" s="2046"/>
      <c r="AV71" s="1192"/>
      <c r="AW71" s="1192"/>
      <c r="AX71" s="1192"/>
      <c r="AY71" s="1192"/>
      <c r="AZ71" s="1192"/>
      <c r="BA71" s="1192"/>
      <c r="BB71" s="1192"/>
      <c r="BC71" s="1192"/>
      <c r="BD71" s="1192"/>
      <c r="BE71" s="1196"/>
      <c r="BM71" s="1189" t="s">
        <v>2392</v>
      </c>
    </row>
    <row r="72" spans="1:94" ht="15.75" customHeight="1">
      <c r="A72" s="1192"/>
      <c r="B72" s="1988" t="s">
        <v>2391</v>
      </c>
      <c r="C72" s="1989"/>
      <c r="D72" s="1989"/>
      <c r="E72" s="1989"/>
      <c r="F72" s="1989"/>
      <c r="G72" s="1989"/>
      <c r="H72" s="1989"/>
      <c r="I72" s="1989"/>
      <c r="J72" s="1989"/>
      <c r="K72" s="1989"/>
      <c r="L72" s="1989"/>
      <c r="M72" s="1989"/>
      <c r="N72" s="1989"/>
      <c r="O72" s="2047">
        <v>0</v>
      </c>
      <c r="P72" s="2047"/>
      <c r="Q72" s="2047"/>
      <c r="R72" s="2047"/>
      <c r="S72" s="2047"/>
      <c r="T72" s="2047"/>
      <c r="U72" s="2047"/>
      <c r="V72" s="2047"/>
      <c r="W72" s="2047"/>
      <c r="X72" s="2047"/>
      <c r="Y72" s="2047"/>
      <c r="Z72" s="2047"/>
      <c r="AA72" s="2048"/>
      <c r="AB72" s="1192"/>
      <c r="AC72" s="2071" t="s">
        <v>2390</v>
      </c>
      <c r="AD72" s="2072"/>
      <c r="AE72" s="2072"/>
      <c r="AF72" s="2072"/>
      <c r="AG72" s="2072"/>
      <c r="AH72" s="2072"/>
      <c r="AI72" s="2072"/>
      <c r="AJ72" s="2072"/>
      <c r="AK72" s="2072"/>
      <c r="AL72" s="2072"/>
      <c r="AM72" s="2072"/>
      <c r="AN72" s="2072"/>
      <c r="AO72" s="2072"/>
      <c r="AP72" s="2072"/>
      <c r="AQ72" s="2072"/>
      <c r="AR72" s="2072"/>
      <c r="AS72" s="2072"/>
      <c r="AT72" s="2072"/>
      <c r="AU72" s="2072"/>
      <c r="AV72" s="2005"/>
      <c r="AW72" s="2005"/>
      <c r="AX72" s="2005"/>
      <c r="AY72" s="2005"/>
      <c r="AZ72" s="2005"/>
      <c r="BA72" s="2005"/>
      <c r="BB72" s="2005"/>
      <c r="BC72" s="2006"/>
      <c r="BD72" s="1192"/>
      <c r="BE72" s="1196"/>
    </row>
    <row r="73" spans="1:94" ht="15.75" customHeight="1">
      <c r="A73" s="1192"/>
      <c r="B73" s="1992" t="s">
        <v>2389</v>
      </c>
      <c r="C73" s="1993"/>
      <c r="D73" s="1993"/>
      <c r="E73" s="1993"/>
      <c r="F73" s="1993"/>
      <c r="G73" s="1993"/>
      <c r="H73" s="1993"/>
      <c r="I73" s="1993"/>
      <c r="J73" s="1993"/>
      <c r="K73" s="1993"/>
      <c r="L73" s="1993"/>
      <c r="M73" s="1993"/>
      <c r="N73" s="1993"/>
      <c r="O73" s="2047">
        <v>0</v>
      </c>
      <c r="P73" s="2047"/>
      <c r="Q73" s="2047"/>
      <c r="R73" s="2047"/>
      <c r="S73" s="2047"/>
      <c r="T73" s="2047"/>
      <c r="U73" s="2047"/>
      <c r="V73" s="2047"/>
      <c r="W73" s="2047"/>
      <c r="X73" s="2047"/>
      <c r="Y73" s="2047"/>
      <c r="Z73" s="2047"/>
      <c r="AA73" s="2048"/>
      <c r="AB73" s="1192"/>
      <c r="AC73" s="2073" t="s">
        <v>2334</v>
      </c>
      <c r="AD73" s="2074"/>
      <c r="AE73" s="2074"/>
      <c r="AF73" s="2074"/>
      <c r="AG73" s="2074"/>
      <c r="AH73" s="2074"/>
      <c r="AI73" s="2074"/>
      <c r="AJ73" s="2074"/>
      <c r="AK73" s="2074"/>
      <c r="AL73" s="2074"/>
      <c r="AM73" s="2074"/>
      <c r="AN73" s="2074"/>
      <c r="AO73" s="2074"/>
      <c r="AP73" s="2074"/>
      <c r="AQ73" s="2074"/>
      <c r="AR73" s="2074"/>
      <c r="AS73" s="2074"/>
      <c r="AT73" s="2074"/>
      <c r="AU73" s="2074"/>
      <c r="AV73" s="2074"/>
      <c r="AW73" s="2074"/>
      <c r="AX73" s="2074"/>
      <c r="AY73" s="2074"/>
      <c r="AZ73" s="2074"/>
      <c r="BA73" s="2074"/>
      <c r="BB73" s="2074"/>
      <c r="BC73" s="2075"/>
      <c r="BD73" s="1192"/>
      <c r="BE73" s="1196"/>
      <c r="CK73" s="1190"/>
      <c r="CL73" s="1190"/>
      <c r="CM73" s="1190"/>
      <c r="CN73" s="1190"/>
      <c r="CO73" s="1190"/>
      <c r="CP73" s="1190"/>
    </row>
    <row r="74" spans="1:94" ht="15.75" customHeight="1">
      <c r="A74" s="1192"/>
      <c r="B74" s="2079"/>
      <c r="C74" s="2011"/>
      <c r="D74" s="2011"/>
      <c r="E74" s="2011"/>
      <c r="F74" s="2011"/>
      <c r="G74" s="2011"/>
      <c r="H74" s="2011"/>
      <c r="I74" s="2011"/>
      <c r="J74" s="2011"/>
      <c r="K74" s="2011"/>
      <c r="L74" s="2011"/>
      <c r="M74" s="2011"/>
      <c r="N74" s="2011"/>
      <c r="O74" s="2047"/>
      <c r="P74" s="2047"/>
      <c r="Q74" s="2047"/>
      <c r="R74" s="2047"/>
      <c r="S74" s="2047"/>
      <c r="T74" s="2047"/>
      <c r="U74" s="2047"/>
      <c r="V74" s="2047"/>
      <c r="W74" s="2047"/>
      <c r="X74" s="2047"/>
      <c r="Y74" s="2047"/>
      <c r="Z74" s="2047"/>
      <c r="AA74" s="2048"/>
      <c r="AB74" s="1192"/>
      <c r="AC74" s="2073"/>
      <c r="AD74" s="2074"/>
      <c r="AE74" s="2074"/>
      <c r="AF74" s="2074"/>
      <c r="AG74" s="2074"/>
      <c r="AH74" s="2074"/>
      <c r="AI74" s="2074"/>
      <c r="AJ74" s="2074"/>
      <c r="AK74" s="2074"/>
      <c r="AL74" s="2074"/>
      <c r="AM74" s="2074"/>
      <c r="AN74" s="2074"/>
      <c r="AO74" s="2074"/>
      <c r="AP74" s="2074"/>
      <c r="AQ74" s="2074"/>
      <c r="AR74" s="2074"/>
      <c r="AS74" s="2074"/>
      <c r="AT74" s="2074"/>
      <c r="AU74" s="2074"/>
      <c r="AV74" s="2074"/>
      <c r="AW74" s="2074"/>
      <c r="AX74" s="2074"/>
      <c r="AY74" s="2074"/>
      <c r="AZ74" s="2074"/>
      <c r="BA74" s="2074"/>
      <c r="BB74" s="2074"/>
      <c r="BC74" s="2075"/>
      <c r="BD74" s="1192"/>
      <c r="BE74" s="1196"/>
      <c r="CK74" s="1190"/>
      <c r="CL74" s="1190"/>
      <c r="CM74" s="1190"/>
      <c r="CN74" s="1190"/>
      <c r="CO74" s="1190"/>
      <c r="CP74" s="1190"/>
    </row>
    <row r="75" spans="1:94" ht="15.75" customHeight="1" thickBot="1">
      <c r="A75" s="1192"/>
      <c r="B75" s="2080" t="s">
        <v>124</v>
      </c>
      <c r="C75" s="2081"/>
      <c r="D75" s="2081"/>
      <c r="E75" s="2081"/>
      <c r="F75" s="2081"/>
      <c r="G75" s="2081"/>
      <c r="H75" s="2081"/>
      <c r="I75" s="2081"/>
      <c r="J75" s="2081"/>
      <c r="K75" s="2081"/>
      <c r="L75" s="2081"/>
      <c r="M75" s="2081"/>
      <c r="N75" s="2081"/>
      <c r="O75" s="2082">
        <f>SUM(O70:AA74)</f>
        <v>0</v>
      </c>
      <c r="P75" s="2082"/>
      <c r="Q75" s="2082"/>
      <c r="R75" s="2082"/>
      <c r="S75" s="2082"/>
      <c r="T75" s="2082"/>
      <c r="U75" s="2082"/>
      <c r="V75" s="2082"/>
      <c r="W75" s="2082"/>
      <c r="X75" s="2082"/>
      <c r="Y75" s="2082"/>
      <c r="Z75" s="2082"/>
      <c r="AA75" s="2083"/>
      <c r="AB75" s="1192"/>
      <c r="AC75" s="2073"/>
      <c r="AD75" s="2074"/>
      <c r="AE75" s="2074"/>
      <c r="AF75" s="2074"/>
      <c r="AG75" s="2074"/>
      <c r="AH75" s="2074"/>
      <c r="AI75" s="2074"/>
      <c r="AJ75" s="2074"/>
      <c r="AK75" s="2074"/>
      <c r="AL75" s="2074"/>
      <c r="AM75" s="2074"/>
      <c r="AN75" s="2074"/>
      <c r="AO75" s="2074"/>
      <c r="AP75" s="2074"/>
      <c r="AQ75" s="2074"/>
      <c r="AR75" s="2074"/>
      <c r="AS75" s="2074"/>
      <c r="AT75" s="2074"/>
      <c r="AU75" s="2074"/>
      <c r="AV75" s="2074"/>
      <c r="AW75" s="2074"/>
      <c r="AX75" s="2074"/>
      <c r="AY75" s="2074"/>
      <c r="AZ75" s="2074"/>
      <c r="BA75" s="2074"/>
      <c r="BB75" s="2074"/>
      <c r="BC75" s="2075"/>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3"/>
      <c r="AD76" s="2074"/>
      <c r="AE76" s="2074"/>
      <c r="AF76" s="2074"/>
      <c r="AG76" s="2074"/>
      <c r="AH76" s="2074"/>
      <c r="AI76" s="2074"/>
      <c r="AJ76" s="2074"/>
      <c r="AK76" s="2074"/>
      <c r="AL76" s="2074"/>
      <c r="AM76" s="2074"/>
      <c r="AN76" s="2074"/>
      <c r="AO76" s="2074"/>
      <c r="AP76" s="2074"/>
      <c r="AQ76" s="2074"/>
      <c r="AR76" s="2074"/>
      <c r="AS76" s="2074"/>
      <c r="AT76" s="2074"/>
      <c r="AU76" s="2074"/>
      <c r="AV76" s="2074"/>
      <c r="AW76" s="2074"/>
      <c r="AX76" s="2074"/>
      <c r="AY76" s="2074"/>
      <c r="AZ76" s="2074"/>
      <c r="BA76" s="2074"/>
      <c r="BB76" s="2074"/>
      <c r="BC76" s="2075"/>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6"/>
      <c r="AD77" s="2077"/>
      <c r="AE77" s="2077"/>
      <c r="AF77" s="2077"/>
      <c r="AG77" s="2077"/>
      <c r="AH77" s="2077"/>
      <c r="AI77" s="2077"/>
      <c r="AJ77" s="2077"/>
      <c r="AK77" s="2077"/>
      <c r="AL77" s="2077"/>
      <c r="AM77" s="2077"/>
      <c r="AN77" s="2077"/>
      <c r="AO77" s="2077"/>
      <c r="AP77" s="2077"/>
      <c r="AQ77" s="2077"/>
      <c r="AR77" s="2077"/>
      <c r="AS77" s="2077"/>
      <c r="AT77" s="2077"/>
      <c r="AU77" s="2077"/>
      <c r="AV77" s="2077"/>
      <c r="AW77" s="2077"/>
      <c r="AX77" s="2077"/>
      <c r="AY77" s="2077"/>
      <c r="AZ77" s="2077"/>
      <c r="BA77" s="2077"/>
      <c r="BB77" s="2077"/>
      <c r="BC77" s="2078"/>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055"/>
      <c r="G79" s="2056"/>
      <c r="H79" s="2056"/>
      <c r="I79" s="2056"/>
      <c r="J79" s="2056"/>
      <c r="K79" s="2056"/>
      <c r="L79" s="2056"/>
      <c r="M79" s="2056"/>
      <c r="N79" s="2056"/>
      <c r="O79" s="2056"/>
      <c r="P79" s="2056"/>
      <c r="Q79" s="2056"/>
      <c r="R79" s="2056"/>
      <c r="S79" s="2056"/>
      <c r="T79" s="2057"/>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58" t="s">
        <v>2387</v>
      </c>
      <c r="C80" s="2059"/>
      <c r="D80" s="2059"/>
      <c r="E80" s="2059"/>
      <c r="F80" s="2059"/>
      <c r="G80" s="2059"/>
      <c r="H80" s="2059"/>
      <c r="I80" s="2059"/>
      <c r="J80" s="2059"/>
      <c r="K80" s="2059"/>
      <c r="L80" s="2059"/>
      <c r="M80" s="2059"/>
      <c r="N80" s="2059"/>
      <c r="O80" s="2059"/>
      <c r="P80" s="2059"/>
      <c r="Q80" s="2059"/>
      <c r="R80" s="2060" t="str">
        <f>IFERROR(INDEX(BR96:BR98,MATCH(F79,$BQ$96:$BQ$98,0))/SUM($BR$96:$BR$98),"")</f>
        <v/>
      </c>
      <c r="S80" s="2061"/>
      <c r="T80" s="2062"/>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3" t="s">
        <v>2386</v>
      </c>
      <c r="C81" s="2064"/>
      <c r="D81" s="2064"/>
      <c r="E81" s="2064"/>
      <c r="F81" s="2064"/>
      <c r="G81" s="2064"/>
      <c r="H81" s="2064"/>
      <c r="I81" s="2064"/>
      <c r="J81" s="2064"/>
      <c r="K81" s="2064"/>
      <c r="L81" s="2064"/>
      <c r="M81" s="2064"/>
      <c r="N81" s="2064"/>
      <c r="O81" s="2064"/>
      <c r="P81" s="2064"/>
      <c r="Q81" s="2064"/>
      <c r="R81" s="2065" t="s">
        <v>2190</v>
      </c>
      <c r="S81" s="2066"/>
      <c r="T81" s="2067"/>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68" t="s">
        <v>2385</v>
      </c>
      <c r="C83" s="2069"/>
      <c r="D83" s="2069"/>
      <c r="E83" s="2069"/>
      <c r="F83" s="2069"/>
      <c r="G83" s="2069"/>
      <c r="H83" s="2069"/>
      <c r="I83" s="2069"/>
      <c r="J83" s="2069"/>
      <c r="K83" s="2069"/>
      <c r="L83" s="2069"/>
      <c r="M83" s="2069"/>
      <c r="N83" s="2069"/>
      <c r="O83" s="2069"/>
      <c r="P83" s="2069"/>
      <c r="Q83" s="2069"/>
      <c r="R83" s="2069"/>
      <c r="S83" s="2069"/>
      <c r="T83" s="2069"/>
      <c r="U83" s="2069"/>
      <c r="V83" s="2069"/>
      <c r="W83" s="2069"/>
      <c r="X83" s="2069"/>
      <c r="Y83" s="2069"/>
      <c r="Z83" s="2069"/>
      <c r="AA83" s="2069"/>
      <c r="AB83" s="2069"/>
      <c r="AC83" s="2069"/>
      <c r="AD83" s="2069"/>
      <c r="AE83" s="2069"/>
      <c r="AF83" s="2069"/>
      <c r="AG83" s="2069"/>
      <c r="AH83" s="2070"/>
      <c r="AI83" s="1192"/>
      <c r="AJ83" s="2086" t="s">
        <v>2384</v>
      </c>
      <c r="AK83" s="2087"/>
      <c r="AL83" s="2087"/>
      <c r="AM83" s="2087"/>
      <c r="AN83" s="2087"/>
      <c r="AO83" s="2087"/>
      <c r="AP83" s="2087"/>
      <c r="AQ83" s="2087"/>
      <c r="AR83" s="2087"/>
      <c r="AS83" s="2087"/>
      <c r="AT83" s="2087"/>
      <c r="AU83" s="2087"/>
      <c r="AV83" s="2087"/>
      <c r="AW83" s="2087"/>
      <c r="AX83" s="2087"/>
      <c r="AY83" s="2090" t="s">
        <v>546</v>
      </c>
      <c r="AZ83" s="2090"/>
      <c r="BA83" s="2090"/>
      <c r="BB83" s="2091"/>
      <c r="BC83" s="1192"/>
      <c r="BD83" s="1192"/>
      <c r="BE83" s="1196"/>
      <c r="CK83" s="1190"/>
      <c r="CL83" s="1190"/>
      <c r="CM83" s="1190"/>
      <c r="CN83" s="1190"/>
      <c r="CO83" s="1190"/>
      <c r="CP83" s="1190"/>
    </row>
    <row r="84" spans="1:94" ht="15.75" customHeight="1">
      <c r="A84" s="1192"/>
      <c r="B84" s="2007"/>
      <c r="C84" s="2008"/>
      <c r="D84" s="2008"/>
      <c r="E84" s="2008"/>
      <c r="F84" s="2008"/>
      <c r="G84" s="2008"/>
      <c r="H84" s="2008"/>
      <c r="I84" s="2008" t="s">
        <v>2374</v>
      </c>
      <c r="J84" s="2008"/>
      <c r="K84" s="2008"/>
      <c r="L84" s="2008"/>
      <c r="M84" s="2008"/>
      <c r="N84" s="2008"/>
      <c r="O84" s="2008" t="s">
        <v>2350</v>
      </c>
      <c r="P84" s="2008"/>
      <c r="Q84" s="2008"/>
      <c r="R84" s="2008"/>
      <c r="S84" s="2008"/>
      <c r="T84" s="2008"/>
      <c r="U84" s="2008"/>
      <c r="V84" s="2094" t="s">
        <v>2349</v>
      </c>
      <c r="W84" s="2094"/>
      <c r="X84" s="2094"/>
      <c r="Y84" s="2094"/>
      <c r="Z84" s="2094"/>
      <c r="AA84" s="2094"/>
      <c r="AB84" s="2095" t="s">
        <v>2373</v>
      </c>
      <c r="AC84" s="2095"/>
      <c r="AD84" s="2095"/>
      <c r="AE84" s="2095"/>
      <c r="AF84" s="2095"/>
      <c r="AG84" s="2095"/>
      <c r="AH84" s="2096"/>
      <c r="AI84" s="1192"/>
      <c r="AJ84" s="2088"/>
      <c r="AK84" s="2089"/>
      <c r="AL84" s="2089"/>
      <c r="AM84" s="2089"/>
      <c r="AN84" s="2089"/>
      <c r="AO84" s="2089"/>
      <c r="AP84" s="2089"/>
      <c r="AQ84" s="2089"/>
      <c r="AR84" s="2089"/>
      <c r="AS84" s="2089"/>
      <c r="AT84" s="2089"/>
      <c r="AU84" s="2089"/>
      <c r="AV84" s="2089"/>
      <c r="AW84" s="2089"/>
      <c r="AX84" s="2089"/>
      <c r="AY84" s="2092"/>
      <c r="AZ84" s="2092"/>
      <c r="BA84" s="2092"/>
      <c r="BB84" s="2093"/>
      <c r="BC84" s="1192"/>
      <c r="BD84" s="1192"/>
      <c r="BE84" s="1196"/>
      <c r="CK84" s="1190"/>
      <c r="CL84" s="1190"/>
      <c r="CM84" s="1190"/>
      <c r="CN84" s="1190"/>
      <c r="CO84" s="1190"/>
      <c r="CP84" s="1190"/>
    </row>
    <row r="85" spans="1:94" ht="15.75" customHeight="1">
      <c r="A85" s="1192"/>
      <c r="B85" s="2007"/>
      <c r="C85" s="2008"/>
      <c r="D85" s="2008"/>
      <c r="E85" s="2008"/>
      <c r="F85" s="2008"/>
      <c r="G85" s="2008"/>
      <c r="H85" s="2008"/>
      <c r="I85" s="2008"/>
      <c r="J85" s="2008"/>
      <c r="K85" s="2008"/>
      <c r="L85" s="2008"/>
      <c r="M85" s="2008"/>
      <c r="N85" s="2008"/>
      <c r="O85" s="2008"/>
      <c r="P85" s="2008"/>
      <c r="Q85" s="2008"/>
      <c r="R85" s="2008"/>
      <c r="S85" s="2008"/>
      <c r="T85" s="2008"/>
      <c r="U85" s="2008"/>
      <c r="V85" s="2094"/>
      <c r="W85" s="2094"/>
      <c r="X85" s="2094"/>
      <c r="Y85" s="2094"/>
      <c r="Z85" s="2094"/>
      <c r="AA85" s="2094"/>
      <c r="AB85" s="2095"/>
      <c r="AC85" s="2095"/>
      <c r="AD85" s="2095"/>
      <c r="AE85" s="2095"/>
      <c r="AF85" s="2095"/>
      <c r="AG85" s="2095"/>
      <c r="AH85" s="2096"/>
      <c r="AI85" s="1192"/>
      <c r="AJ85" s="2088"/>
      <c r="AK85" s="2089"/>
      <c r="AL85" s="2089"/>
      <c r="AM85" s="2089"/>
      <c r="AN85" s="2089"/>
      <c r="AO85" s="2089"/>
      <c r="AP85" s="2089"/>
      <c r="AQ85" s="2089"/>
      <c r="AR85" s="2089"/>
      <c r="AS85" s="2089"/>
      <c r="AT85" s="2089"/>
      <c r="AU85" s="2089"/>
      <c r="AV85" s="2089"/>
      <c r="AW85" s="2089"/>
      <c r="AX85" s="2089"/>
      <c r="AY85" s="2092"/>
      <c r="AZ85" s="2092"/>
      <c r="BA85" s="2092"/>
      <c r="BB85" s="2093"/>
      <c r="BC85" s="1192"/>
      <c r="BD85" s="1192"/>
      <c r="BE85" s="1196"/>
      <c r="CK85" s="1190"/>
      <c r="CL85" s="1190"/>
      <c r="CM85" s="1190"/>
      <c r="CN85" s="1190"/>
      <c r="CO85" s="1190"/>
      <c r="CP85" s="1190"/>
    </row>
    <row r="86" spans="1:94" ht="15.75" customHeight="1">
      <c r="A86" s="1192"/>
      <c r="B86" s="2007" t="s">
        <v>2372</v>
      </c>
      <c r="C86" s="2008"/>
      <c r="D86" s="2008"/>
      <c r="E86" s="2008"/>
      <c r="F86" s="2008"/>
      <c r="G86" s="2008"/>
      <c r="H86" s="2008"/>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192"/>
      <c r="AJ86" s="2088"/>
      <c r="AK86" s="2089"/>
      <c r="AL86" s="2089"/>
      <c r="AM86" s="2089"/>
      <c r="AN86" s="2089"/>
      <c r="AO86" s="2089"/>
      <c r="AP86" s="2089"/>
      <c r="AQ86" s="2089"/>
      <c r="AR86" s="2089"/>
      <c r="AS86" s="2089"/>
      <c r="AT86" s="2089"/>
      <c r="AU86" s="2089"/>
      <c r="AV86" s="2089"/>
      <c r="AW86" s="2089"/>
      <c r="AX86" s="2089"/>
      <c r="AY86" s="2092"/>
      <c r="AZ86" s="2092"/>
      <c r="BA86" s="2092"/>
      <c r="BB86" s="2093"/>
      <c r="BC86" s="1192"/>
      <c r="BD86" s="1192"/>
      <c r="BE86" s="1196"/>
      <c r="CK86" s="1190"/>
      <c r="CL86" s="1190"/>
      <c r="CM86" s="1190"/>
      <c r="CN86" s="1190"/>
      <c r="CO86" s="1190"/>
      <c r="CP86" s="1190"/>
    </row>
    <row r="87" spans="1:94" ht="15.75" customHeight="1">
      <c r="A87" s="1192"/>
      <c r="B87" s="2007" t="s">
        <v>2371</v>
      </c>
      <c r="C87" s="2008"/>
      <c r="D87" s="2008"/>
      <c r="E87" s="2008"/>
      <c r="F87" s="2008"/>
      <c r="G87" s="2008"/>
      <c r="H87" s="2008"/>
      <c r="I87" s="2084">
        <v>0</v>
      </c>
      <c r="J87" s="2084"/>
      <c r="K87" s="2084"/>
      <c r="L87" s="2084"/>
      <c r="M87" s="2084"/>
      <c r="N87" s="2084"/>
      <c r="O87" s="2084">
        <v>0</v>
      </c>
      <c r="P87" s="2084"/>
      <c r="Q87" s="2084"/>
      <c r="R87" s="2084"/>
      <c r="S87" s="2084"/>
      <c r="T87" s="2084"/>
      <c r="U87" s="2084"/>
      <c r="V87" s="2084">
        <v>0</v>
      </c>
      <c r="W87" s="2084"/>
      <c r="X87" s="2084"/>
      <c r="Y87" s="2084"/>
      <c r="Z87" s="2084"/>
      <c r="AA87" s="2084"/>
      <c r="AB87" s="2084">
        <v>0</v>
      </c>
      <c r="AC87" s="2084"/>
      <c r="AD87" s="2084"/>
      <c r="AE87" s="2084"/>
      <c r="AF87" s="2084"/>
      <c r="AG87" s="2084"/>
      <c r="AH87" s="2085"/>
      <c r="AI87" s="1192"/>
      <c r="AJ87" s="2073" t="s">
        <v>2378</v>
      </c>
      <c r="AK87" s="2074"/>
      <c r="AL87" s="2074"/>
      <c r="AM87" s="2074"/>
      <c r="AN87" s="2074"/>
      <c r="AO87" s="2074"/>
      <c r="AP87" s="2074"/>
      <c r="AQ87" s="2074"/>
      <c r="AR87" s="2074"/>
      <c r="AS87" s="2074"/>
      <c r="AT87" s="2074"/>
      <c r="AU87" s="2074"/>
      <c r="AV87" s="2074"/>
      <c r="AW87" s="2074"/>
      <c r="AX87" s="2074"/>
      <c r="AY87" s="2074"/>
      <c r="AZ87" s="2074"/>
      <c r="BA87" s="2074"/>
      <c r="BB87" s="2075"/>
      <c r="BC87" s="1192"/>
      <c r="BD87" s="1192"/>
      <c r="BE87" s="1196"/>
      <c r="CK87" s="1190"/>
      <c r="CL87" s="1190"/>
      <c r="CM87" s="1190"/>
      <c r="CN87" s="1190"/>
      <c r="CO87" s="1190"/>
      <c r="CP87" s="1190"/>
    </row>
    <row r="88" spans="1:94" ht="15.75" customHeight="1" thickBot="1">
      <c r="A88" s="1192"/>
      <c r="B88" s="2025" t="s">
        <v>2370</v>
      </c>
      <c r="C88" s="2026"/>
      <c r="D88" s="2026"/>
      <c r="E88" s="2026"/>
      <c r="F88" s="2026"/>
      <c r="G88" s="2026"/>
      <c r="H88" s="2026"/>
      <c r="I88" s="2099">
        <v>0</v>
      </c>
      <c r="J88" s="2099"/>
      <c r="K88" s="2099"/>
      <c r="L88" s="2099"/>
      <c r="M88" s="2099"/>
      <c r="N88" s="2099"/>
      <c r="O88" s="2099">
        <v>0</v>
      </c>
      <c r="P88" s="2099"/>
      <c r="Q88" s="2099"/>
      <c r="R88" s="2099"/>
      <c r="S88" s="2099"/>
      <c r="T88" s="2099"/>
      <c r="U88" s="2099"/>
      <c r="V88" s="2099">
        <v>0</v>
      </c>
      <c r="W88" s="2099"/>
      <c r="X88" s="2099"/>
      <c r="Y88" s="2099"/>
      <c r="Z88" s="2099"/>
      <c r="AA88" s="2099"/>
      <c r="AB88" s="2099">
        <v>0</v>
      </c>
      <c r="AC88" s="2099"/>
      <c r="AD88" s="2099"/>
      <c r="AE88" s="2099"/>
      <c r="AF88" s="2099"/>
      <c r="AG88" s="2099"/>
      <c r="AH88" s="2100"/>
      <c r="AI88" s="1192"/>
      <c r="AJ88" s="2076"/>
      <c r="AK88" s="2077"/>
      <c r="AL88" s="2077"/>
      <c r="AM88" s="2077"/>
      <c r="AN88" s="2077"/>
      <c r="AO88" s="2077"/>
      <c r="AP88" s="2077"/>
      <c r="AQ88" s="2077"/>
      <c r="AR88" s="2077"/>
      <c r="AS88" s="2077"/>
      <c r="AT88" s="2077"/>
      <c r="AU88" s="2077"/>
      <c r="AV88" s="2077"/>
      <c r="AW88" s="2077"/>
      <c r="AX88" s="2077"/>
      <c r="AY88" s="2077"/>
      <c r="AZ88" s="2077"/>
      <c r="BA88" s="2077"/>
      <c r="BB88" s="2078"/>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055"/>
      <c r="G92" s="2056"/>
      <c r="H92" s="2056"/>
      <c r="I92" s="2056"/>
      <c r="J92" s="2056"/>
      <c r="K92" s="2056"/>
      <c r="L92" s="2056"/>
      <c r="M92" s="2056"/>
      <c r="N92" s="2056"/>
      <c r="O92" s="2056"/>
      <c r="P92" s="2056"/>
      <c r="Q92" s="2056"/>
      <c r="R92" s="2056"/>
      <c r="S92" s="2056"/>
      <c r="T92" s="2057"/>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58" t="s">
        <v>2382</v>
      </c>
      <c r="C93" s="2059"/>
      <c r="D93" s="2059"/>
      <c r="E93" s="2059"/>
      <c r="F93" s="2059"/>
      <c r="G93" s="2059"/>
      <c r="H93" s="2059"/>
      <c r="I93" s="2059"/>
      <c r="J93" s="2059"/>
      <c r="K93" s="2059"/>
      <c r="L93" s="2059"/>
      <c r="M93" s="2059"/>
      <c r="N93" s="2059"/>
      <c r="O93" s="2059"/>
      <c r="P93" s="2059"/>
      <c r="Q93" s="2097"/>
      <c r="R93" s="2060" t="str">
        <f>IFERROR(INDEX(BR96:BR98,MATCH(F92,$BQ$96:$BQ$98,0))/SUM($BR$96:$BR$98),"")</f>
        <v/>
      </c>
      <c r="S93" s="2061"/>
      <c r="T93" s="2062"/>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3" t="s">
        <v>2381</v>
      </c>
      <c r="C94" s="2064"/>
      <c r="D94" s="2064"/>
      <c r="E94" s="2064"/>
      <c r="F94" s="2064"/>
      <c r="G94" s="2064"/>
      <c r="H94" s="2064"/>
      <c r="I94" s="2064"/>
      <c r="J94" s="2064"/>
      <c r="K94" s="2064"/>
      <c r="L94" s="2064"/>
      <c r="M94" s="2064"/>
      <c r="N94" s="2064"/>
      <c r="O94" s="2064"/>
      <c r="P94" s="2064"/>
      <c r="Q94" s="2098"/>
      <c r="R94" s="2065" t="s">
        <v>2190</v>
      </c>
      <c r="S94" s="2066"/>
      <c r="T94" s="2067"/>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68" t="s">
        <v>2380</v>
      </c>
      <c r="C96" s="2069"/>
      <c r="D96" s="2069"/>
      <c r="E96" s="2069"/>
      <c r="F96" s="2069"/>
      <c r="G96" s="2069"/>
      <c r="H96" s="2069"/>
      <c r="I96" s="2069"/>
      <c r="J96" s="2069"/>
      <c r="K96" s="2069"/>
      <c r="L96" s="2069"/>
      <c r="M96" s="2069"/>
      <c r="N96" s="2069"/>
      <c r="O96" s="2069"/>
      <c r="P96" s="2069"/>
      <c r="Q96" s="2069"/>
      <c r="R96" s="2069"/>
      <c r="S96" s="2069"/>
      <c r="T96" s="2069"/>
      <c r="U96" s="2069"/>
      <c r="V96" s="2069"/>
      <c r="W96" s="2069"/>
      <c r="X96" s="2069"/>
      <c r="Y96" s="2069"/>
      <c r="Z96" s="2069"/>
      <c r="AA96" s="2069"/>
      <c r="AB96" s="2069"/>
      <c r="AC96" s="2069"/>
      <c r="AD96" s="2069"/>
      <c r="AE96" s="2069"/>
      <c r="AF96" s="2069"/>
      <c r="AG96" s="2069"/>
      <c r="AH96" s="2070"/>
      <c r="AI96" s="1192"/>
      <c r="AJ96" s="2086" t="s">
        <v>2379</v>
      </c>
      <c r="AK96" s="2087"/>
      <c r="AL96" s="2087"/>
      <c r="AM96" s="2087"/>
      <c r="AN96" s="2087"/>
      <c r="AO96" s="2087"/>
      <c r="AP96" s="2087"/>
      <c r="AQ96" s="2087"/>
      <c r="AR96" s="2087"/>
      <c r="AS96" s="2087"/>
      <c r="AT96" s="2087"/>
      <c r="AU96" s="2087"/>
      <c r="AV96" s="2087"/>
      <c r="AW96" s="2087"/>
      <c r="AX96" s="2087"/>
      <c r="AY96" s="2090" t="s">
        <v>546</v>
      </c>
      <c r="AZ96" s="2090"/>
      <c r="BA96" s="2090"/>
      <c r="BB96" s="2091"/>
      <c r="BC96" s="1192"/>
      <c r="BD96" s="1192"/>
      <c r="BE96" s="1196"/>
      <c r="BQ96" s="1189" t="str">
        <f>Application!M243&amp;IF(TRIM(Application!AA249)&lt;&gt;""," ("&amp;Application!AA249&amp;")","")</f>
        <v>Sky Castle Partners I, LLC (Arden Residential, LLC)</v>
      </c>
      <c r="BR96" s="1218">
        <f>Application!AH246</f>
        <v>5.1000000000000004E-3</v>
      </c>
      <c r="CM96" s="1190"/>
      <c r="CN96" s="1190"/>
      <c r="CO96" s="1190"/>
      <c r="CP96" s="1190"/>
    </row>
    <row r="97" spans="1:94" ht="15.75" customHeight="1">
      <c r="A97" s="1192"/>
      <c r="B97" s="2007"/>
      <c r="C97" s="2008"/>
      <c r="D97" s="2008"/>
      <c r="E97" s="2008"/>
      <c r="F97" s="2008"/>
      <c r="G97" s="2008"/>
      <c r="H97" s="2008"/>
      <c r="I97" s="2008" t="s">
        <v>2374</v>
      </c>
      <c r="J97" s="2008"/>
      <c r="K97" s="2008"/>
      <c r="L97" s="2008"/>
      <c r="M97" s="2008"/>
      <c r="N97" s="2008"/>
      <c r="O97" s="2008" t="s">
        <v>2350</v>
      </c>
      <c r="P97" s="2008"/>
      <c r="Q97" s="2008"/>
      <c r="R97" s="2008"/>
      <c r="S97" s="2008"/>
      <c r="T97" s="2008"/>
      <c r="U97" s="2008"/>
      <c r="V97" s="2094" t="s">
        <v>2349</v>
      </c>
      <c r="W97" s="2094"/>
      <c r="X97" s="2094"/>
      <c r="Y97" s="2094"/>
      <c r="Z97" s="2094"/>
      <c r="AA97" s="2094"/>
      <c r="AB97" s="2095" t="s">
        <v>2373</v>
      </c>
      <c r="AC97" s="2095"/>
      <c r="AD97" s="2095"/>
      <c r="AE97" s="2095"/>
      <c r="AF97" s="2095"/>
      <c r="AG97" s="2095"/>
      <c r="AH97" s="2096"/>
      <c r="AI97" s="1192"/>
      <c r="AJ97" s="2088"/>
      <c r="AK97" s="2089"/>
      <c r="AL97" s="2089"/>
      <c r="AM97" s="2089"/>
      <c r="AN97" s="2089"/>
      <c r="AO97" s="2089"/>
      <c r="AP97" s="2089"/>
      <c r="AQ97" s="2089"/>
      <c r="AR97" s="2089"/>
      <c r="AS97" s="2089"/>
      <c r="AT97" s="2089"/>
      <c r="AU97" s="2089"/>
      <c r="AV97" s="2089"/>
      <c r="AW97" s="2089"/>
      <c r="AX97" s="2089"/>
      <c r="AY97" s="2092"/>
      <c r="AZ97" s="2092"/>
      <c r="BA97" s="2092"/>
      <c r="BB97" s="2093"/>
      <c r="BC97" s="1192"/>
      <c r="BD97" s="1192"/>
      <c r="BE97" s="1196"/>
      <c r="BQ97" s="1189" t="str">
        <f>Application!M251&amp;IF(TRIM(Application!AA257)&lt;&gt;""," ("&amp;Application!AA257&amp;")","")</f>
        <v>Kingdom Development, Inc.</v>
      </c>
      <c r="BR97" s="1218">
        <f>Application!AH254</f>
        <v>4.8999999999999998E-3</v>
      </c>
      <c r="CM97" s="1190"/>
      <c r="CN97" s="1190"/>
      <c r="CO97" s="1190"/>
      <c r="CP97" s="1190"/>
    </row>
    <row r="98" spans="1:94" ht="15.75" customHeight="1">
      <c r="A98" s="1192"/>
      <c r="B98" s="2007"/>
      <c r="C98" s="2008"/>
      <c r="D98" s="2008"/>
      <c r="E98" s="2008"/>
      <c r="F98" s="2008"/>
      <c r="G98" s="2008"/>
      <c r="H98" s="2008"/>
      <c r="I98" s="2008"/>
      <c r="J98" s="2008"/>
      <c r="K98" s="2008"/>
      <c r="L98" s="2008"/>
      <c r="M98" s="2008"/>
      <c r="N98" s="2008"/>
      <c r="O98" s="2008"/>
      <c r="P98" s="2008"/>
      <c r="Q98" s="2008"/>
      <c r="R98" s="2008"/>
      <c r="S98" s="2008"/>
      <c r="T98" s="2008"/>
      <c r="U98" s="2008"/>
      <c r="V98" s="2094"/>
      <c r="W98" s="2094"/>
      <c r="X98" s="2094"/>
      <c r="Y98" s="2094"/>
      <c r="Z98" s="2094"/>
      <c r="AA98" s="2094"/>
      <c r="AB98" s="2095"/>
      <c r="AC98" s="2095"/>
      <c r="AD98" s="2095"/>
      <c r="AE98" s="2095"/>
      <c r="AF98" s="2095"/>
      <c r="AG98" s="2095"/>
      <c r="AH98" s="2096"/>
      <c r="AI98" s="1192"/>
      <c r="AJ98" s="2088"/>
      <c r="AK98" s="2089"/>
      <c r="AL98" s="2089"/>
      <c r="AM98" s="2089"/>
      <c r="AN98" s="2089"/>
      <c r="AO98" s="2089"/>
      <c r="AP98" s="2089"/>
      <c r="AQ98" s="2089"/>
      <c r="AR98" s="2089"/>
      <c r="AS98" s="2089"/>
      <c r="AT98" s="2089"/>
      <c r="AU98" s="2089"/>
      <c r="AV98" s="2089"/>
      <c r="AW98" s="2089"/>
      <c r="AX98" s="2089"/>
      <c r="AY98" s="2092"/>
      <c r="AZ98" s="2092"/>
      <c r="BA98" s="2092"/>
      <c r="BB98" s="2093"/>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07" t="s">
        <v>2372</v>
      </c>
      <c r="C99" s="2008"/>
      <c r="D99" s="2008"/>
      <c r="E99" s="2008"/>
      <c r="F99" s="2008"/>
      <c r="G99" s="2008"/>
      <c r="H99" s="2008"/>
      <c r="I99" s="2084">
        <v>0</v>
      </c>
      <c r="J99" s="2084"/>
      <c r="K99" s="2084"/>
      <c r="L99" s="2084"/>
      <c r="M99" s="2084"/>
      <c r="N99" s="2084"/>
      <c r="O99" s="2084">
        <v>0</v>
      </c>
      <c r="P99" s="2084"/>
      <c r="Q99" s="2084"/>
      <c r="R99" s="2084"/>
      <c r="S99" s="2084"/>
      <c r="T99" s="2084"/>
      <c r="U99" s="2084"/>
      <c r="V99" s="2084">
        <v>0</v>
      </c>
      <c r="W99" s="2084"/>
      <c r="X99" s="2084"/>
      <c r="Y99" s="2084"/>
      <c r="Z99" s="2084"/>
      <c r="AA99" s="2084"/>
      <c r="AB99" s="2084">
        <v>0</v>
      </c>
      <c r="AC99" s="2084"/>
      <c r="AD99" s="2084"/>
      <c r="AE99" s="2084"/>
      <c r="AF99" s="2084"/>
      <c r="AG99" s="2084"/>
      <c r="AH99" s="2085"/>
      <c r="AI99" s="1192"/>
      <c r="AJ99" s="2088"/>
      <c r="AK99" s="2089"/>
      <c r="AL99" s="2089"/>
      <c r="AM99" s="2089"/>
      <c r="AN99" s="2089"/>
      <c r="AO99" s="2089"/>
      <c r="AP99" s="2089"/>
      <c r="AQ99" s="2089"/>
      <c r="AR99" s="2089"/>
      <c r="AS99" s="2089"/>
      <c r="AT99" s="2089"/>
      <c r="AU99" s="2089"/>
      <c r="AV99" s="2089"/>
      <c r="AW99" s="2089"/>
      <c r="AX99" s="2089"/>
      <c r="AY99" s="2092"/>
      <c r="AZ99" s="2092"/>
      <c r="BA99" s="2092"/>
      <c r="BB99" s="2093"/>
      <c r="BC99" s="1192"/>
      <c r="BD99" s="1192"/>
      <c r="BE99" s="1196"/>
      <c r="CM99" s="1190"/>
      <c r="CN99" s="1190"/>
      <c r="CO99" s="1190"/>
      <c r="CP99" s="1190"/>
    </row>
    <row r="100" spans="1:94" ht="15.75" customHeight="1">
      <c r="A100" s="1192"/>
      <c r="B100" s="2007" t="s">
        <v>2371</v>
      </c>
      <c r="C100" s="2008"/>
      <c r="D100" s="2008"/>
      <c r="E100" s="2008"/>
      <c r="F100" s="2008"/>
      <c r="G100" s="2008"/>
      <c r="H100" s="2008"/>
      <c r="I100" s="2084">
        <v>0</v>
      </c>
      <c r="J100" s="2084"/>
      <c r="K100" s="2084"/>
      <c r="L100" s="2084"/>
      <c r="M100" s="2084"/>
      <c r="N100" s="2084"/>
      <c r="O100" s="2084">
        <v>0</v>
      </c>
      <c r="P100" s="2084"/>
      <c r="Q100" s="2084"/>
      <c r="R100" s="2084"/>
      <c r="S100" s="2084"/>
      <c r="T100" s="2084"/>
      <c r="U100" s="2084"/>
      <c r="V100" s="2084">
        <v>0</v>
      </c>
      <c r="W100" s="2084"/>
      <c r="X100" s="2084"/>
      <c r="Y100" s="2084"/>
      <c r="Z100" s="2084"/>
      <c r="AA100" s="2084"/>
      <c r="AB100" s="2084">
        <v>0</v>
      </c>
      <c r="AC100" s="2084"/>
      <c r="AD100" s="2084"/>
      <c r="AE100" s="2084"/>
      <c r="AF100" s="2084"/>
      <c r="AG100" s="2084"/>
      <c r="AH100" s="2085"/>
      <c r="AI100" s="1192"/>
      <c r="AJ100" s="2073" t="s">
        <v>2378</v>
      </c>
      <c r="AK100" s="2074"/>
      <c r="AL100" s="2074"/>
      <c r="AM100" s="2074"/>
      <c r="AN100" s="2074"/>
      <c r="AO100" s="2074"/>
      <c r="AP100" s="2074"/>
      <c r="AQ100" s="2074"/>
      <c r="AR100" s="2074"/>
      <c r="AS100" s="2074"/>
      <c r="AT100" s="2074"/>
      <c r="AU100" s="2074"/>
      <c r="AV100" s="2074"/>
      <c r="AW100" s="2074"/>
      <c r="AX100" s="2074"/>
      <c r="AY100" s="2074"/>
      <c r="AZ100" s="2074"/>
      <c r="BA100" s="2074"/>
      <c r="BB100" s="2075"/>
      <c r="BC100" s="1192"/>
      <c r="BD100" s="1192"/>
      <c r="BE100" s="1196"/>
      <c r="CM100" s="1190"/>
      <c r="CN100" s="1190"/>
      <c r="CO100" s="1190"/>
      <c r="CP100" s="1190"/>
    </row>
    <row r="101" spans="1:94" ht="15.75" customHeight="1" thickBot="1">
      <c r="A101" s="1192"/>
      <c r="B101" s="2025" t="s">
        <v>2370</v>
      </c>
      <c r="C101" s="2026"/>
      <c r="D101" s="2026"/>
      <c r="E101" s="2026"/>
      <c r="F101" s="2026"/>
      <c r="G101" s="2026"/>
      <c r="H101" s="2026"/>
      <c r="I101" s="2099">
        <v>0</v>
      </c>
      <c r="J101" s="2099"/>
      <c r="K101" s="2099"/>
      <c r="L101" s="2099"/>
      <c r="M101" s="2099"/>
      <c r="N101" s="2099"/>
      <c r="O101" s="2099">
        <v>0</v>
      </c>
      <c r="P101" s="2099"/>
      <c r="Q101" s="2099"/>
      <c r="R101" s="2099"/>
      <c r="S101" s="2099"/>
      <c r="T101" s="2099"/>
      <c r="U101" s="2099"/>
      <c r="V101" s="2099">
        <v>0</v>
      </c>
      <c r="W101" s="2099"/>
      <c r="X101" s="2099"/>
      <c r="Y101" s="2099"/>
      <c r="Z101" s="2099"/>
      <c r="AA101" s="2099"/>
      <c r="AB101" s="2099">
        <v>0</v>
      </c>
      <c r="AC101" s="2099"/>
      <c r="AD101" s="2099"/>
      <c r="AE101" s="2099"/>
      <c r="AF101" s="2099"/>
      <c r="AG101" s="2099"/>
      <c r="AH101" s="2100"/>
      <c r="AI101" s="1192"/>
      <c r="AJ101" s="2076"/>
      <c r="AK101" s="2077"/>
      <c r="AL101" s="2077"/>
      <c r="AM101" s="2077"/>
      <c r="AN101" s="2077"/>
      <c r="AO101" s="2077"/>
      <c r="AP101" s="2077"/>
      <c r="AQ101" s="2077"/>
      <c r="AR101" s="2077"/>
      <c r="AS101" s="2077"/>
      <c r="AT101" s="2077"/>
      <c r="AU101" s="2077"/>
      <c r="AV101" s="2077"/>
      <c r="AW101" s="2077"/>
      <c r="AX101" s="2077"/>
      <c r="AY101" s="2077"/>
      <c r="AZ101" s="2077"/>
      <c r="BA101" s="2077"/>
      <c r="BB101" s="2078"/>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101"/>
      <c r="G104" s="2102"/>
      <c r="H104" s="2102"/>
      <c r="I104" s="2102"/>
      <c r="J104" s="2102"/>
      <c r="K104" s="2102"/>
      <c r="L104" s="2102"/>
      <c r="M104" s="2102"/>
      <c r="N104" s="2102"/>
      <c r="O104" s="2102"/>
      <c r="P104" s="2102"/>
      <c r="Q104" s="2102"/>
      <c r="R104" s="2103"/>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065" t="str">
        <f>IFERROR(INDEX(BR96:BR98,MATCH(F104,$BQ$96:$BQ$98,0))/SUM($BR$96:$BR$98),"")</f>
        <v/>
      </c>
      <c r="P105" s="2066"/>
      <c r="Q105" s="2066"/>
      <c r="R105" s="2067"/>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3" t="s">
        <v>2375</v>
      </c>
      <c r="C107" s="2054"/>
      <c r="D107" s="2054"/>
      <c r="E107" s="2054"/>
      <c r="F107" s="2054"/>
      <c r="G107" s="2054"/>
      <c r="H107" s="2054"/>
      <c r="I107" s="2054"/>
      <c r="J107" s="2054"/>
      <c r="K107" s="2054"/>
      <c r="L107" s="2054"/>
      <c r="M107" s="2054"/>
      <c r="N107" s="2054"/>
      <c r="O107" s="2054"/>
      <c r="P107" s="2054"/>
      <c r="Q107" s="2054"/>
      <c r="R107" s="2054"/>
      <c r="S107" s="2054"/>
      <c r="T107" s="2054"/>
      <c r="U107" s="2054"/>
      <c r="V107" s="2054"/>
      <c r="W107" s="2054"/>
      <c r="X107" s="2054"/>
      <c r="Y107" s="2054"/>
      <c r="Z107" s="2054"/>
      <c r="AA107" s="2054"/>
      <c r="AB107" s="2054"/>
      <c r="AC107" s="2054"/>
      <c r="AD107" s="2054"/>
      <c r="AE107" s="2054"/>
      <c r="AF107" s="2054"/>
      <c r="AG107" s="2054"/>
      <c r="AH107" s="2104"/>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07"/>
      <c r="C108" s="2008"/>
      <c r="D108" s="2008"/>
      <c r="E108" s="2008"/>
      <c r="F108" s="2008"/>
      <c r="G108" s="2008"/>
      <c r="H108" s="2008"/>
      <c r="I108" s="2008" t="s">
        <v>2374</v>
      </c>
      <c r="J108" s="2008"/>
      <c r="K108" s="2008"/>
      <c r="L108" s="2008"/>
      <c r="M108" s="2008"/>
      <c r="N108" s="2008"/>
      <c r="O108" s="2008" t="s">
        <v>2350</v>
      </c>
      <c r="P108" s="2008"/>
      <c r="Q108" s="2008"/>
      <c r="R108" s="2008"/>
      <c r="S108" s="2008"/>
      <c r="T108" s="2008"/>
      <c r="U108" s="2008"/>
      <c r="V108" s="2094" t="s">
        <v>2349</v>
      </c>
      <c r="W108" s="2094"/>
      <c r="X108" s="2094"/>
      <c r="Y108" s="2094"/>
      <c r="Z108" s="2094"/>
      <c r="AA108" s="2094"/>
      <c r="AB108" s="2095" t="s">
        <v>2373</v>
      </c>
      <c r="AC108" s="2095"/>
      <c r="AD108" s="2095"/>
      <c r="AE108" s="2095"/>
      <c r="AF108" s="2095"/>
      <c r="AG108" s="2095"/>
      <c r="AH108" s="2096"/>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07"/>
      <c r="C109" s="2008"/>
      <c r="D109" s="2008"/>
      <c r="E109" s="2008"/>
      <c r="F109" s="2008"/>
      <c r="G109" s="2008"/>
      <c r="H109" s="2008"/>
      <c r="I109" s="2008"/>
      <c r="J109" s="2008"/>
      <c r="K109" s="2008"/>
      <c r="L109" s="2008"/>
      <c r="M109" s="2008"/>
      <c r="N109" s="2008"/>
      <c r="O109" s="2008"/>
      <c r="P109" s="2008"/>
      <c r="Q109" s="2008"/>
      <c r="R109" s="2008"/>
      <c r="S109" s="2008"/>
      <c r="T109" s="2008"/>
      <c r="U109" s="2008"/>
      <c r="V109" s="2094"/>
      <c r="W109" s="2094"/>
      <c r="X109" s="2094"/>
      <c r="Y109" s="2094"/>
      <c r="Z109" s="2094"/>
      <c r="AA109" s="2094"/>
      <c r="AB109" s="2095"/>
      <c r="AC109" s="2095"/>
      <c r="AD109" s="2095"/>
      <c r="AE109" s="2095"/>
      <c r="AF109" s="2095"/>
      <c r="AG109" s="2095"/>
      <c r="AH109" s="2096"/>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07" t="s">
        <v>2372</v>
      </c>
      <c r="C110" s="2008"/>
      <c r="D110" s="2008"/>
      <c r="E110" s="2008"/>
      <c r="F110" s="2008"/>
      <c r="G110" s="2008"/>
      <c r="H110" s="2008"/>
      <c r="I110" s="2084">
        <v>0</v>
      </c>
      <c r="J110" s="2084"/>
      <c r="K110" s="2084"/>
      <c r="L110" s="2084"/>
      <c r="M110" s="2084"/>
      <c r="N110" s="2084"/>
      <c r="O110" s="2084">
        <v>0</v>
      </c>
      <c r="P110" s="2084"/>
      <c r="Q110" s="2084"/>
      <c r="R110" s="2084"/>
      <c r="S110" s="2084"/>
      <c r="T110" s="2084"/>
      <c r="U110" s="2084"/>
      <c r="V110" s="2084">
        <v>0</v>
      </c>
      <c r="W110" s="2084"/>
      <c r="X110" s="2084"/>
      <c r="Y110" s="2084"/>
      <c r="Z110" s="2084"/>
      <c r="AA110" s="2084"/>
      <c r="AB110" s="2084">
        <v>0</v>
      </c>
      <c r="AC110" s="2084"/>
      <c r="AD110" s="2084"/>
      <c r="AE110" s="2084"/>
      <c r="AF110" s="2084"/>
      <c r="AG110" s="2084"/>
      <c r="AH110" s="2085"/>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07" t="s">
        <v>2371</v>
      </c>
      <c r="C111" s="2008"/>
      <c r="D111" s="2008"/>
      <c r="E111" s="2008"/>
      <c r="F111" s="2008"/>
      <c r="G111" s="2008"/>
      <c r="H111" s="2008"/>
      <c r="I111" s="2084">
        <v>0</v>
      </c>
      <c r="J111" s="2084"/>
      <c r="K111" s="2084"/>
      <c r="L111" s="2084"/>
      <c r="M111" s="2084"/>
      <c r="N111" s="2084"/>
      <c r="O111" s="2084">
        <v>0</v>
      </c>
      <c r="P111" s="2084"/>
      <c r="Q111" s="2084"/>
      <c r="R111" s="2084"/>
      <c r="S111" s="2084"/>
      <c r="T111" s="2084"/>
      <c r="U111" s="2084"/>
      <c r="V111" s="2084">
        <v>0</v>
      </c>
      <c r="W111" s="2084"/>
      <c r="X111" s="2084"/>
      <c r="Y111" s="2084"/>
      <c r="Z111" s="2084"/>
      <c r="AA111" s="2084"/>
      <c r="AB111" s="2084">
        <v>0</v>
      </c>
      <c r="AC111" s="2084"/>
      <c r="AD111" s="2084"/>
      <c r="AE111" s="2084"/>
      <c r="AF111" s="2084"/>
      <c r="AG111" s="2084"/>
      <c r="AH111" s="2085"/>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5" t="s">
        <v>2370</v>
      </c>
      <c r="C112" s="2026"/>
      <c r="D112" s="2026"/>
      <c r="E112" s="2026"/>
      <c r="F112" s="2026"/>
      <c r="G112" s="2026"/>
      <c r="H112" s="2026"/>
      <c r="I112" s="2099">
        <v>0</v>
      </c>
      <c r="J112" s="2099"/>
      <c r="K112" s="2099"/>
      <c r="L112" s="2099"/>
      <c r="M112" s="2099"/>
      <c r="N112" s="2099"/>
      <c r="O112" s="2099">
        <v>0</v>
      </c>
      <c r="P112" s="2099"/>
      <c r="Q112" s="2099"/>
      <c r="R112" s="2099"/>
      <c r="S112" s="2099"/>
      <c r="T112" s="2099"/>
      <c r="U112" s="2099"/>
      <c r="V112" s="2099">
        <v>0</v>
      </c>
      <c r="W112" s="2099"/>
      <c r="X112" s="2099"/>
      <c r="Y112" s="2099"/>
      <c r="Z112" s="2099"/>
      <c r="AA112" s="2099"/>
      <c r="AB112" s="2099">
        <v>0</v>
      </c>
      <c r="AC112" s="2099"/>
      <c r="AD112" s="2099"/>
      <c r="AE112" s="2099"/>
      <c r="AF112" s="2099"/>
      <c r="AG112" s="2099"/>
      <c r="AH112" s="2100"/>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05"/>
      <c r="G115" s="2106"/>
      <c r="H115" s="2106"/>
      <c r="I115" s="2106"/>
      <c r="J115" s="2106"/>
      <c r="K115" s="2106"/>
      <c r="L115" s="2106"/>
      <c r="M115" s="2106"/>
      <c r="N115" s="2106"/>
      <c r="O115" s="2106"/>
      <c r="P115" s="2106"/>
      <c r="Q115" s="2106"/>
      <c r="R115" s="2107"/>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6" t="s">
        <v>2368</v>
      </c>
      <c r="C117" s="2117"/>
      <c r="D117" s="2117"/>
      <c r="E117" s="2117"/>
      <c r="F117" s="2117"/>
      <c r="G117" s="2117"/>
      <c r="H117" s="2117"/>
      <c r="I117" s="2117"/>
      <c r="J117" s="2117"/>
      <c r="K117" s="2117"/>
      <c r="L117" s="2117"/>
      <c r="M117" s="2117"/>
      <c r="N117" s="2117"/>
      <c r="O117" s="2117"/>
      <c r="P117" s="2117"/>
      <c r="Q117" s="2117"/>
      <c r="R117" s="2117"/>
      <c r="S117" s="2117"/>
      <c r="T117" s="2117"/>
      <c r="U117" s="2120" t="s">
        <v>546</v>
      </c>
      <c r="V117" s="2120"/>
      <c r="W117" s="2120"/>
      <c r="X117" s="2121"/>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8"/>
      <c r="C118" s="2119"/>
      <c r="D118" s="2119"/>
      <c r="E118" s="2119"/>
      <c r="F118" s="2119"/>
      <c r="G118" s="2119"/>
      <c r="H118" s="2119"/>
      <c r="I118" s="2119"/>
      <c r="J118" s="2119"/>
      <c r="K118" s="2119"/>
      <c r="L118" s="2119"/>
      <c r="M118" s="2119"/>
      <c r="N118" s="2119"/>
      <c r="O118" s="2119"/>
      <c r="P118" s="2119"/>
      <c r="Q118" s="2119"/>
      <c r="R118" s="2119"/>
      <c r="S118" s="2119"/>
      <c r="T118" s="2119"/>
      <c r="U118" s="2122"/>
      <c r="V118" s="2122"/>
      <c r="W118" s="2122"/>
      <c r="X118" s="2123"/>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8"/>
      <c r="C119" s="2119"/>
      <c r="D119" s="2119"/>
      <c r="E119" s="2119"/>
      <c r="F119" s="2119"/>
      <c r="G119" s="2119"/>
      <c r="H119" s="2119"/>
      <c r="I119" s="2119"/>
      <c r="J119" s="2119"/>
      <c r="K119" s="2119"/>
      <c r="L119" s="2119"/>
      <c r="M119" s="2119"/>
      <c r="N119" s="2119"/>
      <c r="O119" s="2119"/>
      <c r="P119" s="2119"/>
      <c r="Q119" s="2119"/>
      <c r="R119" s="2119"/>
      <c r="S119" s="2119"/>
      <c r="T119" s="2119"/>
      <c r="U119" s="2122"/>
      <c r="V119" s="2122"/>
      <c r="W119" s="2122"/>
      <c r="X119" s="2123"/>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8"/>
      <c r="C120" s="2119"/>
      <c r="D120" s="2119"/>
      <c r="E120" s="2119"/>
      <c r="F120" s="2119"/>
      <c r="G120" s="2119"/>
      <c r="H120" s="2119"/>
      <c r="I120" s="2119"/>
      <c r="J120" s="2119"/>
      <c r="K120" s="2119"/>
      <c r="L120" s="2119"/>
      <c r="M120" s="2119"/>
      <c r="N120" s="2119"/>
      <c r="O120" s="2119"/>
      <c r="P120" s="2119"/>
      <c r="Q120" s="2119"/>
      <c r="R120" s="2119"/>
      <c r="S120" s="2119"/>
      <c r="T120" s="2119"/>
      <c r="U120" s="2122"/>
      <c r="V120" s="2122"/>
      <c r="W120" s="2122"/>
      <c r="X120" s="2123"/>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4" t="s">
        <v>2368</v>
      </c>
      <c r="C121" s="2125"/>
      <c r="D121" s="2125"/>
      <c r="E121" s="2125"/>
      <c r="F121" s="2125"/>
      <c r="G121" s="2125"/>
      <c r="H121" s="2125"/>
      <c r="I121" s="2125"/>
      <c r="J121" s="2125"/>
      <c r="K121" s="2125"/>
      <c r="L121" s="2125"/>
      <c r="M121" s="2125"/>
      <c r="N121" s="2125"/>
      <c r="O121" s="2125"/>
      <c r="P121" s="2125"/>
      <c r="Q121" s="2125"/>
      <c r="R121" s="2125"/>
      <c r="S121" s="2125"/>
      <c r="T121" s="2125"/>
      <c r="U121" s="2128" t="s">
        <v>546</v>
      </c>
      <c r="V121" s="2128"/>
      <c r="W121" s="2128"/>
      <c r="X121" s="2129"/>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6"/>
      <c r="C122" s="2127"/>
      <c r="D122" s="2127"/>
      <c r="E122" s="2127"/>
      <c r="F122" s="2127"/>
      <c r="G122" s="2127"/>
      <c r="H122" s="2127"/>
      <c r="I122" s="2127"/>
      <c r="J122" s="2127"/>
      <c r="K122" s="2127"/>
      <c r="L122" s="2127"/>
      <c r="M122" s="2127"/>
      <c r="N122" s="2127"/>
      <c r="O122" s="2127"/>
      <c r="P122" s="2127"/>
      <c r="Q122" s="2127"/>
      <c r="R122" s="2127"/>
      <c r="S122" s="2127"/>
      <c r="T122" s="2127"/>
      <c r="U122" s="2130"/>
      <c r="V122" s="2130"/>
      <c r="W122" s="2130"/>
      <c r="X122" s="2131"/>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6" t="s">
        <v>2366</v>
      </c>
      <c r="Y125" s="2087"/>
      <c r="Z125" s="2087"/>
      <c r="AA125" s="2087"/>
      <c r="AB125" s="2087"/>
      <c r="AC125" s="2087"/>
      <c r="AD125" s="2087"/>
      <c r="AE125" s="2087"/>
      <c r="AF125" s="2087"/>
      <c r="AG125" s="2087"/>
      <c r="AH125" s="2087"/>
      <c r="AI125" s="2087"/>
      <c r="AJ125" s="2087"/>
      <c r="AK125" s="2087"/>
      <c r="AL125" s="2087"/>
      <c r="AM125" s="2087"/>
      <c r="AN125" s="2087"/>
      <c r="AO125" s="2087"/>
      <c r="AP125" s="2087"/>
      <c r="AQ125" s="2087"/>
      <c r="AR125" s="2087"/>
      <c r="AS125" s="2087"/>
      <c r="AT125" s="2087"/>
      <c r="AU125" s="2087"/>
      <c r="AV125" s="2087"/>
      <c r="AW125" s="2087"/>
      <c r="AX125" s="2087"/>
      <c r="AY125" s="2087"/>
      <c r="AZ125" s="2087"/>
      <c r="BA125" s="2087"/>
      <c r="BB125" s="2087"/>
      <c r="BC125" s="2087"/>
      <c r="BD125" s="2132"/>
      <c r="BE125" s="1196"/>
    </row>
    <row r="126" spans="1:57" ht="15.75" customHeight="1">
      <c r="A126" s="1192"/>
      <c r="B126" s="2134" t="s">
        <v>1576</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2"/>
      <c r="W126" s="1192"/>
      <c r="X126" s="2088"/>
      <c r="Y126" s="2089"/>
      <c r="Z126" s="2089"/>
      <c r="AA126" s="2089"/>
      <c r="AB126" s="2089"/>
      <c r="AC126" s="2089"/>
      <c r="AD126" s="2089"/>
      <c r="AE126" s="2089"/>
      <c r="AF126" s="2089"/>
      <c r="AG126" s="2089"/>
      <c r="AH126" s="2089"/>
      <c r="AI126" s="2089"/>
      <c r="AJ126" s="2089"/>
      <c r="AK126" s="2089"/>
      <c r="AL126" s="2089"/>
      <c r="AM126" s="2089"/>
      <c r="AN126" s="2089"/>
      <c r="AO126" s="2089"/>
      <c r="AP126" s="2089"/>
      <c r="AQ126" s="2089"/>
      <c r="AR126" s="2089"/>
      <c r="AS126" s="2089"/>
      <c r="AT126" s="2089"/>
      <c r="AU126" s="2089"/>
      <c r="AV126" s="2089"/>
      <c r="AW126" s="2089"/>
      <c r="AX126" s="2089"/>
      <c r="AY126" s="2089"/>
      <c r="AZ126" s="2089"/>
      <c r="BA126" s="2089"/>
      <c r="BB126" s="2089"/>
      <c r="BC126" s="2089"/>
      <c r="BD126" s="2133"/>
      <c r="BE126" s="1196"/>
    </row>
    <row r="127" spans="1:57" ht="15.75" customHeight="1">
      <c r="A127" s="1192"/>
      <c r="B127" s="2152"/>
      <c r="C127" s="2153"/>
      <c r="D127" s="2153"/>
      <c r="E127" s="2153"/>
      <c r="F127" s="2153"/>
      <c r="G127" s="2153"/>
      <c r="H127" s="2153"/>
      <c r="I127" s="2008" t="s">
        <v>2365</v>
      </c>
      <c r="J127" s="2008"/>
      <c r="K127" s="2008"/>
      <c r="L127" s="2008"/>
      <c r="M127" s="2008"/>
      <c r="N127" s="2008"/>
      <c r="O127" s="2108" t="s">
        <v>2364</v>
      </c>
      <c r="P127" s="2108"/>
      <c r="Q127" s="2108"/>
      <c r="R127" s="2108"/>
      <c r="S127" s="2108"/>
      <c r="T127" s="2108"/>
      <c r="U127" s="2109"/>
      <c r="V127" s="1192"/>
      <c r="W127" s="1192"/>
      <c r="X127" s="2073" t="s">
        <v>2334</v>
      </c>
      <c r="Y127" s="2074"/>
      <c r="Z127" s="2074"/>
      <c r="AA127" s="2074"/>
      <c r="AB127" s="2074"/>
      <c r="AC127" s="2074"/>
      <c r="AD127" s="2074"/>
      <c r="AE127" s="2074"/>
      <c r="AF127" s="2074"/>
      <c r="AG127" s="2074"/>
      <c r="AH127" s="2074"/>
      <c r="AI127" s="2074"/>
      <c r="AJ127" s="2074"/>
      <c r="AK127" s="2074"/>
      <c r="AL127" s="2074"/>
      <c r="AM127" s="2074"/>
      <c r="AN127" s="2074"/>
      <c r="AO127" s="2074"/>
      <c r="AP127" s="2074"/>
      <c r="AQ127" s="2074"/>
      <c r="AR127" s="2074"/>
      <c r="AS127" s="2074"/>
      <c r="AT127" s="2074"/>
      <c r="AU127" s="2074"/>
      <c r="AV127" s="2074"/>
      <c r="AW127" s="2074"/>
      <c r="AX127" s="2074"/>
      <c r="AY127" s="2074"/>
      <c r="AZ127" s="2074"/>
      <c r="BA127" s="2074"/>
      <c r="BB127" s="2074"/>
      <c r="BC127" s="2074"/>
      <c r="BD127" s="2075"/>
      <c r="BE127" s="1196"/>
    </row>
    <row r="128" spans="1:57" ht="15.75" customHeight="1">
      <c r="A128" s="1192"/>
      <c r="B128" s="2110" t="s">
        <v>2348</v>
      </c>
      <c r="C128" s="2111"/>
      <c r="D128" s="2111"/>
      <c r="E128" s="2111"/>
      <c r="F128" s="2111"/>
      <c r="G128" s="2111"/>
      <c r="H128" s="2111"/>
      <c r="I128" s="2084">
        <v>0</v>
      </c>
      <c r="J128" s="2084"/>
      <c r="K128" s="2084"/>
      <c r="L128" s="2084"/>
      <c r="M128" s="2084"/>
      <c r="N128" s="2084"/>
      <c r="O128" s="2084">
        <v>0</v>
      </c>
      <c r="P128" s="2084"/>
      <c r="Q128" s="2084"/>
      <c r="R128" s="2084"/>
      <c r="S128" s="2084"/>
      <c r="T128" s="2084"/>
      <c r="U128" s="2085"/>
      <c r="V128" s="1192"/>
      <c r="W128" s="1192"/>
      <c r="X128" s="2073"/>
      <c r="Y128" s="2074"/>
      <c r="Z128" s="2074"/>
      <c r="AA128" s="2074"/>
      <c r="AB128" s="2074"/>
      <c r="AC128" s="2074"/>
      <c r="AD128" s="2074"/>
      <c r="AE128" s="2074"/>
      <c r="AF128" s="2074"/>
      <c r="AG128" s="2074"/>
      <c r="AH128" s="2074"/>
      <c r="AI128" s="2074"/>
      <c r="AJ128" s="2074"/>
      <c r="AK128" s="2074"/>
      <c r="AL128" s="2074"/>
      <c r="AM128" s="2074"/>
      <c r="AN128" s="2074"/>
      <c r="AO128" s="2074"/>
      <c r="AP128" s="2074"/>
      <c r="AQ128" s="2074"/>
      <c r="AR128" s="2074"/>
      <c r="AS128" s="2074"/>
      <c r="AT128" s="2074"/>
      <c r="AU128" s="2074"/>
      <c r="AV128" s="2074"/>
      <c r="AW128" s="2074"/>
      <c r="AX128" s="2074"/>
      <c r="AY128" s="2074"/>
      <c r="AZ128" s="2074"/>
      <c r="BA128" s="2074"/>
      <c r="BB128" s="2074"/>
      <c r="BC128" s="2074"/>
      <c r="BD128" s="2075"/>
      <c r="BE128" s="1196"/>
    </row>
    <row r="129" spans="1:57" ht="15.75" customHeight="1" thickBot="1">
      <c r="A129" s="1192"/>
      <c r="B129" s="2112" t="s">
        <v>2347</v>
      </c>
      <c r="C129" s="2113"/>
      <c r="D129" s="2113"/>
      <c r="E129" s="2113"/>
      <c r="F129" s="2113"/>
      <c r="G129" s="2113"/>
      <c r="H129" s="2113"/>
      <c r="I129" s="2099">
        <v>0</v>
      </c>
      <c r="J129" s="2099"/>
      <c r="K129" s="2099"/>
      <c r="L129" s="2099"/>
      <c r="M129" s="2099"/>
      <c r="N129" s="2099"/>
      <c r="O129" s="2114"/>
      <c r="P129" s="2114"/>
      <c r="Q129" s="2114"/>
      <c r="R129" s="2114"/>
      <c r="S129" s="2114"/>
      <c r="T129" s="2114"/>
      <c r="U129" s="2115"/>
      <c r="V129" s="1192"/>
      <c r="W129" s="1192"/>
      <c r="X129" s="2073"/>
      <c r="Y129" s="2074"/>
      <c r="Z129" s="2074"/>
      <c r="AA129" s="2074"/>
      <c r="AB129" s="2074"/>
      <c r="AC129" s="2074"/>
      <c r="AD129" s="2074"/>
      <c r="AE129" s="2074"/>
      <c r="AF129" s="2074"/>
      <c r="AG129" s="2074"/>
      <c r="AH129" s="2074"/>
      <c r="AI129" s="2074"/>
      <c r="AJ129" s="2074"/>
      <c r="AK129" s="2074"/>
      <c r="AL129" s="2074"/>
      <c r="AM129" s="2074"/>
      <c r="AN129" s="2074"/>
      <c r="AO129" s="2074"/>
      <c r="AP129" s="2074"/>
      <c r="AQ129" s="2074"/>
      <c r="AR129" s="2074"/>
      <c r="AS129" s="2074"/>
      <c r="AT129" s="2074"/>
      <c r="AU129" s="2074"/>
      <c r="AV129" s="2074"/>
      <c r="AW129" s="2074"/>
      <c r="AX129" s="2074"/>
      <c r="AY129" s="2074"/>
      <c r="AZ129" s="2074"/>
      <c r="BA129" s="2074"/>
      <c r="BB129" s="2074"/>
      <c r="BC129" s="2074"/>
      <c r="BD129" s="2075"/>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3"/>
      <c r="Y130" s="2074"/>
      <c r="Z130" s="2074"/>
      <c r="AA130" s="2074"/>
      <c r="AB130" s="2074"/>
      <c r="AC130" s="2074"/>
      <c r="AD130" s="2074"/>
      <c r="AE130" s="2074"/>
      <c r="AF130" s="2074"/>
      <c r="AG130" s="2074"/>
      <c r="AH130" s="2074"/>
      <c r="AI130" s="2074"/>
      <c r="AJ130" s="2074"/>
      <c r="AK130" s="2074"/>
      <c r="AL130" s="2074"/>
      <c r="AM130" s="2074"/>
      <c r="AN130" s="2074"/>
      <c r="AO130" s="2074"/>
      <c r="AP130" s="2074"/>
      <c r="AQ130" s="2074"/>
      <c r="AR130" s="2074"/>
      <c r="AS130" s="2074"/>
      <c r="AT130" s="2074"/>
      <c r="AU130" s="2074"/>
      <c r="AV130" s="2074"/>
      <c r="AW130" s="2074"/>
      <c r="AX130" s="2074"/>
      <c r="AY130" s="2074"/>
      <c r="AZ130" s="2074"/>
      <c r="BA130" s="2074"/>
      <c r="BB130" s="2074"/>
      <c r="BC130" s="2074"/>
      <c r="BD130" s="2075"/>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73"/>
      <c r="Y131" s="2074"/>
      <c r="Z131" s="2074"/>
      <c r="AA131" s="2074"/>
      <c r="AB131" s="2074"/>
      <c r="AC131" s="2074"/>
      <c r="AD131" s="2074"/>
      <c r="AE131" s="2074"/>
      <c r="AF131" s="2074"/>
      <c r="AG131" s="2074"/>
      <c r="AH131" s="2074"/>
      <c r="AI131" s="2074"/>
      <c r="AJ131" s="2074"/>
      <c r="AK131" s="2074"/>
      <c r="AL131" s="2074"/>
      <c r="AM131" s="2074"/>
      <c r="AN131" s="2074"/>
      <c r="AO131" s="2074"/>
      <c r="AP131" s="2074"/>
      <c r="AQ131" s="2074"/>
      <c r="AR131" s="2074"/>
      <c r="AS131" s="2074"/>
      <c r="AT131" s="2074"/>
      <c r="AU131" s="2074"/>
      <c r="AV131" s="2074"/>
      <c r="AW131" s="2074"/>
      <c r="AX131" s="2074"/>
      <c r="AY131" s="2074"/>
      <c r="AZ131" s="2074"/>
      <c r="BA131" s="2074"/>
      <c r="BB131" s="2074"/>
      <c r="BC131" s="2074"/>
      <c r="BD131" s="2075"/>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196"/>
    </row>
    <row r="133" spans="1:57" ht="15.75" customHeight="1">
      <c r="A133" s="1192"/>
      <c r="B133" s="1909" t="s">
        <v>2362</v>
      </c>
      <c r="C133" s="1910"/>
      <c r="D133" s="1910"/>
      <c r="E133" s="1910"/>
      <c r="F133" s="1910"/>
      <c r="G133" s="1910"/>
      <c r="H133" s="1910"/>
      <c r="I133" s="1910"/>
      <c r="J133" s="1910"/>
      <c r="K133" s="1910"/>
      <c r="L133" s="1910"/>
      <c r="M133" s="1910"/>
      <c r="N133" s="1910"/>
      <c r="O133" s="1910"/>
      <c r="P133" s="1910"/>
      <c r="Q133" s="1910"/>
      <c r="R133" s="1910"/>
      <c r="S133" s="1910"/>
      <c r="T133" s="1910"/>
      <c r="U133" s="1911"/>
      <c r="V133" s="1192"/>
      <c r="W133" s="1192"/>
      <c r="X133" s="2073"/>
      <c r="Y133" s="2074"/>
      <c r="Z133" s="2074"/>
      <c r="AA133" s="2074"/>
      <c r="AB133" s="2074"/>
      <c r="AC133" s="2074"/>
      <c r="AD133" s="2074"/>
      <c r="AE133" s="2074"/>
      <c r="AF133" s="2074"/>
      <c r="AG133" s="2074"/>
      <c r="AH133" s="2074"/>
      <c r="AI133" s="2074"/>
      <c r="AJ133" s="2074"/>
      <c r="AK133" s="2074"/>
      <c r="AL133" s="2074"/>
      <c r="AM133" s="2074"/>
      <c r="AN133" s="2074"/>
      <c r="AO133" s="2074"/>
      <c r="AP133" s="2074"/>
      <c r="AQ133" s="2074"/>
      <c r="AR133" s="2074"/>
      <c r="AS133" s="2074"/>
      <c r="AT133" s="2074"/>
      <c r="AU133" s="2074"/>
      <c r="AV133" s="2074"/>
      <c r="AW133" s="2074"/>
      <c r="AX133" s="2074"/>
      <c r="AY133" s="2074"/>
      <c r="AZ133" s="2074"/>
      <c r="BA133" s="2074"/>
      <c r="BB133" s="2074"/>
      <c r="BC133" s="2074"/>
      <c r="BD133" s="2075"/>
      <c r="BE133" s="1196"/>
    </row>
    <row r="134" spans="1:57" ht="15.75" customHeight="1">
      <c r="A134" s="1192"/>
      <c r="B134" s="2152"/>
      <c r="C134" s="2153"/>
      <c r="D134" s="2153"/>
      <c r="E134" s="2153"/>
      <c r="F134" s="2153"/>
      <c r="G134" s="2153"/>
      <c r="H134" s="2153"/>
      <c r="I134" s="2154" t="s">
        <v>2350</v>
      </c>
      <c r="J134" s="2154"/>
      <c r="K134" s="2154"/>
      <c r="L134" s="2154"/>
      <c r="M134" s="2154"/>
      <c r="N134" s="2154"/>
      <c r="O134" s="2154"/>
      <c r="P134" s="2154" t="s">
        <v>2349</v>
      </c>
      <c r="Q134" s="2154"/>
      <c r="R134" s="2154"/>
      <c r="S134" s="2154"/>
      <c r="T134" s="2154"/>
      <c r="U134" s="2155"/>
      <c r="V134" s="1192"/>
      <c r="W134" s="1192"/>
      <c r="X134" s="2073"/>
      <c r="Y134" s="2074"/>
      <c r="Z134" s="2074"/>
      <c r="AA134" s="2074"/>
      <c r="AB134" s="2074"/>
      <c r="AC134" s="2074"/>
      <c r="AD134" s="2074"/>
      <c r="AE134" s="2074"/>
      <c r="AF134" s="2074"/>
      <c r="AG134" s="2074"/>
      <c r="AH134" s="2074"/>
      <c r="AI134" s="2074"/>
      <c r="AJ134" s="2074"/>
      <c r="AK134" s="2074"/>
      <c r="AL134" s="2074"/>
      <c r="AM134" s="2074"/>
      <c r="AN134" s="2074"/>
      <c r="AO134" s="2074"/>
      <c r="AP134" s="2074"/>
      <c r="AQ134" s="2074"/>
      <c r="AR134" s="2074"/>
      <c r="AS134" s="2074"/>
      <c r="AT134" s="2074"/>
      <c r="AU134" s="2074"/>
      <c r="AV134" s="2074"/>
      <c r="AW134" s="2074"/>
      <c r="AX134" s="2074"/>
      <c r="AY134" s="2074"/>
      <c r="AZ134" s="2074"/>
      <c r="BA134" s="2074"/>
      <c r="BB134" s="2074"/>
      <c r="BC134" s="2074"/>
      <c r="BD134" s="2075"/>
      <c r="BE134" s="1196"/>
    </row>
    <row r="135" spans="1:57" ht="15.75" customHeight="1">
      <c r="A135" s="1192"/>
      <c r="B135" s="2152"/>
      <c r="C135" s="2153"/>
      <c r="D135" s="2153"/>
      <c r="E135" s="2153"/>
      <c r="F135" s="2153"/>
      <c r="G135" s="2153"/>
      <c r="H135" s="2153"/>
      <c r="I135" s="2154"/>
      <c r="J135" s="2154"/>
      <c r="K135" s="2154"/>
      <c r="L135" s="2154"/>
      <c r="M135" s="2154"/>
      <c r="N135" s="2154"/>
      <c r="O135" s="2154"/>
      <c r="P135" s="2154"/>
      <c r="Q135" s="2154"/>
      <c r="R135" s="2154"/>
      <c r="S135" s="2154"/>
      <c r="T135" s="2154"/>
      <c r="U135" s="2155"/>
      <c r="V135" s="1192"/>
      <c r="W135" s="1192"/>
      <c r="X135" s="2073"/>
      <c r="Y135" s="2074"/>
      <c r="Z135" s="2074"/>
      <c r="AA135" s="2074"/>
      <c r="AB135" s="2074"/>
      <c r="AC135" s="2074"/>
      <c r="AD135" s="2074"/>
      <c r="AE135" s="2074"/>
      <c r="AF135" s="2074"/>
      <c r="AG135" s="2074"/>
      <c r="AH135" s="2074"/>
      <c r="AI135" s="2074"/>
      <c r="AJ135" s="2074"/>
      <c r="AK135" s="2074"/>
      <c r="AL135" s="2074"/>
      <c r="AM135" s="2074"/>
      <c r="AN135" s="2074"/>
      <c r="AO135" s="2074"/>
      <c r="AP135" s="2074"/>
      <c r="AQ135" s="2074"/>
      <c r="AR135" s="2074"/>
      <c r="AS135" s="2074"/>
      <c r="AT135" s="2074"/>
      <c r="AU135" s="2074"/>
      <c r="AV135" s="2074"/>
      <c r="AW135" s="2074"/>
      <c r="AX135" s="2074"/>
      <c r="AY135" s="2074"/>
      <c r="AZ135" s="2074"/>
      <c r="BA135" s="2074"/>
      <c r="BB135" s="2074"/>
      <c r="BC135" s="2074"/>
      <c r="BD135" s="2075"/>
      <c r="BE135" s="1196"/>
    </row>
    <row r="136" spans="1:57" ht="15.75" customHeight="1">
      <c r="A136" s="1192"/>
      <c r="B136" s="2110" t="s">
        <v>2348</v>
      </c>
      <c r="C136" s="2111"/>
      <c r="D136" s="2111"/>
      <c r="E136" s="2111"/>
      <c r="F136" s="2111"/>
      <c r="G136" s="2111"/>
      <c r="H136" s="2111"/>
      <c r="I136" s="2084">
        <v>0</v>
      </c>
      <c r="J136" s="2084"/>
      <c r="K136" s="2084"/>
      <c r="L136" s="2084"/>
      <c r="M136" s="2084"/>
      <c r="N136" s="2084"/>
      <c r="O136" s="2084"/>
      <c r="P136" s="2084">
        <v>0</v>
      </c>
      <c r="Q136" s="2084"/>
      <c r="R136" s="2084"/>
      <c r="S136" s="2084"/>
      <c r="T136" s="2084"/>
      <c r="U136" s="2085"/>
      <c r="V136" s="1192"/>
      <c r="W136" s="1192"/>
      <c r="X136" s="2073"/>
      <c r="Y136" s="2074"/>
      <c r="Z136" s="2074"/>
      <c r="AA136" s="2074"/>
      <c r="AB136" s="2074"/>
      <c r="AC136" s="2074"/>
      <c r="AD136" s="2074"/>
      <c r="AE136" s="2074"/>
      <c r="AF136" s="2074"/>
      <c r="AG136" s="2074"/>
      <c r="AH136" s="2074"/>
      <c r="AI136" s="2074"/>
      <c r="AJ136" s="2074"/>
      <c r="AK136" s="2074"/>
      <c r="AL136" s="2074"/>
      <c r="AM136" s="2074"/>
      <c r="AN136" s="2074"/>
      <c r="AO136" s="2074"/>
      <c r="AP136" s="2074"/>
      <c r="AQ136" s="2074"/>
      <c r="AR136" s="2074"/>
      <c r="AS136" s="2074"/>
      <c r="AT136" s="2074"/>
      <c r="AU136" s="2074"/>
      <c r="AV136" s="2074"/>
      <c r="AW136" s="2074"/>
      <c r="AX136" s="2074"/>
      <c r="AY136" s="2074"/>
      <c r="AZ136" s="2074"/>
      <c r="BA136" s="2074"/>
      <c r="BB136" s="2074"/>
      <c r="BC136" s="2074"/>
      <c r="BD136" s="2075"/>
      <c r="BE136" s="1196"/>
    </row>
    <row r="137" spans="1:57" ht="15.75" customHeight="1" thickBot="1">
      <c r="A137" s="1192"/>
      <c r="B137" s="2112" t="s">
        <v>2347</v>
      </c>
      <c r="C137" s="2113"/>
      <c r="D137" s="2113"/>
      <c r="E137" s="2113"/>
      <c r="F137" s="2113"/>
      <c r="G137" s="2113"/>
      <c r="H137" s="2113"/>
      <c r="I137" s="2099">
        <v>0</v>
      </c>
      <c r="J137" s="2099"/>
      <c r="K137" s="2099"/>
      <c r="L137" s="2099"/>
      <c r="M137" s="2099"/>
      <c r="N137" s="2099"/>
      <c r="O137" s="2099"/>
      <c r="P137" s="2099">
        <v>0</v>
      </c>
      <c r="Q137" s="2099"/>
      <c r="R137" s="2099"/>
      <c r="S137" s="2099"/>
      <c r="T137" s="2099"/>
      <c r="U137" s="2100"/>
      <c r="V137" s="1192"/>
      <c r="W137" s="1192"/>
      <c r="X137" s="2076"/>
      <c r="Y137" s="2077"/>
      <c r="Z137" s="2077"/>
      <c r="AA137" s="2077"/>
      <c r="AB137" s="2077"/>
      <c r="AC137" s="2077"/>
      <c r="AD137" s="2077"/>
      <c r="AE137" s="2077"/>
      <c r="AF137" s="2077"/>
      <c r="AG137" s="2077"/>
      <c r="AH137" s="2077"/>
      <c r="AI137" s="2077"/>
      <c r="AJ137" s="2077"/>
      <c r="AK137" s="2077"/>
      <c r="AL137" s="2077"/>
      <c r="AM137" s="2077"/>
      <c r="AN137" s="2077"/>
      <c r="AO137" s="2077"/>
      <c r="AP137" s="2077"/>
      <c r="AQ137" s="2077"/>
      <c r="AR137" s="2077"/>
      <c r="AS137" s="2077"/>
      <c r="AT137" s="2077"/>
      <c r="AU137" s="2077"/>
      <c r="AV137" s="2077"/>
      <c r="AW137" s="2077"/>
      <c r="AX137" s="2077"/>
      <c r="AY137" s="2077"/>
      <c r="AZ137" s="2077"/>
      <c r="BA137" s="2077"/>
      <c r="BB137" s="2077"/>
      <c r="BC137" s="2077"/>
      <c r="BD137" s="2078"/>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50" t="s">
        <v>2361</v>
      </c>
      <c r="C139" s="2151"/>
      <c r="D139" s="2151"/>
      <c r="E139" s="2151"/>
      <c r="F139" s="2151"/>
      <c r="G139" s="2151"/>
      <c r="H139" s="2151"/>
      <c r="I139" s="2151"/>
      <c r="J139" s="2151"/>
      <c r="K139" s="2151"/>
      <c r="L139" s="2151"/>
      <c r="M139" s="2151"/>
      <c r="N139" s="2151"/>
      <c r="O139" s="2151"/>
      <c r="P139" s="2151"/>
      <c r="Q139" s="2151"/>
      <c r="R139" s="2151"/>
      <c r="S139" s="2151"/>
      <c r="T139" s="2151"/>
      <c r="U139" s="2151"/>
      <c r="V139" s="2151"/>
      <c r="W139" s="2151"/>
      <c r="X139" s="2151"/>
      <c r="Y139" s="2151"/>
      <c r="Z139" s="2151"/>
      <c r="AA139" s="2151"/>
      <c r="AB139" s="2151"/>
      <c r="AC139" s="2151"/>
      <c r="AD139" s="2151"/>
      <c r="AE139" s="2151"/>
      <c r="AF139" s="2151"/>
      <c r="AG139" s="2151"/>
      <c r="AH139" s="2032" t="s">
        <v>546</v>
      </c>
      <c r="AI139" s="2032"/>
      <c r="AJ139" s="2032"/>
      <c r="AK139" s="2032"/>
      <c r="AL139" s="2032"/>
      <c r="AM139" s="2032"/>
      <c r="AN139" s="2032"/>
      <c r="AO139" s="2032"/>
      <c r="AP139" s="2032"/>
      <c r="AQ139" s="2032"/>
      <c r="AR139" s="2032"/>
      <c r="AS139" s="2032"/>
      <c r="AT139" s="2032"/>
      <c r="AU139" s="2032"/>
      <c r="AV139" s="2032"/>
      <c r="AW139" s="2032"/>
      <c r="AX139" s="2033"/>
      <c r="AY139" s="1192"/>
      <c r="AZ139" s="1192"/>
      <c r="BA139" s="1192"/>
      <c r="BB139" s="1192"/>
      <c r="BC139" s="1192"/>
      <c r="BD139" s="1192"/>
      <c r="BE139" s="1196"/>
    </row>
    <row r="140" spans="1:57" ht="15.75" customHeight="1" thickBot="1">
      <c r="A140" s="1192"/>
      <c r="B140" s="2137" t="s">
        <v>2360</v>
      </c>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9"/>
      <c r="AH140" s="2101"/>
      <c r="AI140" s="2102"/>
      <c r="AJ140" s="2102"/>
      <c r="AK140" s="2102"/>
      <c r="AL140" s="2102"/>
      <c r="AM140" s="2102"/>
      <c r="AN140" s="2102"/>
      <c r="AO140" s="2102"/>
      <c r="AP140" s="2102"/>
      <c r="AQ140" s="2102"/>
      <c r="AR140" s="2102"/>
      <c r="AS140" s="2102"/>
      <c r="AT140" s="2102"/>
      <c r="AU140" s="2102"/>
      <c r="AV140" s="2102"/>
      <c r="AW140" s="2102"/>
      <c r="AX140" s="2103"/>
      <c r="AY140" s="1192"/>
      <c r="AZ140" s="1192"/>
      <c r="BA140" s="1192"/>
      <c r="BB140" s="1192"/>
      <c r="BC140" s="1192"/>
      <c r="BD140" s="1192"/>
      <c r="BE140" s="1196"/>
    </row>
    <row r="141" spans="1:57" ht="15.75" customHeight="1">
      <c r="A141" s="1192"/>
      <c r="B141" s="2137" t="s">
        <v>2359</v>
      </c>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9"/>
      <c r="AH141" s="2032" t="s">
        <v>546</v>
      </c>
      <c r="AI141" s="2032"/>
      <c r="AJ141" s="2032"/>
      <c r="AK141" s="2032"/>
      <c r="AL141" s="2032"/>
      <c r="AM141" s="2032"/>
      <c r="AN141" s="2032"/>
      <c r="AO141" s="2032"/>
      <c r="AP141" s="2032"/>
      <c r="AQ141" s="2032"/>
      <c r="AR141" s="2032"/>
      <c r="AS141" s="2032"/>
      <c r="AT141" s="2032"/>
      <c r="AU141" s="2032"/>
      <c r="AV141" s="2032"/>
      <c r="AW141" s="2032"/>
      <c r="AX141" s="2033"/>
      <c r="AY141" s="1192"/>
      <c r="AZ141" s="1192"/>
      <c r="BA141" s="1192"/>
      <c r="BB141" s="1192"/>
      <c r="BC141" s="1192"/>
      <c r="BD141" s="1192"/>
      <c r="BE141" s="1196"/>
    </row>
    <row r="142" spans="1:57" ht="15.75" customHeight="1">
      <c r="A142" s="1192"/>
      <c r="B142" s="2140" t="s">
        <v>2358</v>
      </c>
      <c r="C142" s="2141"/>
      <c r="D142" s="2141"/>
      <c r="E142" s="2141"/>
      <c r="F142" s="2141"/>
      <c r="G142" s="2141"/>
      <c r="H142" s="2141"/>
      <c r="I142" s="2141"/>
      <c r="J142" s="2141"/>
      <c r="K142" s="2141"/>
      <c r="L142" s="2141"/>
      <c r="M142" s="2141"/>
      <c r="N142" s="2141"/>
      <c r="O142" s="2141"/>
      <c r="P142" s="2141"/>
      <c r="Q142" s="2141"/>
      <c r="R142" s="2142" t="s">
        <v>2357</v>
      </c>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192"/>
      <c r="AZ142" s="1192"/>
      <c r="BA142" s="1192"/>
      <c r="BB142" s="1192"/>
      <c r="BC142" s="1192" t="s">
        <v>250</v>
      </c>
      <c r="BD142" s="1192"/>
      <c r="BE142" s="1196"/>
    </row>
    <row r="143" spans="1:57" ht="15.75" customHeight="1">
      <c r="A143" s="1192"/>
      <c r="B143" s="2144" t="s">
        <v>2356</v>
      </c>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192"/>
      <c r="AZ143" s="1192"/>
      <c r="BA143" s="1192"/>
      <c r="BB143" s="1192"/>
      <c r="BC143" s="1192"/>
      <c r="BD143" s="1192"/>
      <c r="BE143" s="1196"/>
    </row>
    <row r="144" spans="1:57" ht="15.75" customHeight="1">
      <c r="A144" s="1192"/>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192"/>
      <c r="AZ144" s="1192"/>
      <c r="BA144" s="1192"/>
      <c r="BB144" s="1192"/>
      <c r="BC144" s="1192"/>
      <c r="BD144" s="1192"/>
      <c r="BE144" s="1196"/>
    </row>
    <row r="145" spans="1:57" ht="15.75" customHeight="1">
      <c r="A145" s="1192"/>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192"/>
      <c r="AZ145" s="1192"/>
      <c r="BA145" s="1192"/>
      <c r="BB145" s="1192"/>
      <c r="BC145" s="1192"/>
      <c r="BD145" s="1192"/>
      <c r="BE145" s="1196"/>
    </row>
    <row r="146" spans="1:57" ht="15.75" customHeight="1">
      <c r="A146" s="1192"/>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192"/>
      <c r="AZ146" s="1192"/>
      <c r="BA146" s="1192"/>
      <c r="BB146" s="1192"/>
      <c r="BC146" s="1192"/>
      <c r="BD146" s="1192"/>
      <c r="BE146" s="1196"/>
    </row>
    <row r="147" spans="1:57" ht="15.75" customHeight="1">
      <c r="A147" s="1192"/>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192"/>
      <c r="AZ147" s="1192"/>
      <c r="BA147" s="1192"/>
      <c r="BB147" s="1192"/>
      <c r="BC147" s="1192"/>
      <c r="BD147" s="1192"/>
      <c r="BE147" s="1196"/>
    </row>
    <row r="148" spans="1:57" ht="15.75" customHeight="1">
      <c r="A148" s="1192"/>
      <c r="B148" s="2144"/>
      <c r="C148" s="2145"/>
      <c r="D148" s="2145"/>
      <c r="E148" s="2145"/>
      <c r="F148" s="2145"/>
      <c r="G148" s="2145"/>
      <c r="H148" s="2145"/>
      <c r="I148" s="2145"/>
      <c r="J148" s="2145"/>
      <c r="K148" s="2145"/>
      <c r="L148" s="2145"/>
      <c r="M148" s="2145"/>
      <c r="N148" s="2145"/>
      <c r="O148" s="2145"/>
      <c r="P148" s="2145"/>
      <c r="Q148" s="2145"/>
      <c r="R148" s="2145"/>
      <c r="S148" s="2145"/>
      <c r="T148" s="2145"/>
      <c r="U148" s="2145"/>
      <c r="V148" s="2145"/>
      <c r="W148" s="2145"/>
      <c r="X148" s="2145"/>
      <c r="Y148" s="2145"/>
      <c r="Z148" s="2145"/>
      <c r="AA148" s="2145"/>
      <c r="AB148" s="2145"/>
      <c r="AC148" s="2145"/>
      <c r="AD148" s="2145"/>
      <c r="AE148" s="2145"/>
      <c r="AF148" s="2145"/>
      <c r="AG148" s="2145"/>
      <c r="AH148" s="2145"/>
      <c r="AI148" s="2145"/>
      <c r="AJ148" s="2145"/>
      <c r="AK148" s="2145"/>
      <c r="AL148" s="2145"/>
      <c r="AM148" s="2145"/>
      <c r="AN148" s="2145"/>
      <c r="AO148" s="2145"/>
      <c r="AP148" s="2145"/>
      <c r="AQ148" s="2145"/>
      <c r="AR148" s="2145"/>
      <c r="AS148" s="2145"/>
      <c r="AT148" s="2145"/>
      <c r="AU148" s="2145"/>
      <c r="AV148" s="2145"/>
      <c r="AW148" s="2145"/>
      <c r="AX148" s="2146"/>
      <c r="AY148" s="1192"/>
      <c r="AZ148" s="1192"/>
      <c r="BA148" s="1192"/>
      <c r="BB148" s="1192"/>
      <c r="BC148" s="1192"/>
      <c r="BD148" s="1192"/>
      <c r="BE148" s="1196"/>
    </row>
    <row r="149" spans="1:57" ht="15.75" customHeight="1">
      <c r="A149" s="1192"/>
      <c r="B149" s="2144"/>
      <c r="C149" s="2145"/>
      <c r="D149" s="2145"/>
      <c r="E149" s="2145"/>
      <c r="F149" s="2145"/>
      <c r="G149" s="2145"/>
      <c r="H149" s="2145"/>
      <c r="I149" s="2145"/>
      <c r="J149" s="2145"/>
      <c r="K149" s="2145"/>
      <c r="L149" s="2145"/>
      <c r="M149" s="2145"/>
      <c r="N149" s="2145"/>
      <c r="O149" s="2145"/>
      <c r="P149" s="2145"/>
      <c r="Q149" s="2145"/>
      <c r="R149" s="2145"/>
      <c r="S149" s="2145"/>
      <c r="T149" s="2145"/>
      <c r="U149" s="2145"/>
      <c r="V149" s="2145"/>
      <c r="W149" s="2145"/>
      <c r="X149" s="2145"/>
      <c r="Y149" s="2145"/>
      <c r="Z149" s="2145"/>
      <c r="AA149" s="2145"/>
      <c r="AB149" s="2145"/>
      <c r="AC149" s="2145"/>
      <c r="AD149" s="2145"/>
      <c r="AE149" s="2145"/>
      <c r="AF149" s="2145"/>
      <c r="AG149" s="2145"/>
      <c r="AH149" s="2145"/>
      <c r="AI149" s="2145"/>
      <c r="AJ149" s="2145"/>
      <c r="AK149" s="2145"/>
      <c r="AL149" s="2145"/>
      <c r="AM149" s="2145"/>
      <c r="AN149" s="2145"/>
      <c r="AO149" s="2145"/>
      <c r="AP149" s="2145"/>
      <c r="AQ149" s="2145"/>
      <c r="AR149" s="2145"/>
      <c r="AS149" s="2145"/>
      <c r="AT149" s="2145"/>
      <c r="AU149" s="2145"/>
      <c r="AV149" s="2145"/>
      <c r="AW149" s="2145"/>
      <c r="AX149" s="2146"/>
      <c r="AY149" s="1192"/>
      <c r="AZ149" s="1192"/>
      <c r="BA149" s="1192"/>
      <c r="BB149" s="1192"/>
      <c r="BC149" s="1192"/>
      <c r="BD149" s="1192"/>
      <c r="BE149" s="1196"/>
    </row>
    <row r="150" spans="1:57" ht="15.75" customHeight="1">
      <c r="A150" s="1192"/>
      <c r="B150" s="2144"/>
      <c r="C150" s="2145"/>
      <c r="D150" s="2145"/>
      <c r="E150" s="2145"/>
      <c r="F150" s="2145"/>
      <c r="G150" s="2145"/>
      <c r="H150" s="2145"/>
      <c r="I150" s="2145"/>
      <c r="J150" s="2145"/>
      <c r="K150" s="2145"/>
      <c r="L150" s="2145"/>
      <c r="M150" s="2145"/>
      <c r="N150" s="2145"/>
      <c r="O150" s="2145"/>
      <c r="P150" s="2145"/>
      <c r="Q150" s="2145"/>
      <c r="R150" s="2145"/>
      <c r="S150" s="2145"/>
      <c r="T150" s="2145"/>
      <c r="U150" s="2145"/>
      <c r="V150" s="2145"/>
      <c r="W150" s="2145"/>
      <c r="X150" s="2145"/>
      <c r="Y150" s="2145"/>
      <c r="Z150" s="2145"/>
      <c r="AA150" s="2145"/>
      <c r="AB150" s="2145"/>
      <c r="AC150" s="2145"/>
      <c r="AD150" s="2145"/>
      <c r="AE150" s="2145"/>
      <c r="AF150" s="2145"/>
      <c r="AG150" s="2145"/>
      <c r="AH150" s="2145"/>
      <c r="AI150" s="2145"/>
      <c r="AJ150" s="2145"/>
      <c r="AK150" s="2145"/>
      <c r="AL150" s="2145"/>
      <c r="AM150" s="2145"/>
      <c r="AN150" s="2145"/>
      <c r="AO150" s="2145"/>
      <c r="AP150" s="2145"/>
      <c r="AQ150" s="2145"/>
      <c r="AR150" s="2145"/>
      <c r="AS150" s="2145"/>
      <c r="AT150" s="2145"/>
      <c r="AU150" s="2145"/>
      <c r="AV150" s="2145"/>
      <c r="AW150" s="2145"/>
      <c r="AX150" s="2146"/>
      <c r="AY150" s="1192"/>
      <c r="AZ150" s="1192"/>
      <c r="BA150" s="1192"/>
      <c r="BB150" s="1192"/>
      <c r="BC150" s="1192"/>
      <c r="BD150" s="1192"/>
      <c r="BE150" s="1196"/>
    </row>
    <row r="151" spans="1:57" ht="15.75" customHeight="1">
      <c r="A151" s="1192"/>
      <c r="B151" s="2144"/>
      <c r="C151" s="2145"/>
      <c r="D151" s="2145"/>
      <c r="E151" s="2145"/>
      <c r="F151" s="2145"/>
      <c r="G151" s="2145"/>
      <c r="H151" s="2145"/>
      <c r="I151" s="2145"/>
      <c r="J151" s="2145"/>
      <c r="K151" s="2145"/>
      <c r="L151" s="2145"/>
      <c r="M151" s="2145"/>
      <c r="N151" s="2145"/>
      <c r="O151" s="2145"/>
      <c r="P151" s="2145"/>
      <c r="Q151" s="2145"/>
      <c r="R151" s="2145"/>
      <c r="S151" s="2145"/>
      <c r="T151" s="2145"/>
      <c r="U151" s="2145"/>
      <c r="V151" s="2145"/>
      <c r="W151" s="2145"/>
      <c r="X151" s="2145"/>
      <c r="Y151" s="2145"/>
      <c r="Z151" s="2145"/>
      <c r="AA151" s="2145"/>
      <c r="AB151" s="2145"/>
      <c r="AC151" s="2145"/>
      <c r="AD151" s="2145"/>
      <c r="AE151" s="2145"/>
      <c r="AF151" s="2145"/>
      <c r="AG151" s="2145"/>
      <c r="AH151" s="2145"/>
      <c r="AI151" s="2145"/>
      <c r="AJ151" s="2145"/>
      <c r="AK151" s="2145"/>
      <c r="AL151" s="2145"/>
      <c r="AM151" s="2145"/>
      <c r="AN151" s="2145"/>
      <c r="AO151" s="2145"/>
      <c r="AP151" s="2145"/>
      <c r="AQ151" s="2145"/>
      <c r="AR151" s="2145"/>
      <c r="AS151" s="2145"/>
      <c r="AT151" s="2145"/>
      <c r="AU151" s="2145"/>
      <c r="AV151" s="2145"/>
      <c r="AW151" s="2145"/>
      <c r="AX151" s="2146"/>
      <c r="AY151" s="1192"/>
      <c r="AZ151" s="1192"/>
      <c r="BA151" s="1192"/>
      <c r="BB151" s="1192"/>
      <c r="BC151" s="1192"/>
      <c r="BD151" s="1192"/>
      <c r="BE151" s="1196"/>
    </row>
    <row r="152" spans="1:57" ht="15.75" customHeight="1" thickBot="1">
      <c r="A152" s="1192"/>
      <c r="B152" s="2147"/>
      <c r="C152" s="2148"/>
      <c r="D152" s="2148"/>
      <c r="E152" s="2148"/>
      <c r="F152" s="2148"/>
      <c r="G152" s="2148"/>
      <c r="H152" s="2148"/>
      <c r="I152" s="2148"/>
      <c r="J152" s="2148"/>
      <c r="K152" s="2148"/>
      <c r="L152" s="2148"/>
      <c r="M152" s="2148"/>
      <c r="N152" s="2148"/>
      <c r="O152" s="2148"/>
      <c r="P152" s="2148"/>
      <c r="Q152" s="2148"/>
      <c r="R152" s="2148"/>
      <c r="S152" s="2148"/>
      <c r="T152" s="2148"/>
      <c r="U152" s="2148"/>
      <c r="V152" s="2148"/>
      <c r="W152" s="2148"/>
      <c r="X152" s="2148"/>
      <c r="Y152" s="2148"/>
      <c r="Z152" s="2148"/>
      <c r="AA152" s="2148"/>
      <c r="AB152" s="2148"/>
      <c r="AC152" s="2148"/>
      <c r="AD152" s="2148"/>
      <c r="AE152" s="2148"/>
      <c r="AF152" s="2148"/>
      <c r="AG152" s="2148"/>
      <c r="AH152" s="2148"/>
      <c r="AI152" s="2148"/>
      <c r="AJ152" s="2148"/>
      <c r="AK152" s="2148"/>
      <c r="AL152" s="2148"/>
      <c r="AM152" s="2148"/>
      <c r="AN152" s="2148"/>
      <c r="AO152" s="2148"/>
      <c r="AP152" s="2148"/>
      <c r="AQ152" s="2148"/>
      <c r="AR152" s="2148"/>
      <c r="AS152" s="2148"/>
      <c r="AT152" s="2148"/>
      <c r="AU152" s="2148"/>
      <c r="AV152" s="2148"/>
      <c r="AW152" s="2148"/>
      <c r="AX152" s="2149"/>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4" t="s">
        <v>2353</v>
      </c>
      <c r="C156" s="2005"/>
      <c r="D156" s="2005"/>
      <c r="E156" s="2005"/>
      <c r="F156" s="2005"/>
      <c r="G156" s="2005"/>
      <c r="H156" s="2005"/>
      <c r="I156" s="2005"/>
      <c r="J156" s="2005"/>
      <c r="K156" s="2005"/>
      <c r="L156" s="2005"/>
      <c r="M156" s="2005"/>
      <c r="N156" s="2005"/>
      <c r="O156" s="2005"/>
      <c r="P156" s="2005"/>
      <c r="Q156" s="2005"/>
      <c r="R156" s="2005"/>
      <c r="S156" s="2005"/>
      <c r="T156" s="2005"/>
      <c r="U156" s="2006"/>
      <c r="V156" s="1192"/>
      <c r="W156" s="1194"/>
      <c r="X156" s="2004" t="s">
        <v>2352</v>
      </c>
      <c r="Y156" s="2005"/>
      <c r="Z156" s="2005"/>
      <c r="AA156" s="2005"/>
      <c r="AB156" s="2005"/>
      <c r="AC156" s="2005"/>
      <c r="AD156" s="2005"/>
      <c r="AE156" s="2005"/>
      <c r="AF156" s="2005"/>
      <c r="AG156" s="2005"/>
      <c r="AH156" s="2005"/>
      <c r="AI156" s="2005"/>
      <c r="AJ156" s="2005"/>
      <c r="AK156" s="2005"/>
      <c r="AL156" s="2005"/>
      <c r="AM156" s="2005"/>
      <c r="AN156" s="2005"/>
      <c r="AO156" s="2005"/>
      <c r="AP156" s="2005"/>
      <c r="AQ156" s="2006"/>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2"/>
      <c r="C157" s="2153"/>
      <c r="D157" s="2153"/>
      <c r="E157" s="2153"/>
      <c r="F157" s="2153"/>
      <c r="G157" s="2153"/>
      <c r="H157" s="2153"/>
      <c r="I157" s="2154" t="s">
        <v>2350</v>
      </c>
      <c r="J157" s="2154"/>
      <c r="K157" s="2154"/>
      <c r="L157" s="2154"/>
      <c r="M157" s="2154"/>
      <c r="N157" s="2154"/>
      <c r="O157" s="2154"/>
      <c r="P157" s="2154" t="s">
        <v>2351</v>
      </c>
      <c r="Q157" s="2154"/>
      <c r="R157" s="2154"/>
      <c r="S157" s="2154"/>
      <c r="T157" s="2154"/>
      <c r="U157" s="2155"/>
      <c r="V157" s="1192"/>
      <c r="W157" s="1192"/>
      <c r="X157" s="2152"/>
      <c r="Y157" s="2153"/>
      <c r="Z157" s="2153"/>
      <c r="AA157" s="2153"/>
      <c r="AB157" s="2153"/>
      <c r="AC157" s="2153"/>
      <c r="AD157" s="2153"/>
      <c r="AE157" s="2154" t="s">
        <v>2350</v>
      </c>
      <c r="AF157" s="2154"/>
      <c r="AG157" s="2154"/>
      <c r="AH157" s="2154"/>
      <c r="AI157" s="2154"/>
      <c r="AJ157" s="2154"/>
      <c r="AK157" s="2154"/>
      <c r="AL157" s="2154" t="s">
        <v>2349</v>
      </c>
      <c r="AM157" s="2154"/>
      <c r="AN157" s="2154"/>
      <c r="AO157" s="2154"/>
      <c r="AP157" s="2154"/>
      <c r="AQ157" s="2155"/>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2"/>
      <c r="C158" s="2153"/>
      <c r="D158" s="2153"/>
      <c r="E158" s="2153"/>
      <c r="F158" s="2153"/>
      <c r="G158" s="2153"/>
      <c r="H158" s="2153"/>
      <c r="I158" s="2154"/>
      <c r="J158" s="2154"/>
      <c r="K158" s="2154"/>
      <c r="L158" s="2154"/>
      <c r="M158" s="2154"/>
      <c r="N158" s="2154"/>
      <c r="O158" s="2154"/>
      <c r="P158" s="2154"/>
      <c r="Q158" s="2154"/>
      <c r="R158" s="2154"/>
      <c r="S158" s="2154"/>
      <c r="T158" s="2154"/>
      <c r="U158" s="2155"/>
      <c r="V158" s="1192"/>
      <c r="W158" s="1192"/>
      <c r="X158" s="2152"/>
      <c r="Y158" s="2153"/>
      <c r="Z158" s="2153"/>
      <c r="AA158" s="2153"/>
      <c r="AB158" s="2153"/>
      <c r="AC158" s="2153"/>
      <c r="AD158" s="2153"/>
      <c r="AE158" s="2154"/>
      <c r="AF158" s="2154"/>
      <c r="AG158" s="2154"/>
      <c r="AH158" s="2154"/>
      <c r="AI158" s="2154"/>
      <c r="AJ158" s="2154"/>
      <c r="AK158" s="2154"/>
      <c r="AL158" s="2154"/>
      <c r="AM158" s="2154"/>
      <c r="AN158" s="2154"/>
      <c r="AO158" s="2154"/>
      <c r="AP158" s="2154"/>
      <c r="AQ158" s="2155"/>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10" t="s">
        <v>2348</v>
      </c>
      <c r="C159" s="2111"/>
      <c r="D159" s="2111"/>
      <c r="E159" s="2111"/>
      <c r="F159" s="2111"/>
      <c r="G159" s="2111"/>
      <c r="H159" s="2111"/>
      <c r="I159" s="2084">
        <v>0</v>
      </c>
      <c r="J159" s="2084"/>
      <c r="K159" s="2084"/>
      <c r="L159" s="2084"/>
      <c r="M159" s="2084"/>
      <c r="N159" s="2084"/>
      <c r="O159" s="2084"/>
      <c r="P159" s="2084">
        <v>0</v>
      </c>
      <c r="Q159" s="2084"/>
      <c r="R159" s="2084"/>
      <c r="S159" s="2084"/>
      <c r="T159" s="2084"/>
      <c r="U159" s="2085"/>
      <c r="V159" s="1192"/>
      <c r="W159" s="1192"/>
      <c r="X159" s="2112" t="s">
        <v>2348</v>
      </c>
      <c r="Y159" s="2113"/>
      <c r="Z159" s="2113"/>
      <c r="AA159" s="2113"/>
      <c r="AB159" s="2113"/>
      <c r="AC159" s="2113"/>
      <c r="AD159" s="2113"/>
      <c r="AE159" s="2099">
        <v>0</v>
      </c>
      <c r="AF159" s="2099"/>
      <c r="AG159" s="2099"/>
      <c r="AH159" s="2099"/>
      <c r="AI159" s="2099"/>
      <c r="AJ159" s="2099"/>
      <c r="AK159" s="2099"/>
      <c r="AL159" s="2099">
        <v>0</v>
      </c>
      <c r="AM159" s="2099"/>
      <c r="AN159" s="2099"/>
      <c r="AO159" s="2099"/>
      <c r="AP159" s="2099"/>
      <c r="AQ159" s="2100"/>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2" t="s">
        <v>2347</v>
      </c>
      <c r="C160" s="2113"/>
      <c r="D160" s="2113"/>
      <c r="E160" s="2113"/>
      <c r="F160" s="2113"/>
      <c r="G160" s="2113"/>
      <c r="H160" s="2113"/>
      <c r="I160" s="2099">
        <v>0</v>
      </c>
      <c r="J160" s="2099"/>
      <c r="K160" s="2099"/>
      <c r="L160" s="2099"/>
      <c r="M160" s="2099"/>
      <c r="N160" s="2099"/>
      <c r="O160" s="2099"/>
      <c r="P160" s="2099">
        <v>0</v>
      </c>
      <c r="Q160" s="2099"/>
      <c r="R160" s="2099"/>
      <c r="S160" s="2099"/>
      <c r="T160" s="2099"/>
      <c r="U160" s="2100"/>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4" t="s">
        <v>2346</v>
      </c>
      <c r="D162" s="2005"/>
      <c r="E162" s="2005"/>
      <c r="F162" s="2005"/>
      <c r="G162" s="2005"/>
      <c r="H162" s="2005"/>
      <c r="I162" s="2005"/>
      <c r="J162" s="2005"/>
      <c r="K162" s="2005"/>
      <c r="L162" s="2005"/>
      <c r="M162" s="2005"/>
      <c r="N162" s="2005"/>
      <c r="O162" s="2005"/>
      <c r="P162" s="2005"/>
      <c r="Q162" s="2005"/>
      <c r="R162" s="2005"/>
      <c r="S162" s="2005"/>
      <c r="T162" s="2005"/>
      <c r="U162" s="2005"/>
      <c r="V162" s="2005"/>
      <c r="W162" s="2005"/>
      <c r="X162" s="2005"/>
      <c r="Y162" s="2005"/>
      <c r="Z162" s="2005"/>
      <c r="AA162" s="2005"/>
      <c r="AB162" s="2005"/>
      <c r="AC162" s="2005"/>
      <c r="AD162" s="2005"/>
      <c r="AE162" s="2005"/>
      <c r="AF162" s="2005"/>
      <c r="AG162" s="2006"/>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2" t="s">
        <v>2331</v>
      </c>
      <c r="D163" s="2153"/>
      <c r="E163" s="2153"/>
      <c r="F163" s="2153"/>
      <c r="G163" s="2153"/>
      <c r="H163" s="2153"/>
      <c r="I163" s="2153"/>
      <c r="J163" s="2153"/>
      <c r="K163" s="2153"/>
      <c r="L163" s="2153"/>
      <c r="M163" s="2153"/>
      <c r="N163" s="2153"/>
      <c r="O163" s="2153"/>
      <c r="P163" s="2153"/>
      <c r="Q163" s="2153" t="s">
        <v>2345</v>
      </c>
      <c r="R163" s="2153"/>
      <c r="S163" s="2153"/>
      <c r="T163" s="2095" t="s">
        <v>2344</v>
      </c>
      <c r="U163" s="2095"/>
      <c r="V163" s="2095"/>
      <c r="W163" s="2095"/>
      <c r="X163" s="2095"/>
      <c r="Y163" s="2095"/>
      <c r="Z163" s="2095"/>
      <c r="AA163" s="2095"/>
      <c r="AB163" s="2153" t="s">
        <v>2343</v>
      </c>
      <c r="AC163" s="2153"/>
      <c r="AD163" s="2153"/>
      <c r="AE163" s="2153"/>
      <c r="AF163" s="2153"/>
      <c r="AG163" s="2161"/>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6" t="s">
        <v>2342</v>
      </c>
      <c r="D164" s="2157"/>
      <c r="E164" s="2157"/>
      <c r="F164" s="2157"/>
      <c r="G164" s="2157"/>
      <c r="H164" s="2157"/>
      <c r="I164" s="2157"/>
      <c r="J164" s="2157"/>
      <c r="K164" s="2157"/>
      <c r="L164" s="2157"/>
      <c r="M164" s="2157"/>
      <c r="N164" s="2157"/>
      <c r="O164" s="2157"/>
      <c r="P164" s="2157"/>
      <c r="Q164" s="2158">
        <v>55</v>
      </c>
      <c r="R164" s="2158"/>
      <c r="S164" s="2158"/>
      <c r="T164" s="2159"/>
      <c r="U164" s="2159"/>
      <c r="V164" s="2159"/>
      <c r="W164" s="2159"/>
      <c r="X164" s="2159"/>
      <c r="Y164" s="2159"/>
      <c r="Z164" s="2159"/>
      <c r="AA164" s="2159"/>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6" t="s">
        <v>2341</v>
      </c>
      <c r="D165" s="2157"/>
      <c r="E165" s="2157"/>
      <c r="F165" s="2157"/>
      <c r="G165" s="2157"/>
      <c r="H165" s="2157"/>
      <c r="I165" s="2157"/>
      <c r="J165" s="2157"/>
      <c r="K165" s="2157"/>
      <c r="L165" s="2157"/>
      <c r="M165" s="2157"/>
      <c r="N165" s="2157"/>
      <c r="O165" s="2157"/>
      <c r="P165" s="2157"/>
      <c r="Q165" s="2158">
        <v>55</v>
      </c>
      <c r="R165" s="2158"/>
      <c r="S165" s="2158"/>
      <c r="T165" s="2160"/>
      <c r="U165" s="2160"/>
      <c r="V165" s="2160"/>
      <c r="W165" s="2160"/>
      <c r="X165" s="2160"/>
      <c r="Y165" s="2160"/>
      <c r="Z165" s="2160"/>
      <c r="AA165" s="2160"/>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6" t="s">
        <v>2340</v>
      </c>
      <c r="D166" s="2157"/>
      <c r="E166" s="2157"/>
      <c r="F166" s="2157"/>
      <c r="G166" s="2157"/>
      <c r="H166" s="2157"/>
      <c r="I166" s="2157"/>
      <c r="J166" s="2157"/>
      <c r="K166" s="2157"/>
      <c r="L166" s="2157"/>
      <c r="M166" s="2157"/>
      <c r="N166" s="2157"/>
      <c r="O166" s="2157"/>
      <c r="P166" s="2157"/>
      <c r="Q166" s="2158">
        <v>55</v>
      </c>
      <c r="R166" s="2158"/>
      <c r="S166" s="2158"/>
      <c r="T166" s="2159"/>
      <c r="U166" s="2159"/>
      <c r="V166" s="2159"/>
      <c r="W166" s="2159"/>
      <c r="X166" s="2159"/>
      <c r="Y166" s="2159"/>
      <c r="Z166" s="2159"/>
      <c r="AA166" s="2159"/>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6" t="s">
        <v>2339</v>
      </c>
      <c r="D167" s="2157"/>
      <c r="E167" s="2157"/>
      <c r="F167" s="2157"/>
      <c r="G167" s="2157"/>
      <c r="H167" s="2157"/>
      <c r="I167" s="2157"/>
      <c r="J167" s="2157"/>
      <c r="K167" s="2157"/>
      <c r="L167" s="2157"/>
      <c r="M167" s="2157"/>
      <c r="N167" s="2157"/>
      <c r="O167" s="2157"/>
      <c r="P167" s="2157"/>
      <c r="Q167" s="2158">
        <v>55</v>
      </c>
      <c r="R167" s="2158"/>
      <c r="S167" s="2158"/>
      <c r="T167" s="2159"/>
      <c r="U167" s="2159"/>
      <c r="V167" s="2159"/>
      <c r="W167" s="2159"/>
      <c r="X167" s="2159"/>
      <c r="Y167" s="2159"/>
      <c r="Z167" s="2159"/>
      <c r="AA167" s="2159"/>
      <c r="AB167" s="2162">
        <v>0</v>
      </c>
      <c r="AC167" s="2162"/>
      <c r="AD167" s="2162"/>
      <c r="AE167" s="2162"/>
      <c r="AF167" s="2162"/>
      <c r="AG167" s="2163"/>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6" t="s">
        <v>170</v>
      </c>
      <c r="D168" s="2157"/>
      <c r="E168" s="2157"/>
      <c r="F168" s="2164" t="s">
        <v>2320</v>
      </c>
      <c r="G168" s="2164"/>
      <c r="H168" s="2164"/>
      <c r="I168" s="2164"/>
      <c r="J168" s="2164"/>
      <c r="K168" s="2164"/>
      <c r="L168" s="2164"/>
      <c r="M168" s="2164"/>
      <c r="N168" s="2164"/>
      <c r="O168" s="2164"/>
      <c r="P168" s="2164"/>
      <c r="Q168" s="2158">
        <v>55</v>
      </c>
      <c r="R168" s="2158"/>
      <c r="S168" s="2158"/>
      <c r="T168" s="2160"/>
      <c r="U168" s="2160"/>
      <c r="V168" s="2160"/>
      <c r="W168" s="2160"/>
      <c r="X168" s="2160"/>
      <c r="Y168" s="2160"/>
      <c r="Z168" s="2160"/>
      <c r="AA168" s="2160"/>
      <c r="AB168" s="2162">
        <v>0</v>
      </c>
      <c r="AC168" s="2162"/>
      <c r="AD168" s="2162"/>
      <c r="AE168" s="2162"/>
      <c r="AF168" s="2162"/>
      <c r="AG168" s="2163"/>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6" t="s">
        <v>170</v>
      </c>
      <c r="D169" s="2157"/>
      <c r="E169" s="2157"/>
      <c r="F169" s="2164" t="s">
        <v>2320</v>
      </c>
      <c r="G169" s="2164"/>
      <c r="H169" s="2164"/>
      <c r="I169" s="2164"/>
      <c r="J169" s="2164"/>
      <c r="K169" s="2164"/>
      <c r="L169" s="2164"/>
      <c r="M169" s="2164"/>
      <c r="N169" s="2164"/>
      <c r="O169" s="2164"/>
      <c r="P169" s="2164"/>
      <c r="Q169" s="2158">
        <v>55</v>
      </c>
      <c r="R169" s="2158"/>
      <c r="S169" s="2158"/>
      <c r="T169" s="2160"/>
      <c r="U169" s="2160"/>
      <c r="V169" s="2160"/>
      <c r="W169" s="2160"/>
      <c r="X169" s="2160"/>
      <c r="Y169" s="2160"/>
      <c r="Z169" s="2160"/>
      <c r="AA169" s="2160"/>
      <c r="AB169" s="2162">
        <v>0</v>
      </c>
      <c r="AC169" s="2162"/>
      <c r="AD169" s="2162"/>
      <c r="AE169" s="2162"/>
      <c r="AF169" s="2162"/>
      <c r="AG169" s="2163"/>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5" t="s">
        <v>170</v>
      </c>
      <c r="D170" s="2166"/>
      <c r="E170" s="2166"/>
      <c r="F170" s="2167" t="s">
        <v>2320</v>
      </c>
      <c r="G170" s="2167"/>
      <c r="H170" s="2167"/>
      <c r="I170" s="2167"/>
      <c r="J170" s="2167"/>
      <c r="K170" s="2167"/>
      <c r="L170" s="2167"/>
      <c r="M170" s="2167"/>
      <c r="N170" s="2167"/>
      <c r="O170" s="2167"/>
      <c r="P170" s="2167"/>
      <c r="Q170" s="2168">
        <v>55</v>
      </c>
      <c r="R170" s="2168"/>
      <c r="S170" s="2168"/>
      <c r="T170" s="2169"/>
      <c r="U170" s="2169"/>
      <c r="V170" s="2169"/>
      <c r="W170" s="2169"/>
      <c r="X170" s="2169"/>
      <c r="Y170" s="2169"/>
      <c r="Z170" s="2169"/>
      <c r="AA170" s="2169"/>
      <c r="AB170" s="2170">
        <v>0</v>
      </c>
      <c r="AC170" s="2170"/>
      <c r="AD170" s="2170"/>
      <c r="AE170" s="2170"/>
      <c r="AF170" s="2170"/>
      <c r="AG170" s="2171"/>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3" t="s">
        <v>2338</v>
      </c>
      <c r="D172" s="2054"/>
      <c r="E172" s="2054"/>
      <c r="F172" s="2054"/>
      <c r="G172" s="2054"/>
      <c r="H172" s="2054"/>
      <c r="I172" s="2054"/>
      <c r="J172" s="2054"/>
      <c r="K172" s="2054"/>
      <c r="L172" s="2054"/>
      <c r="M172" s="2054"/>
      <c r="N172" s="2104"/>
      <c r="O172" s="1192"/>
      <c r="P172" s="2172" t="s">
        <v>2337</v>
      </c>
      <c r="Q172" s="2173"/>
      <c r="R172" s="2173"/>
      <c r="S172" s="2173"/>
      <c r="T172" s="2173"/>
      <c r="U172" s="2173"/>
      <c r="V172" s="2173"/>
      <c r="W172" s="2173"/>
      <c r="X172" s="2173"/>
      <c r="Y172" s="2173"/>
      <c r="Z172" s="2173"/>
      <c r="AA172" s="2173"/>
      <c r="AB172" s="2173"/>
      <c r="AC172" s="2173"/>
      <c r="AD172" s="2173"/>
      <c r="AE172" s="2173"/>
      <c r="AF172" s="2173"/>
      <c r="AG172" s="2173"/>
      <c r="AH172" s="2173"/>
      <c r="AI172" s="2173"/>
      <c r="AJ172" s="2173"/>
      <c r="AK172" s="2173"/>
      <c r="AL172" s="2173"/>
      <c r="AM172" s="2173"/>
      <c r="AN172" s="2173"/>
      <c r="AO172" s="2174"/>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2" t="s">
        <v>2336</v>
      </c>
      <c r="D173" s="2153"/>
      <c r="E173" s="2153"/>
      <c r="F173" s="2153"/>
      <c r="G173" s="2153"/>
      <c r="H173" s="2153"/>
      <c r="I173" s="2153" t="s">
        <v>2335</v>
      </c>
      <c r="J173" s="2153"/>
      <c r="K173" s="2153"/>
      <c r="L173" s="2153"/>
      <c r="M173" s="2153"/>
      <c r="N173" s="2161"/>
      <c r="O173" s="1192"/>
      <c r="P173" s="2073" t="s">
        <v>2334</v>
      </c>
      <c r="Q173" s="2074"/>
      <c r="R173" s="2074"/>
      <c r="S173" s="2074"/>
      <c r="T173" s="2074"/>
      <c r="U173" s="2074"/>
      <c r="V173" s="2074"/>
      <c r="W173" s="2074"/>
      <c r="X173" s="2074"/>
      <c r="Y173" s="2074"/>
      <c r="Z173" s="2074"/>
      <c r="AA173" s="2074"/>
      <c r="AB173" s="2074"/>
      <c r="AC173" s="2074"/>
      <c r="AD173" s="2074"/>
      <c r="AE173" s="2074"/>
      <c r="AF173" s="2074"/>
      <c r="AG173" s="2074"/>
      <c r="AH173" s="2074"/>
      <c r="AI173" s="2074"/>
      <c r="AJ173" s="2074"/>
      <c r="AK173" s="2074"/>
      <c r="AL173" s="2074"/>
      <c r="AM173" s="2074"/>
      <c r="AN173" s="2074"/>
      <c r="AO173" s="2075"/>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79"/>
      <c r="D174" s="2011"/>
      <c r="E174" s="2011"/>
      <c r="F174" s="2011"/>
      <c r="G174" s="2011"/>
      <c r="H174" s="2011"/>
      <c r="I174" s="2159"/>
      <c r="J174" s="2159"/>
      <c r="K174" s="2159"/>
      <c r="L174" s="2159"/>
      <c r="M174" s="2159"/>
      <c r="N174" s="2175"/>
      <c r="O174" s="1192"/>
      <c r="P174" s="2073"/>
      <c r="Q174" s="2074"/>
      <c r="R174" s="2074"/>
      <c r="S174" s="2074"/>
      <c r="T174" s="2074"/>
      <c r="U174" s="2074"/>
      <c r="V174" s="2074"/>
      <c r="W174" s="2074"/>
      <c r="X174" s="2074"/>
      <c r="Y174" s="2074"/>
      <c r="Z174" s="2074"/>
      <c r="AA174" s="2074"/>
      <c r="AB174" s="2074"/>
      <c r="AC174" s="2074"/>
      <c r="AD174" s="2074"/>
      <c r="AE174" s="2074"/>
      <c r="AF174" s="2074"/>
      <c r="AG174" s="2074"/>
      <c r="AH174" s="2074"/>
      <c r="AI174" s="2074"/>
      <c r="AJ174" s="2074"/>
      <c r="AK174" s="2074"/>
      <c r="AL174" s="2074"/>
      <c r="AM174" s="2074"/>
      <c r="AN174" s="2074"/>
      <c r="AO174" s="2075"/>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79"/>
      <c r="D175" s="2011"/>
      <c r="E175" s="2011"/>
      <c r="F175" s="2011"/>
      <c r="G175" s="2011"/>
      <c r="H175" s="2011"/>
      <c r="I175" s="2159"/>
      <c r="J175" s="2159"/>
      <c r="K175" s="2159"/>
      <c r="L175" s="2159"/>
      <c r="M175" s="2159"/>
      <c r="N175" s="2175"/>
      <c r="O175" s="1192"/>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79"/>
      <c r="D176" s="2011"/>
      <c r="E176" s="2011"/>
      <c r="F176" s="2011"/>
      <c r="G176" s="2011"/>
      <c r="H176" s="2011"/>
      <c r="I176" s="2159"/>
      <c r="J176" s="2159"/>
      <c r="K176" s="2159"/>
      <c r="L176" s="2159"/>
      <c r="M176" s="2159"/>
      <c r="N176" s="2175"/>
      <c r="O176" s="1192"/>
      <c r="P176" s="2073"/>
      <c r="Q176" s="2074"/>
      <c r="R176" s="2074"/>
      <c r="S176" s="2074"/>
      <c r="T176" s="2074"/>
      <c r="U176" s="2074"/>
      <c r="V176" s="2074"/>
      <c r="W176" s="2074"/>
      <c r="X176" s="2074"/>
      <c r="Y176" s="2074"/>
      <c r="Z176" s="2074"/>
      <c r="AA176" s="2074"/>
      <c r="AB176" s="2074"/>
      <c r="AC176" s="2074"/>
      <c r="AD176" s="2074"/>
      <c r="AE176" s="2074"/>
      <c r="AF176" s="2074"/>
      <c r="AG176" s="2074"/>
      <c r="AH176" s="2074"/>
      <c r="AI176" s="2074"/>
      <c r="AJ176" s="2074"/>
      <c r="AK176" s="2074"/>
      <c r="AL176" s="2074"/>
      <c r="AM176" s="2074"/>
      <c r="AN176" s="2074"/>
      <c r="AO176" s="2075"/>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79"/>
      <c r="D177" s="2011"/>
      <c r="E177" s="2011"/>
      <c r="F177" s="2011"/>
      <c r="G177" s="2011"/>
      <c r="H177" s="2011"/>
      <c r="I177" s="2159"/>
      <c r="J177" s="2159"/>
      <c r="K177" s="2159"/>
      <c r="L177" s="2159"/>
      <c r="M177" s="2159"/>
      <c r="N177" s="2175"/>
      <c r="O177" s="1192"/>
      <c r="P177" s="2073"/>
      <c r="Q177" s="2074"/>
      <c r="R177" s="2074"/>
      <c r="S177" s="2074"/>
      <c r="T177" s="2074"/>
      <c r="U177" s="2074"/>
      <c r="V177" s="2074"/>
      <c r="W177" s="2074"/>
      <c r="X177" s="2074"/>
      <c r="Y177" s="2074"/>
      <c r="Z177" s="2074"/>
      <c r="AA177" s="2074"/>
      <c r="AB177" s="2074"/>
      <c r="AC177" s="2074"/>
      <c r="AD177" s="2074"/>
      <c r="AE177" s="2074"/>
      <c r="AF177" s="2074"/>
      <c r="AG177" s="2074"/>
      <c r="AH177" s="2074"/>
      <c r="AI177" s="2074"/>
      <c r="AJ177" s="2074"/>
      <c r="AK177" s="2074"/>
      <c r="AL177" s="2074"/>
      <c r="AM177" s="2074"/>
      <c r="AN177" s="2074"/>
      <c r="AO177" s="2075"/>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79"/>
      <c r="D178" s="2011"/>
      <c r="E178" s="2011"/>
      <c r="F178" s="2011"/>
      <c r="G178" s="2011"/>
      <c r="H178" s="2011"/>
      <c r="I178" s="2159"/>
      <c r="J178" s="2159"/>
      <c r="K178" s="2159"/>
      <c r="L178" s="2159"/>
      <c r="M178" s="2159"/>
      <c r="N178" s="2175"/>
      <c r="O178" s="1192"/>
      <c r="P178" s="2073"/>
      <c r="Q178" s="2074"/>
      <c r="R178" s="2074"/>
      <c r="S178" s="2074"/>
      <c r="T178" s="2074"/>
      <c r="U178" s="2074"/>
      <c r="V178" s="2074"/>
      <c r="W178" s="2074"/>
      <c r="X178" s="2074"/>
      <c r="Y178" s="2074"/>
      <c r="Z178" s="2074"/>
      <c r="AA178" s="2074"/>
      <c r="AB178" s="2074"/>
      <c r="AC178" s="2074"/>
      <c r="AD178" s="2074"/>
      <c r="AE178" s="2074"/>
      <c r="AF178" s="2074"/>
      <c r="AG178" s="2074"/>
      <c r="AH178" s="2074"/>
      <c r="AI178" s="2074"/>
      <c r="AJ178" s="2074"/>
      <c r="AK178" s="2074"/>
      <c r="AL178" s="2074"/>
      <c r="AM178" s="2074"/>
      <c r="AN178" s="2074"/>
      <c r="AO178" s="2075"/>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79"/>
      <c r="D179" s="2011"/>
      <c r="E179" s="2011"/>
      <c r="F179" s="2011"/>
      <c r="G179" s="2011"/>
      <c r="H179" s="2011"/>
      <c r="I179" s="2159"/>
      <c r="J179" s="2159"/>
      <c r="K179" s="2159"/>
      <c r="L179" s="2159"/>
      <c r="M179" s="2159"/>
      <c r="N179" s="2175"/>
      <c r="O179" s="1192"/>
      <c r="P179" s="2073"/>
      <c r="Q179" s="2074"/>
      <c r="R179" s="2074"/>
      <c r="S179" s="2074"/>
      <c r="T179" s="2074"/>
      <c r="U179" s="2074"/>
      <c r="V179" s="2074"/>
      <c r="W179" s="2074"/>
      <c r="X179" s="2074"/>
      <c r="Y179" s="2074"/>
      <c r="Z179" s="2074"/>
      <c r="AA179" s="2074"/>
      <c r="AB179" s="2074"/>
      <c r="AC179" s="2074"/>
      <c r="AD179" s="2074"/>
      <c r="AE179" s="2074"/>
      <c r="AF179" s="2074"/>
      <c r="AG179" s="2074"/>
      <c r="AH179" s="2074"/>
      <c r="AI179" s="2074"/>
      <c r="AJ179" s="2074"/>
      <c r="AK179" s="2074"/>
      <c r="AL179" s="2074"/>
      <c r="AM179" s="2074"/>
      <c r="AN179" s="2074"/>
      <c r="AO179" s="2075"/>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6"/>
      <c r="D180" s="2177"/>
      <c r="E180" s="2177"/>
      <c r="F180" s="2177"/>
      <c r="G180" s="2177"/>
      <c r="H180" s="2177"/>
      <c r="I180" s="2178"/>
      <c r="J180" s="2178"/>
      <c r="K180" s="2178"/>
      <c r="L180" s="2178"/>
      <c r="M180" s="2178"/>
      <c r="N180" s="2179"/>
      <c r="O180" s="1192"/>
      <c r="P180" s="2076"/>
      <c r="Q180" s="2077"/>
      <c r="R180" s="2077"/>
      <c r="S180" s="2077"/>
      <c r="T180" s="2077"/>
      <c r="U180" s="2077"/>
      <c r="V180" s="2077"/>
      <c r="W180" s="2077"/>
      <c r="X180" s="2077"/>
      <c r="Y180" s="2077"/>
      <c r="Z180" s="2077"/>
      <c r="AA180" s="2077"/>
      <c r="AB180" s="2077"/>
      <c r="AC180" s="2077"/>
      <c r="AD180" s="2077"/>
      <c r="AE180" s="2077"/>
      <c r="AF180" s="2077"/>
      <c r="AG180" s="2077"/>
      <c r="AH180" s="2077"/>
      <c r="AI180" s="2077"/>
      <c r="AJ180" s="2077"/>
      <c r="AK180" s="2077"/>
      <c r="AL180" s="2077"/>
      <c r="AM180" s="2077"/>
      <c r="AN180" s="2077"/>
      <c r="AO180" s="2078"/>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3" t="s">
        <v>2333</v>
      </c>
      <c r="D182" s="2184"/>
      <c r="E182" s="2184"/>
      <c r="F182" s="2184"/>
      <c r="G182" s="2184"/>
      <c r="H182" s="2184"/>
      <c r="I182" s="2184"/>
      <c r="J182" s="2184"/>
      <c r="K182" s="2184"/>
      <c r="L182" s="2184"/>
      <c r="M182" s="2184"/>
      <c r="N182" s="2184"/>
      <c r="O182" s="2184"/>
      <c r="P182" s="2184"/>
      <c r="Q182" s="2184"/>
      <c r="R182" s="2184"/>
      <c r="S182" s="2184"/>
      <c r="T182" s="2184"/>
      <c r="U182" s="2184"/>
      <c r="V182" s="2184"/>
      <c r="W182" s="2184"/>
      <c r="X182" s="2184"/>
      <c r="Y182" s="2184"/>
      <c r="Z182" s="2184"/>
      <c r="AA182" s="2184"/>
      <c r="AB182" s="2184"/>
      <c r="AC182" s="2184"/>
      <c r="AD182" s="2184"/>
      <c r="AE182" s="2185"/>
      <c r="AF182" s="1192"/>
      <c r="AG182" s="1192"/>
      <c r="AH182" s="2193"/>
      <c r="AI182" s="2193"/>
      <c r="AJ182" s="2193"/>
      <c r="AK182" s="2193"/>
      <c r="AL182" s="2193"/>
      <c r="AM182" s="2193"/>
      <c r="AN182" s="2193"/>
      <c r="AO182" s="2193"/>
      <c r="AP182" s="2193"/>
      <c r="AQ182" s="2193"/>
      <c r="AR182" s="2193"/>
      <c r="AS182" s="2193"/>
      <c r="AT182" s="2193"/>
      <c r="AU182" s="2193"/>
      <c r="AV182" s="2193"/>
      <c r="AW182" s="2193"/>
      <c r="AX182" s="2193"/>
      <c r="AY182" s="2193"/>
      <c r="AZ182" s="2193"/>
      <c r="BA182" s="2193"/>
      <c r="BB182" s="2193"/>
      <c r="BC182" s="2193"/>
      <c r="BD182" s="2193"/>
      <c r="BE182" s="2193"/>
    </row>
    <row r="183" spans="1:57" ht="15.75" customHeight="1" thickBot="1">
      <c r="A183" s="1192"/>
      <c r="B183" s="1192"/>
      <c r="C183" s="2186"/>
      <c r="D183" s="2187"/>
      <c r="E183" s="2187"/>
      <c r="F183" s="2187"/>
      <c r="G183" s="2187"/>
      <c r="H183" s="2187"/>
      <c r="I183" s="2187"/>
      <c r="J183" s="2187"/>
      <c r="K183" s="2187"/>
      <c r="L183" s="2187"/>
      <c r="M183" s="2187"/>
      <c r="N183" s="2187"/>
      <c r="O183" s="2187"/>
      <c r="P183" s="2187"/>
      <c r="Q183" s="2187"/>
      <c r="R183" s="2187"/>
      <c r="S183" s="2187"/>
      <c r="T183" s="2187"/>
      <c r="U183" s="2187"/>
      <c r="V183" s="2187"/>
      <c r="W183" s="2187"/>
      <c r="X183" s="2187"/>
      <c r="Y183" s="2187"/>
      <c r="Z183" s="2187"/>
      <c r="AA183" s="2187"/>
      <c r="AB183" s="2187"/>
      <c r="AC183" s="2187"/>
      <c r="AD183" s="2187"/>
      <c r="AE183" s="2188"/>
      <c r="AF183" s="1192"/>
      <c r="AG183" s="1192"/>
      <c r="AH183" s="2193"/>
      <c r="AI183" s="2193"/>
      <c r="AJ183" s="2193"/>
      <c r="AK183" s="2193"/>
      <c r="AL183" s="2193"/>
      <c r="AM183" s="2193"/>
      <c r="AN183" s="2193"/>
      <c r="AO183" s="2193"/>
      <c r="AP183" s="2193"/>
      <c r="AQ183" s="2193"/>
      <c r="AR183" s="2193"/>
      <c r="AS183" s="2193"/>
      <c r="AT183" s="2193"/>
      <c r="AU183" s="2193"/>
      <c r="AV183" s="2193"/>
      <c r="AW183" s="2193"/>
      <c r="AX183" s="2193"/>
      <c r="AY183" s="2193"/>
      <c r="AZ183" s="2193"/>
      <c r="BA183" s="2193"/>
      <c r="BB183" s="2193"/>
      <c r="BC183" s="2193"/>
      <c r="BD183" s="2193"/>
      <c r="BE183" s="2193"/>
    </row>
    <row r="184" spans="1:57" ht="15.75" customHeight="1">
      <c r="A184" s="1192"/>
      <c r="B184" s="1192"/>
      <c r="C184" s="2053" t="s">
        <v>2331</v>
      </c>
      <c r="D184" s="2054"/>
      <c r="E184" s="2054"/>
      <c r="F184" s="2054"/>
      <c r="G184" s="2054"/>
      <c r="H184" s="2054"/>
      <c r="I184" s="2054"/>
      <c r="J184" s="2054"/>
      <c r="K184" s="2054"/>
      <c r="L184" s="2054"/>
      <c r="M184" s="2054"/>
      <c r="N184" s="2054" t="s">
        <v>2332</v>
      </c>
      <c r="O184" s="2054"/>
      <c r="P184" s="2054"/>
      <c r="Q184" s="2054"/>
      <c r="R184" s="2054"/>
      <c r="S184" s="2054"/>
      <c r="T184" s="2054"/>
      <c r="U184" s="2005" t="s">
        <v>2331</v>
      </c>
      <c r="V184" s="2005"/>
      <c r="W184" s="2005"/>
      <c r="X184" s="2005"/>
      <c r="Y184" s="2005"/>
      <c r="Z184" s="2005"/>
      <c r="AA184" s="2005"/>
      <c r="AB184" s="2005"/>
      <c r="AC184" s="2005"/>
      <c r="AD184" s="2005"/>
      <c r="AE184" s="2006"/>
      <c r="AF184" s="1192"/>
      <c r="AG184" s="1192"/>
      <c r="AH184" s="2193"/>
      <c r="AI184" s="2193"/>
      <c r="AJ184" s="2193"/>
      <c r="AK184" s="2193"/>
      <c r="AL184" s="2193"/>
      <c r="AM184" s="2193"/>
      <c r="AN184" s="2193"/>
      <c r="AO184" s="2193"/>
      <c r="AP184" s="2193"/>
      <c r="AQ184" s="2193"/>
      <c r="AR184" s="2193"/>
      <c r="AS184" s="2193"/>
      <c r="AT184" s="2193"/>
      <c r="AU184" s="2193"/>
      <c r="AV184" s="2193"/>
      <c r="AW184" s="2193"/>
      <c r="AX184" s="2193"/>
      <c r="AY184" s="2193"/>
      <c r="AZ184" s="2193"/>
      <c r="BA184" s="2193"/>
      <c r="BB184" s="2193"/>
      <c r="BC184" s="2193"/>
      <c r="BD184" s="2193"/>
      <c r="BE184" s="2193"/>
    </row>
    <row r="185" spans="1:57" ht="15.75" customHeight="1">
      <c r="A185" s="1192"/>
      <c r="B185" s="1192"/>
      <c r="C185" s="2180" t="s">
        <v>2330</v>
      </c>
      <c r="D185" s="2181"/>
      <c r="E185" s="2181"/>
      <c r="F185" s="2181"/>
      <c r="G185" s="2181"/>
      <c r="H185" s="2181"/>
      <c r="I185" s="2181"/>
      <c r="J185" s="2181"/>
      <c r="K185" s="2181"/>
      <c r="L185" s="2181"/>
      <c r="M185" s="2181"/>
      <c r="N185" s="2182">
        <f>'Sources and Uses Budget'!B105</f>
        <v>109859539</v>
      </c>
      <c r="O185" s="2182"/>
      <c r="P185" s="2182"/>
      <c r="Q185" s="2182"/>
      <c r="R185" s="2182"/>
      <c r="S185" s="2182"/>
      <c r="T185" s="2182"/>
      <c r="U185" s="2194"/>
      <c r="V185" s="2194"/>
      <c r="W185" s="2194"/>
      <c r="X185" s="2194"/>
      <c r="Y185" s="2194"/>
      <c r="Z185" s="2194"/>
      <c r="AA185" s="2194"/>
      <c r="AB185" s="2194"/>
      <c r="AC185" s="2194"/>
      <c r="AD185" s="2194"/>
      <c r="AE185" s="2195"/>
      <c r="AF185" s="1192"/>
      <c r="AG185" s="1192"/>
      <c r="AH185" s="2193"/>
      <c r="AI185" s="2193"/>
      <c r="AJ185" s="2193"/>
      <c r="AK185" s="2193"/>
      <c r="AL185" s="2193"/>
      <c r="AM185" s="2193"/>
      <c r="AN185" s="2193"/>
      <c r="AO185" s="2193"/>
      <c r="AP185" s="2193"/>
      <c r="AQ185" s="2193"/>
      <c r="AR185" s="2193"/>
      <c r="AS185" s="2193"/>
      <c r="AT185" s="2193"/>
      <c r="AU185" s="2193"/>
      <c r="AV185" s="2193"/>
      <c r="AW185" s="2193"/>
      <c r="AX185" s="2193"/>
      <c r="AY185" s="2193"/>
      <c r="AZ185" s="2193"/>
      <c r="BA185" s="2193"/>
      <c r="BB185" s="2193"/>
      <c r="BC185" s="2193"/>
      <c r="BD185" s="2193"/>
      <c r="BE185" s="2193"/>
    </row>
    <row r="186" spans="1:57" ht="15.75" customHeight="1">
      <c r="A186" s="1192"/>
      <c r="B186" s="1192"/>
      <c r="C186" s="2180" t="s">
        <v>2329</v>
      </c>
      <c r="D186" s="2181"/>
      <c r="E186" s="2181"/>
      <c r="F186" s="2181"/>
      <c r="G186" s="2181"/>
      <c r="H186" s="2181"/>
      <c r="I186" s="2181"/>
      <c r="J186" s="2181"/>
      <c r="K186" s="2181"/>
      <c r="L186" s="2181"/>
      <c r="M186" s="2181"/>
      <c r="N186" s="2182">
        <f>N185/J29</f>
        <v>455848.70954356849</v>
      </c>
      <c r="O186" s="2182"/>
      <c r="P186" s="2182"/>
      <c r="Q186" s="2182"/>
      <c r="R186" s="2182"/>
      <c r="S186" s="2182"/>
      <c r="T186" s="2182"/>
      <c r="U186" s="1232"/>
      <c r="V186" s="1232"/>
      <c r="W186" s="1232"/>
      <c r="X186" s="1232"/>
      <c r="Y186" s="1232"/>
      <c r="Z186" s="1232"/>
      <c r="AA186" s="1232"/>
      <c r="AB186" s="1232"/>
      <c r="AC186" s="1232"/>
      <c r="AD186" s="1232"/>
      <c r="AE186" s="1233"/>
      <c r="AF186" s="1192"/>
      <c r="AG186" s="1192"/>
      <c r="AH186" s="2193"/>
      <c r="AI186" s="2193"/>
      <c r="AJ186" s="2193"/>
      <c r="AK186" s="2193"/>
      <c r="AL186" s="2193"/>
      <c r="AM186" s="2193"/>
      <c r="AN186" s="2193"/>
      <c r="AO186" s="2193"/>
      <c r="AP186" s="2193"/>
      <c r="AQ186" s="2193"/>
      <c r="AR186" s="2193"/>
      <c r="AS186" s="2193"/>
      <c r="AT186" s="2193"/>
      <c r="AU186" s="2193"/>
      <c r="AV186" s="2193"/>
      <c r="AW186" s="2193"/>
      <c r="AX186" s="2193"/>
      <c r="AY186" s="2193"/>
      <c r="AZ186" s="2193"/>
      <c r="BA186" s="2193"/>
      <c r="BB186" s="2193"/>
      <c r="BC186" s="2193"/>
      <c r="BD186" s="2193"/>
      <c r="BE186" s="2193"/>
    </row>
    <row r="187" spans="1:57" ht="15.75" customHeight="1">
      <c r="A187" s="1192"/>
      <c r="B187" s="1192"/>
      <c r="C187" s="2196" t="s">
        <v>2328</v>
      </c>
      <c r="D187" s="2197"/>
      <c r="E187" s="2197"/>
      <c r="F187" s="2197"/>
      <c r="G187" s="2197"/>
      <c r="H187" s="2197"/>
      <c r="I187" s="2197"/>
      <c r="J187" s="2197"/>
      <c r="K187" s="2197"/>
      <c r="L187" s="2197"/>
      <c r="M187" s="2197"/>
      <c r="N187" s="2047">
        <v>0</v>
      </c>
      <c r="O187" s="2047"/>
      <c r="P187" s="2047"/>
      <c r="Q187" s="2047"/>
      <c r="R187" s="2047"/>
      <c r="S187" s="2047"/>
      <c r="T187" s="2047"/>
      <c r="U187" s="2023"/>
      <c r="V187" s="2023"/>
      <c r="W187" s="2023"/>
      <c r="X187" s="2023"/>
      <c r="Y187" s="2023"/>
      <c r="Z187" s="2023"/>
      <c r="AA187" s="2023"/>
      <c r="AB187" s="2023"/>
      <c r="AC187" s="2023"/>
      <c r="AD187" s="2023"/>
      <c r="AE187" s="2024"/>
      <c r="AF187" s="1192"/>
      <c r="AG187" s="1192"/>
      <c r="AH187" s="2193"/>
      <c r="AI187" s="2193"/>
      <c r="AJ187" s="2193"/>
      <c r="AK187" s="2193"/>
      <c r="AL187" s="2193"/>
      <c r="AM187" s="2193"/>
      <c r="AN187" s="2193"/>
      <c r="AO187" s="2193"/>
      <c r="AP187" s="2193"/>
      <c r="AQ187" s="2193"/>
      <c r="AR187" s="2193"/>
      <c r="AS187" s="2193"/>
      <c r="AT187" s="2193"/>
      <c r="AU187" s="2193"/>
      <c r="AV187" s="2193"/>
      <c r="AW187" s="2193"/>
      <c r="AX187" s="2193"/>
      <c r="AY187" s="2193"/>
      <c r="AZ187" s="2193"/>
      <c r="BA187" s="2193"/>
      <c r="BB187" s="2193"/>
      <c r="BC187" s="2193"/>
      <c r="BD187" s="2193"/>
      <c r="BE187" s="2193"/>
    </row>
    <row r="188" spans="1:57" ht="15.75" customHeight="1" thickBot="1">
      <c r="A188" s="1192"/>
      <c r="B188" s="1192"/>
      <c r="C188" s="2180" t="s">
        <v>2327</v>
      </c>
      <c r="D188" s="2181"/>
      <c r="E188" s="2181"/>
      <c r="F188" s="2181"/>
      <c r="G188" s="2181"/>
      <c r="H188" s="2181"/>
      <c r="I188" s="2181"/>
      <c r="J188" s="2181"/>
      <c r="K188" s="2181"/>
      <c r="L188" s="2181"/>
      <c r="M188" s="2181"/>
      <c r="N188" s="2198">
        <f>SUM('Sources and Uses Budget'!B85:B86)</f>
        <v>1058589</v>
      </c>
      <c r="O188" s="2198"/>
      <c r="P188" s="2198"/>
      <c r="Q188" s="2198"/>
      <c r="R188" s="2198"/>
      <c r="S188" s="2198"/>
      <c r="T188" s="2198"/>
      <c r="U188" s="2023"/>
      <c r="V188" s="2023"/>
      <c r="W188" s="2023"/>
      <c r="X188" s="2023"/>
      <c r="Y188" s="2023"/>
      <c r="Z188" s="2023"/>
      <c r="AA188" s="2023"/>
      <c r="AB188" s="2023"/>
      <c r="AC188" s="2023"/>
      <c r="AD188" s="2023"/>
      <c r="AE188" s="2024"/>
      <c r="AF188" s="1192"/>
      <c r="AG188" s="1192"/>
      <c r="AH188" s="2193"/>
      <c r="AI188" s="2193"/>
      <c r="AJ188" s="2193"/>
      <c r="AK188" s="2193"/>
      <c r="AL188" s="2193"/>
      <c r="AM188" s="2193"/>
      <c r="AN188" s="2193"/>
      <c r="AO188" s="2193"/>
      <c r="AP188" s="2193"/>
      <c r="AQ188" s="2193"/>
      <c r="AR188" s="2193"/>
      <c r="AS188" s="2193"/>
      <c r="AT188" s="2193"/>
      <c r="AU188" s="2193"/>
      <c r="AV188" s="2193"/>
      <c r="AW188" s="2193"/>
      <c r="AX188" s="2193"/>
      <c r="AY188" s="2193"/>
      <c r="AZ188" s="2193"/>
      <c r="BA188" s="2193"/>
      <c r="BB188" s="2193"/>
      <c r="BC188" s="2193"/>
      <c r="BD188" s="2193"/>
      <c r="BE188" s="2193"/>
    </row>
    <row r="189" spans="1:57" ht="15.75" customHeight="1" thickBot="1">
      <c r="A189" s="1192"/>
      <c r="B189" s="1192"/>
      <c r="C189" s="2180" t="s">
        <v>2326</v>
      </c>
      <c r="D189" s="2181"/>
      <c r="E189" s="2181"/>
      <c r="F189" s="2181"/>
      <c r="G189" s="2181"/>
      <c r="H189" s="2181"/>
      <c r="I189" s="2181"/>
      <c r="J189" s="2181"/>
      <c r="K189" s="2181"/>
      <c r="L189" s="2181"/>
      <c r="M189" s="2181"/>
      <c r="N189" s="2198">
        <f>'Sources and Uses Budget'!B8</f>
        <v>1810000</v>
      </c>
      <c r="O189" s="2198"/>
      <c r="P189" s="2198"/>
      <c r="Q189" s="2198"/>
      <c r="R189" s="2198"/>
      <c r="S189" s="2198"/>
      <c r="T189" s="2198"/>
      <c r="U189" s="2023"/>
      <c r="V189" s="2023"/>
      <c r="W189" s="2023"/>
      <c r="X189" s="2023"/>
      <c r="Y189" s="2023"/>
      <c r="Z189" s="2023"/>
      <c r="AA189" s="2023"/>
      <c r="AB189" s="2023"/>
      <c r="AC189" s="2023"/>
      <c r="AD189" s="2023"/>
      <c r="AE189" s="2024"/>
      <c r="AF189" s="1192"/>
      <c r="AG189" s="1192"/>
      <c r="AH189" s="2202" t="s">
        <v>2324</v>
      </c>
      <c r="AI189" s="2203"/>
      <c r="AJ189" s="2203"/>
      <c r="AK189" s="2203"/>
      <c r="AL189" s="2203"/>
      <c r="AM189" s="2203"/>
      <c r="AN189" s="2203"/>
      <c r="AO189" s="2203"/>
      <c r="AP189" s="2203"/>
      <c r="AQ189" s="2203"/>
      <c r="AR189" s="2203"/>
      <c r="AS189" s="2203"/>
      <c r="AT189" s="2203"/>
      <c r="AU189" s="2203"/>
      <c r="AV189" s="2203"/>
      <c r="AW189" s="2203"/>
      <c r="AX189" s="2203"/>
      <c r="AY189" s="2203"/>
      <c r="AZ189" s="2203"/>
      <c r="BA189" s="2203"/>
      <c r="BB189" s="2203"/>
      <c r="BC189" s="2203"/>
      <c r="BD189" s="2203"/>
      <c r="BE189" s="2204"/>
    </row>
    <row r="190" spans="1:57" ht="15.75" customHeight="1">
      <c r="A190" s="1192"/>
      <c r="B190" s="1192"/>
      <c r="C190" s="2180" t="s">
        <v>2325</v>
      </c>
      <c r="D190" s="2181"/>
      <c r="E190" s="2181"/>
      <c r="F190" s="2181"/>
      <c r="G190" s="2181"/>
      <c r="H190" s="2181"/>
      <c r="I190" s="2181"/>
      <c r="J190" s="2181"/>
      <c r="K190" s="2181"/>
      <c r="L190" s="2181"/>
      <c r="M190" s="2181"/>
      <c r="N190" s="2189">
        <v>0</v>
      </c>
      <c r="O190" s="2189"/>
      <c r="P190" s="2189"/>
      <c r="Q190" s="2189"/>
      <c r="R190" s="2189"/>
      <c r="S190" s="2189"/>
      <c r="T190" s="2189"/>
      <c r="U190" s="2023"/>
      <c r="V190" s="2023"/>
      <c r="W190" s="2023"/>
      <c r="X190" s="2023"/>
      <c r="Y190" s="2023"/>
      <c r="Z190" s="2023"/>
      <c r="AA190" s="2023"/>
      <c r="AB190" s="2023"/>
      <c r="AC190" s="2023"/>
      <c r="AD190" s="2023"/>
      <c r="AE190" s="2024"/>
      <c r="AF190" s="1192"/>
      <c r="AG190" s="1192"/>
      <c r="AH190" s="2205" t="s">
        <v>2324</v>
      </c>
      <c r="AI190" s="2206"/>
      <c r="AJ190" s="2206"/>
      <c r="AK190" s="2206"/>
      <c r="AL190" s="2206"/>
      <c r="AM190" s="2206"/>
      <c r="AN190" s="2206"/>
      <c r="AO190" s="2206"/>
      <c r="AP190" s="2206"/>
      <c r="AQ190" s="2206"/>
      <c r="AR190" s="2206"/>
      <c r="AS190" s="2206"/>
      <c r="AT190" s="2206"/>
      <c r="AU190" s="2207">
        <v>0</v>
      </c>
      <c r="AV190" s="2207"/>
      <c r="AW190" s="2207"/>
      <c r="AX190" s="2207"/>
      <c r="AY190" s="2207"/>
      <c r="AZ190" s="2207"/>
      <c r="BA190" s="2207"/>
      <c r="BB190" s="2207"/>
      <c r="BC190" s="2208"/>
      <c r="BD190" s="2209"/>
      <c r="BE190" s="2210"/>
    </row>
    <row r="191" spans="1:57" ht="15.75" customHeight="1">
      <c r="A191" s="1192"/>
      <c r="B191" s="1192"/>
      <c r="C191" s="2180" t="s">
        <v>2323</v>
      </c>
      <c r="D191" s="2181"/>
      <c r="E191" s="2181"/>
      <c r="F191" s="2181"/>
      <c r="G191" s="2181"/>
      <c r="H191" s="2181"/>
      <c r="I191" s="2181"/>
      <c r="J191" s="2181"/>
      <c r="K191" s="2181"/>
      <c r="L191" s="2181"/>
      <c r="M191" s="2181"/>
      <c r="N191" s="2189">
        <v>0</v>
      </c>
      <c r="O191" s="2189"/>
      <c r="P191" s="2189"/>
      <c r="Q191" s="2189"/>
      <c r="R191" s="2189"/>
      <c r="S191" s="2189"/>
      <c r="T191" s="2189"/>
      <c r="U191" s="2023"/>
      <c r="V191" s="2023"/>
      <c r="W191" s="2023"/>
      <c r="X191" s="2023"/>
      <c r="Y191" s="2023"/>
      <c r="Z191" s="2023"/>
      <c r="AA191" s="2023"/>
      <c r="AB191" s="2023"/>
      <c r="AC191" s="2023"/>
      <c r="AD191" s="2023"/>
      <c r="AE191" s="2024"/>
      <c r="AF191" s="1192"/>
      <c r="AG191" s="1192"/>
      <c r="AH191" s="2190" t="s">
        <v>2322</v>
      </c>
      <c r="AI191" s="2191"/>
      <c r="AJ191" s="2191"/>
      <c r="AK191" s="2191"/>
      <c r="AL191" s="2191"/>
      <c r="AM191" s="2191"/>
      <c r="AN191" s="2191"/>
      <c r="AO191" s="2191"/>
      <c r="AP191" s="2191"/>
      <c r="AQ191" s="2191"/>
      <c r="AR191" s="2191"/>
      <c r="AS191" s="2191"/>
      <c r="AT191" s="2191"/>
      <c r="AU191" s="2192"/>
      <c r="AV191" s="2192"/>
      <c r="AW191" s="2192"/>
      <c r="AX191" s="2192"/>
      <c r="AY191" s="2192"/>
      <c r="AZ191" s="2192"/>
      <c r="BA191" s="2192"/>
      <c r="BB191" s="2192"/>
      <c r="BC191" s="2199"/>
      <c r="BD191" s="2200"/>
      <c r="BE191" s="2201"/>
    </row>
    <row r="192" spans="1:57" ht="15.75" customHeight="1">
      <c r="A192" s="1192"/>
      <c r="B192" s="1192"/>
      <c r="C192" s="2215" t="s">
        <v>300</v>
      </c>
      <c r="D192" s="2158"/>
      <c r="E192" s="2211" t="s">
        <v>2320</v>
      </c>
      <c r="F192" s="2211"/>
      <c r="G192" s="2211"/>
      <c r="H192" s="2211"/>
      <c r="I192" s="2211"/>
      <c r="J192" s="2211"/>
      <c r="K192" s="2211"/>
      <c r="L192" s="2211"/>
      <c r="M192" s="2211"/>
      <c r="N192" s="2189">
        <v>0</v>
      </c>
      <c r="O192" s="2189"/>
      <c r="P192" s="2189"/>
      <c r="Q192" s="2189"/>
      <c r="R192" s="2189"/>
      <c r="S192" s="2189"/>
      <c r="T192" s="2189"/>
      <c r="U192" s="2023"/>
      <c r="V192" s="2023"/>
      <c r="W192" s="2023"/>
      <c r="X192" s="2023"/>
      <c r="Y192" s="2023"/>
      <c r="Z192" s="2023"/>
      <c r="AA192" s="2023"/>
      <c r="AB192" s="2023"/>
      <c r="AC192" s="2023"/>
      <c r="AD192" s="2023"/>
      <c r="AE192" s="2024"/>
      <c r="AF192" s="1192"/>
      <c r="AG192" s="1192"/>
      <c r="AH192" s="2216" t="s">
        <v>2321</v>
      </c>
      <c r="AI192" s="2217"/>
      <c r="AJ192" s="2217"/>
      <c r="AK192" s="2217"/>
      <c r="AL192" s="2217"/>
      <c r="AM192" s="2217"/>
      <c r="AN192" s="2217"/>
      <c r="AO192" s="2217"/>
      <c r="AP192" s="2217"/>
      <c r="AQ192" s="2217"/>
      <c r="AR192" s="2217"/>
      <c r="AS192" s="2217"/>
      <c r="AT192" s="2217"/>
      <c r="AU192" s="2218">
        <f>SUM(AU190:BB191)</f>
        <v>0</v>
      </c>
      <c r="AV192" s="2218"/>
      <c r="AW192" s="2218"/>
      <c r="AX192" s="2218"/>
      <c r="AY192" s="2218"/>
      <c r="AZ192" s="2218"/>
      <c r="BA192" s="2218"/>
      <c r="BB192" s="2218"/>
      <c r="BC192" s="2199"/>
      <c r="BD192" s="2200"/>
      <c r="BE192" s="2201"/>
    </row>
    <row r="193" spans="1:57" ht="15.75" customHeight="1" thickBot="1">
      <c r="A193" s="1192"/>
      <c r="B193" s="1192"/>
      <c r="C193" s="2079" t="s">
        <v>300</v>
      </c>
      <c r="D193" s="2011"/>
      <c r="E193" s="2211" t="s">
        <v>2320</v>
      </c>
      <c r="F193" s="2211"/>
      <c r="G193" s="2211"/>
      <c r="H193" s="2211"/>
      <c r="I193" s="2211"/>
      <c r="J193" s="2211"/>
      <c r="K193" s="2211"/>
      <c r="L193" s="2211"/>
      <c r="M193" s="2211"/>
      <c r="N193" s="2189">
        <v>0</v>
      </c>
      <c r="O193" s="2189"/>
      <c r="P193" s="2189"/>
      <c r="Q193" s="2189"/>
      <c r="R193" s="2189"/>
      <c r="S193" s="2189"/>
      <c r="T193" s="2189"/>
      <c r="U193" s="2023"/>
      <c r="V193" s="2023"/>
      <c r="W193" s="2023"/>
      <c r="X193" s="2023"/>
      <c r="Y193" s="2023"/>
      <c r="Z193" s="2023"/>
      <c r="AA193" s="2023"/>
      <c r="AB193" s="2023"/>
      <c r="AC193" s="2023"/>
      <c r="AD193" s="2023"/>
      <c r="AE193" s="2024"/>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2"/>
      <c r="BD193" s="2213"/>
      <c r="BE193" s="2214"/>
    </row>
    <row r="194" spans="1:57" ht="15.75" customHeight="1" thickBot="1">
      <c r="A194" s="1192"/>
      <c r="B194" s="1192"/>
      <c r="C194" s="2236" t="s">
        <v>300</v>
      </c>
      <c r="D194" s="2237"/>
      <c r="E194" s="2238" t="s">
        <v>2320</v>
      </c>
      <c r="F194" s="2238"/>
      <c r="G194" s="2238"/>
      <c r="H194" s="2238"/>
      <c r="I194" s="2238"/>
      <c r="J194" s="2238"/>
      <c r="K194" s="2238"/>
      <c r="L194" s="2238"/>
      <c r="M194" s="2239"/>
      <c r="N194" s="2240">
        <v>0</v>
      </c>
      <c r="O194" s="2240"/>
      <c r="P194" s="2240"/>
      <c r="Q194" s="2240"/>
      <c r="R194" s="2240"/>
      <c r="S194" s="2240"/>
      <c r="T194" s="2241"/>
      <c r="U194" s="2242"/>
      <c r="V194" s="2243"/>
      <c r="W194" s="2243"/>
      <c r="X194" s="2243"/>
      <c r="Y194" s="2243"/>
      <c r="Z194" s="2243"/>
      <c r="AA194" s="2243"/>
      <c r="AB194" s="2243"/>
      <c r="AC194" s="2243"/>
      <c r="AD194" s="2243"/>
      <c r="AE194" s="2244"/>
      <c r="AF194" s="1192"/>
      <c r="AG194" s="1192"/>
      <c r="AH194" s="2245" t="s">
        <v>2319</v>
      </c>
      <c r="AI194" s="2246"/>
      <c r="AJ194" s="2246"/>
      <c r="AK194" s="2246"/>
      <c r="AL194" s="2246"/>
      <c r="AM194" s="2246"/>
      <c r="AN194" s="2246"/>
      <c r="AO194" s="2246"/>
      <c r="AP194" s="2246"/>
      <c r="AQ194" s="2246"/>
      <c r="AR194" s="2246"/>
      <c r="AS194" s="2246"/>
      <c r="AT194" s="2246"/>
      <c r="AU194" s="2247"/>
      <c r="AV194" s="2247"/>
      <c r="AW194" s="2247"/>
      <c r="AX194" s="2247"/>
      <c r="AY194" s="2247"/>
      <c r="AZ194" s="2247"/>
      <c r="BA194" s="2247"/>
      <c r="BB194" s="2247"/>
      <c r="BC194" s="1173"/>
      <c r="BD194" s="1173"/>
      <c r="BE194" s="1236"/>
    </row>
    <row r="195" spans="1:57" ht="15.75" customHeight="1">
      <c r="A195" s="1192"/>
      <c r="B195" s="1192"/>
      <c r="C195" s="2219" t="s">
        <v>2318</v>
      </c>
      <c r="D195" s="2220"/>
      <c r="E195" s="2220"/>
      <c r="F195" s="2220"/>
      <c r="G195" s="2220"/>
      <c r="H195" s="2220"/>
      <c r="I195" s="2220"/>
      <c r="J195" s="2220"/>
      <c r="K195" s="2220"/>
      <c r="L195" s="2220"/>
      <c r="M195" s="2220"/>
      <c r="N195" s="2221">
        <f>SUM(N187:T194)</f>
        <v>2868589</v>
      </c>
      <c r="O195" s="2221"/>
      <c r="P195" s="2221"/>
      <c r="Q195" s="2221"/>
      <c r="R195" s="2221"/>
      <c r="S195" s="2221"/>
      <c r="T195" s="2222"/>
      <c r="U195" s="1192"/>
      <c r="V195" s="1192"/>
      <c r="W195" s="1192"/>
      <c r="X195" s="1192"/>
      <c r="Y195" s="1192"/>
      <c r="Z195" s="1192"/>
      <c r="AA195" s="1192"/>
      <c r="AB195" s="1192"/>
      <c r="AC195" s="1192"/>
      <c r="AD195" s="1192"/>
      <c r="AE195" s="1192"/>
      <c r="AF195" s="1192"/>
      <c r="AG195" s="1192"/>
      <c r="AH195" s="2223" t="s">
        <v>2317</v>
      </c>
      <c r="AI195" s="2224"/>
      <c r="AJ195" s="2224"/>
      <c r="AK195" s="2224"/>
      <c r="AL195" s="2224"/>
      <c r="AM195" s="2224"/>
      <c r="AN195" s="2224"/>
      <c r="AO195" s="2224"/>
      <c r="AP195" s="2224"/>
      <c r="AQ195" s="2224"/>
      <c r="AR195" s="2224"/>
      <c r="AS195" s="2224"/>
      <c r="AT195" s="2224"/>
      <c r="AU195" s="2224"/>
      <c r="AV195" s="2224"/>
      <c r="AW195" s="2224"/>
      <c r="AX195" s="2224"/>
      <c r="AY195" s="2224"/>
      <c r="AZ195" s="2224"/>
      <c r="BA195" s="2224"/>
      <c r="BB195" s="2224"/>
      <c r="BC195" s="2224"/>
      <c r="BD195" s="2224"/>
      <c r="BE195" s="2225"/>
    </row>
    <row r="196" spans="1:57" ht="15.75" customHeight="1" thickBot="1">
      <c r="A196" s="1192"/>
      <c r="B196" s="1192"/>
      <c r="C196" s="2229" t="s">
        <v>2316</v>
      </c>
      <c r="D196" s="2230"/>
      <c r="E196" s="2230"/>
      <c r="F196" s="2230"/>
      <c r="G196" s="2230"/>
      <c r="H196" s="2230"/>
      <c r="I196" s="2230"/>
      <c r="J196" s="2230"/>
      <c r="K196" s="2230"/>
      <c r="L196" s="2230"/>
      <c r="M196" s="2230"/>
      <c r="N196" s="2231">
        <f>(N185-N195)/J29</f>
        <v>443945.85062240664</v>
      </c>
      <c r="O196" s="2232"/>
      <c r="P196" s="2232"/>
      <c r="Q196" s="2232"/>
      <c r="R196" s="2232"/>
      <c r="S196" s="2232"/>
      <c r="T196" s="2233"/>
      <c r="U196" s="1197"/>
      <c r="V196" s="1192"/>
      <c r="W196" s="1192"/>
      <c r="X196" s="1192"/>
      <c r="Y196" s="1192"/>
      <c r="Z196" s="1192"/>
      <c r="AA196" s="1192"/>
      <c r="AB196" s="1192"/>
      <c r="AC196" s="1192"/>
      <c r="AD196" s="1192"/>
      <c r="AE196" s="1192"/>
      <c r="AF196" s="1192"/>
      <c r="AG196" s="1192"/>
      <c r="AH196" s="2226"/>
      <c r="AI196" s="2227"/>
      <c r="AJ196" s="2227"/>
      <c r="AK196" s="2227"/>
      <c r="AL196" s="2227"/>
      <c r="AM196" s="2227"/>
      <c r="AN196" s="2227"/>
      <c r="AO196" s="2227"/>
      <c r="AP196" s="2227"/>
      <c r="AQ196" s="2227"/>
      <c r="AR196" s="2227"/>
      <c r="AS196" s="2227"/>
      <c r="AT196" s="2227"/>
      <c r="AU196" s="2227"/>
      <c r="AV196" s="2227"/>
      <c r="AW196" s="2227"/>
      <c r="AX196" s="2227"/>
      <c r="AY196" s="2227"/>
      <c r="AZ196" s="2227"/>
      <c r="BA196" s="2227"/>
      <c r="BB196" s="2227"/>
      <c r="BC196" s="2227"/>
      <c r="BD196" s="2227"/>
      <c r="BE196" s="2228"/>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4"/>
      <c r="AI197" s="2234"/>
      <c r="AJ197" s="2234"/>
      <c r="AK197" s="2234"/>
      <c r="AL197" s="2234"/>
      <c r="AM197" s="2234"/>
      <c r="AN197" s="2234"/>
      <c r="AO197" s="2234"/>
      <c r="AP197" s="2234"/>
      <c r="AQ197" s="2234"/>
      <c r="AR197" s="2234"/>
      <c r="AS197" s="2235"/>
      <c r="AT197" s="2235"/>
      <c r="AU197" s="2235"/>
      <c r="AV197" s="2235"/>
      <c r="AW197" s="2235"/>
      <c r="AX197" s="2235"/>
      <c r="AY197" s="2235"/>
      <c r="AZ197" s="2235"/>
      <c r="BA197" s="2235"/>
      <c r="BB197" s="2235"/>
      <c r="BC197" s="2235"/>
      <c r="BD197" s="2235"/>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3" t="s">
        <v>2315</v>
      </c>
      <c r="D199" s="2254"/>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C199" s="2254"/>
      <c r="AD199" s="2254"/>
      <c r="AE199" s="2255"/>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6" t="s">
        <v>2314</v>
      </c>
      <c r="D200" s="2256"/>
      <c r="E200" s="2256"/>
      <c r="F200" s="2256"/>
      <c r="G200" s="2256"/>
      <c r="H200" s="2256"/>
      <c r="I200" s="2256"/>
      <c r="J200" s="2256"/>
      <c r="K200" s="2256"/>
      <c r="L200" s="2256"/>
      <c r="M200" s="2256"/>
      <c r="N200" s="2256"/>
      <c r="O200" s="2257" t="s">
        <v>2313</v>
      </c>
      <c r="P200" s="2257"/>
      <c r="Q200" s="2257"/>
      <c r="R200" s="2257"/>
      <c r="S200" s="2257"/>
      <c r="T200" s="2257"/>
      <c r="U200" s="2257"/>
      <c r="V200" s="2257"/>
      <c r="W200" s="2257"/>
      <c r="X200" s="2257" t="s">
        <v>2312</v>
      </c>
      <c r="Y200" s="2257"/>
      <c r="Z200" s="2257"/>
      <c r="AA200" s="2257"/>
      <c r="AB200" s="2257"/>
      <c r="AC200" s="2257"/>
      <c r="AD200" s="2257"/>
      <c r="AE200" s="2257"/>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48" t="s">
        <v>2311</v>
      </c>
      <c r="D201" s="2248"/>
      <c r="E201" s="2248"/>
      <c r="F201" s="2248"/>
      <c r="G201" s="2248"/>
      <c r="H201" s="2248"/>
      <c r="I201" s="2248"/>
      <c r="J201" s="2248"/>
      <c r="K201" s="2248"/>
      <c r="L201" s="2248"/>
      <c r="M201" s="2248"/>
      <c r="N201" s="2248"/>
      <c r="O201" s="2249" t="s">
        <v>2310</v>
      </c>
      <c r="P201" s="2249"/>
      <c r="Q201" s="2249"/>
      <c r="R201" s="2249"/>
      <c r="S201" s="2249"/>
      <c r="T201" s="2249"/>
      <c r="U201" s="2249"/>
      <c r="V201" s="2249"/>
      <c r="W201" s="2249"/>
      <c r="X201" s="2250">
        <v>0.03</v>
      </c>
      <c r="Y201" s="2250"/>
      <c r="Z201" s="2250"/>
      <c r="AA201" s="2250"/>
      <c r="AB201" s="2250"/>
      <c r="AC201" s="2250"/>
      <c r="AD201" s="2250"/>
      <c r="AE201" s="2250"/>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48" t="s">
        <v>855</v>
      </c>
      <c r="D202" s="2248"/>
      <c r="E202" s="2248"/>
      <c r="F202" s="2248"/>
      <c r="G202" s="2248"/>
      <c r="H202" s="2248"/>
      <c r="I202" s="2248"/>
      <c r="J202" s="2248"/>
      <c r="K202" s="2248"/>
      <c r="L202" s="2248"/>
      <c r="M202" s="2248"/>
      <c r="N202" s="2248"/>
      <c r="O202" s="2249" t="s">
        <v>2310</v>
      </c>
      <c r="P202" s="2249"/>
      <c r="Q202" s="2249"/>
      <c r="R202" s="2249"/>
      <c r="S202" s="2249"/>
      <c r="T202" s="2249"/>
      <c r="U202" s="2249"/>
      <c r="V202" s="2249"/>
      <c r="W202" s="2249"/>
      <c r="X202" s="2250">
        <v>0.03</v>
      </c>
      <c r="Y202" s="2250"/>
      <c r="Z202" s="2250"/>
      <c r="AA202" s="2250"/>
      <c r="AB202" s="2250"/>
      <c r="AC202" s="2250"/>
      <c r="AD202" s="2250"/>
      <c r="AE202" s="2250"/>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48" t="s">
        <v>2309</v>
      </c>
      <c r="D203" s="2248"/>
      <c r="E203" s="2248"/>
      <c r="F203" s="2248"/>
      <c r="G203" s="2248"/>
      <c r="H203" s="2248"/>
      <c r="I203" s="2248"/>
      <c r="J203" s="2248"/>
      <c r="K203" s="2248"/>
      <c r="L203" s="2248"/>
      <c r="M203" s="2248"/>
      <c r="N203" s="2248"/>
      <c r="O203" s="2251">
        <f>SUM(O201:W202)</f>
        <v>0</v>
      </c>
      <c r="P203" s="2252"/>
      <c r="Q203" s="2252"/>
      <c r="R203" s="2252"/>
      <c r="S203" s="2252"/>
      <c r="T203" s="2252"/>
      <c r="U203" s="2252"/>
      <c r="V203" s="2252"/>
      <c r="W203" s="2252"/>
      <c r="X203" s="2252" t="s">
        <v>2308</v>
      </c>
      <c r="Y203" s="2252"/>
      <c r="Z203" s="2252"/>
      <c r="AA203" s="2252"/>
      <c r="AB203" s="2252"/>
      <c r="AC203" s="2252"/>
      <c r="AD203" s="2252"/>
      <c r="AE203" s="2252"/>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58" t="s">
        <v>2307</v>
      </c>
      <c r="D204" s="2258"/>
      <c r="E204" s="2258"/>
      <c r="F204" s="2258"/>
      <c r="G204" s="2258"/>
      <c r="H204" s="2258"/>
      <c r="I204" s="2258"/>
      <c r="J204" s="2258"/>
      <c r="K204" s="2258"/>
      <c r="L204" s="2258"/>
      <c r="M204" s="2258"/>
      <c r="N204" s="2258"/>
      <c r="O204" s="2258"/>
      <c r="P204" s="2258"/>
      <c r="Q204" s="2258"/>
      <c r="R204" s="2258"/>
      <c r="S204" s="2258"/>
      <c r="T204" s="2258"/>
      <c r="U204" s="2258"/>
      <c r="V204" s="2258"/>
      <c r="W204" s="2258"/>
      <c r="X204" s="2258"/>
      <c r="Y204" s="2258"/>
      <c r="Z204" s="2258"/>
      <c r="AA204" s="2258"/>
      <c r="AB204" s="2258"/>
      <c r="AC204" s="2258"/>
      <c r="AD204" s="2258"/>
      <c r="AE204" s="2258"/>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59" t="s">
        <v>2306</v>
      </c>
      <c r="D206" s="2260"/>
      <c r="E206" s="2260"/>
      <c r="F206" s="2260"/>
      <c r="G206" s="2260"/>
      <c r="H206" s="2260"/>
      <c r="I206" s="2260"/>
      <c r="J206" s="2260"/>
      <c r="K206" s="2260"/>
      <c r="L206" s="2260"/>
      <c r="M206" s="2260"/>
      <c r="N206" s="2260"/>
      <c r="O206" s="2260"/>
      <c r="P206" s="2260"/>
      <c r="Q206" s="2260"/>
      <c r="R206" s="2260"/>
      <c r="S206" s="2260"/>
      <c r="T206" s="2260"/>
      <c r="U206" s="2260"/>
      <c r="V206" s="2260"/>
      <c r="W206" s="2260"/>
      <c r="X206" s="2260"/>
      <c r="Y206" s="2260"/>
      <c r="Z206" s="2260"/>
      <c r="AA206" s="2260"/>
      <c r="AB206" s="2260"/>
      <c r="AC206" s="2260"/>
      <c r="AD206" s="2260"/>
      <c r="AE206" s="2260"/>
      <c r="AF206" s="2260"/>
      <c r="AG206" s="2260"/>
      <c r="AH206" s="2260"/>
      <c r="AI206" s="2260"/>
      <c r="AJ206" s="2260"/>
      <c r="AK206" s="2261"/>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2" t="s">
        <v>2305</v>
      </c>
      <c r="D207" s="2263"/>
      <c r="E207" s="2263"/>
      <c r="F207" s="2264"/>
      <c r="G207" s="2268" t="s">
        <v>2304</v>
      </c>
      <c r="H207" s="2263"/>
      <c r="I207" s="2263"/>
      <c r="J207" s="2263"/>
      <c r="K207" s="2263"/>
      <c r="L207" s="2263"/>
      <c r="M207" s="2263"/>
      <c r="N207" s="2263"/>
      <c r="O207" s="2264"/>
      <c r="P207" s="2270" t="s">
        <v>2303</v>
      </c>
      <c r="Q207" s="2271"/>
      <c r="R207" s="2271"/>
      <c r="S207" s="2271"/>
      <c r="T207" s="2272"/>
      <c r="U207" s="2276" t="s">
        <v>2302</v>
      </c>
      <c r="V207" s="2277"/>
      <c r="W207" s="2277"/>
      <c r="X207" s="2278"/>
      <c r="Y207" s="2276" t="s">
        <v>2301</v>
      </c>
      <c r="Z207" s="2277"/>
      <c r="AA207" s="2277"/>
      <c r="AB207" s="2278"/>
      <c r="AC207" s="2276" t="s">
        <v>2300</v>
      </c>
      <c r="AD207" s="2277"/>
      <c r="AE207" s="2277"/>
      <c r="AF207" s="2278"/>
      <c r="AG207" s="2268" t="s">
        <v>2299</v>
      </c>
      <c r="AH207" s="2263"/>
      <c r="AI207" s="2263"/>
      <c r="AJ207" s="2263"/>
      <c r="AK207" s="2282"/>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5"/>
      <c r="D208" s="2266"/>
      <c r="E208" s="2266"/>
      <c r="F208" s="2267"/>
      <c r="G208" s="2269"/>
      <c r="H208" s="2266"/>
      <c r="I208" s="2266"/>
      <c r="J208" s="2266"/>
      <c r="K208" s="2266"/>
      <c r="L208" s="2266"/>
      <c r="M208" s="2266"/>
      <c r="N208" s="2266"/>
      <c r="O208" s="2267"/>
      <c r="P208" s="2273"/>
      <c r="Q208" s="2274"/>
      <c r="R208" s="2274"/>
      <c r="S208" s="2274"/>
      <c r="T208" s="2275"/>
      <c r="U208" s="2279"/>
      <c r="V208" s="2280"/>
      <c r="W208" s="2280"/>
      <c r="X208" s="2281"/>
      <c r="Y208" s="2279"/>
      <c r="Z208" s="2280"/>
      <c r="AA208" s="2280"/>
      <c r="AB208" s="2281"/>
      <c r="AC208" s="2279"/>
      <c r="AD208" s="2280"/>
      <c r="AE208" s="2280"/>
      <c r="AF208" s="2281"/>
      <c r="AG208" s="2269"/>
      <c r="AH208" s="2266"/>
      <c r="AI208" s="2266"/>
      <c r="AJ208" s="2266"/>
      <c r="AK208" s="2283"/>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87">
        <v>1</v>
      </c>
      <c r="D209" s="2288"/>
      <c r="E209" s="2288"/>
      <c r="F209" s="2288"/>
      <c r="G209" s="2289" t="s">
        <v>1885</v>
      </c>
      <c r="H209" s="2289"/>
      <c r="I209" s="2289"/>
      <c r="J209" s="2289"/>
      <c r="K209" s="2289"/>
      <c r="L209" s="2289"/>
      <c r="M209" s="2289"/>
      <c r="N209" s="2289"/>
      <c r="O209" s="2289"/>
      <c r="P209" s="2290"/>
      <c r="Q209" s="2293"/>
      <c r="R209" s="2293"/>
      <c r="S209" s="2293"/>
      <c r="T209" s="2293"/>
      <c r="U209" s="2291" t="s">
        <v>1885</v>
      </c>
      <c r="V209" s="2291"/>
      <c r="W209" s="2291"/>
      <c r="X209" s="2291"/>
      <c r="Y209" s="2291" t="s">
        <v>1885</v>
      </c>
      <c r="Z209" s="2291"/>
      <c r="AA209" s="2291"/>
      <c r="AB209" s="2291"/>
      <c r="AC209" s="2292" t="s">
        <v>1885</v>
      </c>
      <c r="AD209" s="2292"/>
      <c r="AE209" s="2292"/>
      <c r="AF209" s="2292"/>
      <c r="AG209" s="2284"/>
      <c r="AH209" s="2285"/>
      <c r="AI209" s="2285"/>
      <c r="AJ209" s="2285"/>
      <c r="AK209" s="2286"/>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87">
        <v>2</v>
      </c>
      <c r="D210" s="2288"/>
      <c r="E210" s="2288"/>
      <c r="F210" s="2288"/>
      <c r="G210" s="2289" t="s">
        <v>1885</v>
      </c>
      <c r="H210" s="2289"/>
      <c r="I210" s="2289"/>
      <c r="J210" s="2289"/>
      <c r="K210" s="2289"/>
      <c r="L210" s="2289"/>
      <c r="M210" s="2289"/>
      <c r="N210" s="2289"/>
      <c r="O210" s="2289"/>
      <c r="P210" s="2290"/>
      <c r="Q210" s="2290"/>
      <c r="R210" s="2290"/>
      <c r="S210" s="2290"/>
      <c r="T210" s="2290"/>
      <c r="U210" s="2291" t="s">
        <v>1885</v>
      </c>
      <c r="V210" s="2291"/>
      <c r="W210" s="2291"/>
      <c r="X210" s="2291"/>
      <c r="Y210" s="2291" t="s">
        <v>1885</v>
      </c>
      <c r="Z210" s="2291"/>
      <c r="AA210" s="2291"/>
      <c r="AB210" s="2291"/>
      <c r="AC210" s="2292" t="s">
        <v>1885</v>
      </c>
      <c r="AD210" s="2292"/>
      <c r="AE210" s="2292"/>
      <c r="AF210" s="2292"/>
      <c r="AG210" s="2284"/>
      <c r="AH210" s="2285"/>
      <c r="AI210" s="2285"/>
      <c r="AJ210" s="2285"/>
      <c r="AK210" s="2286"/>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87">
        <v>3</v>
      </c>
      <c r="D211" s="2288"/>
      <c r="E211" s="2288"/>
      <c r="F211" s="2288"/>
      <c r="G211" s="2289" t="s">
        <v>1885</v>
      </c>
      <c r="H211" s="2289"/>
      <c r="I211" s="2289"/>
      <c r="J211" s="2289"/>
      <c r="K211" s="2289"/>
      <c r="L211" s="2289"/>
      <c r="M211" s="2289"/>
      <c r="N211" s="2289"/>
      <c r="O211" s="2289"/>
      <c r="P211" s="2290"/>
      <c r="Q211" s="2290"/>
      <c r="R211" s="2290"/>
      <c r="S211" s="2290"/>
      <c r="T211" s="2290"/>
      <c r="U211" s="2291" t="s">
        <v>1885</v>
      </c>
      <c r="V211" s="2291"/>
      <c r="W211" s="2291"/>
      <c r="X211" s="2291"/>
      <c r="Y211" s="2291" t="s">
        <v>1885</v>
      </c>
      <c r="Z211" s="2291"/>
      <c r="AA211" s="2291"/>
      <c r="AB211" s="2291"/>
      <c r="AC211" s="2292" t="s">
        <v>1885</v>
      </c>
      <c r="AD211" s="2292"/>
      <c r="AE211" s="2292"/>
      <c r="AF211" s="2292"/>
      <c r="AG211" s="2284"/>
      <c r="AH211" s="2285"/>
      <c r="AI211" s="2285"/>
      <c r="AJ211" s="2285"/>
      <c r="AK211" s="2286"/>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87">
        <v>4</v>
      </c>
      <c r="D212" s="2288"/>
      <c r="E212" s="2288"/>
      <c r="F212" s="2288"/>
      <c r="G212" s="2289" t="s">
        <v>1885</v>
      </c>
      <c r="H212" s="2289"/>
      <c r="I212" s="2289"/>
      <c r="J212" s="2289"/>
      <c r="K212" s="2289"/>
      <c r="L212" s="2289"/>
      <c r="M212" s="2289"/>
      <c r="N212" s="2289"/>
      <c r="O212" s="2289"/>
      <c r="P212" s="2290"/>
      <c r="Q212" s="2290"/>
      <c r="R212" s="2290"/>
      <c r="S212" s="2290"/>
      <c r="T212" s="2290"/>
      <c r="U212" s="2291" t="s">
        <v>1885</v>
      </c>
      <c r="V212" s="2291"/>
      <c r="W212" s="2291"/>
      <c r="X212" s="2291"/>
      <c r="Y212" s="2291" t="s">
        <v>1885</v>
      </c>
      <c r="Z212" s="2291"/>
      <c r="AA212" s="2291"/>
      <c r="AB212" s="2291"/>
      <c r="AC212" s="2292" t="s">
        <v>1885</v>
      </c>
      <c r="AD212" s="2292"/>
      <c r="AE212" s="2292"/>
      <c r="AF212" s="2292"/>
      <c r="AG212" s="2284"/>
      <c r="AH212" s="2285"/>
      <c r="AI212" s="2285"/>
      <c r="AJ212" s="2285"/>
      <c r="AK212" s="2286"/>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87">
        <v>5</v>
      </c>
      <c r="D213" s="2288"/>
      <c r="E213" s="2288"/>
      <c r="F213" s="2288"/>
      <c r="G213" s="2289" t="s">
        <v>1885</v>
      </c>
      <c r="H213" s="2289"/>
      <c r="I213" s="2289"/>
      <c r="J213" s="2289"/>
      <c r="K213" s="2289"/>
      <c r="L213" s="2289"/>
      <c r="M213" s="2289"/>
      <c r="N213" s="2289"/>
      <c r="O213" s="2289"/>
      <c r="P213" s="2290"/>
      <c r="Q213" s="2290"/>
      <c r="R213" s="2290"/>
      <c r="S213" s="2290"/>
      <c r="T213" s="2290"/>
      <c r="U213" s="2291" t="s">
        <v>1885</v>
      </c>
      <c r="V213" s="2291"/>
      <c r="W213" s="2291"/>
      <c r="X213" s="2291"/>
      <c r="Y213" s="2291" t="s">
        <v>1885</v>
      </c>
      <c r="Z213" s="2291"/>
      <c r="AA213" s="2291"/>
      <c r="AB213" s="2291"/>
      <c r="AC213" s="2292" t="s">
        <v>1885</v>
      </c>
      <c r="AD213" s="2292"/>
      <c r="AE213" s="2292"/>
      <c r="AF213" s="2292"/>
      <c r="AG213" s="2284"/>
      <c r="AH213" s="2285"/>
      <c r="AI213" s="2285"/>
      <c r="AJ213" s="2285"/>
      <c r="AK213" s="2286"/>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87">
        <v>6</v>
      </c>
      <c r="D214" s="2288"/>
      <c r="E214" s="2288"/>
      <c r="F214" s="2288"/>
      <c r="G214" s="2289" t="s">
        <v>1885</v>
      </c>
      <c r="H214" s="2289"/>
      <c r="I214" s="2289"/>
      <c r="J214" s="2289"/>
      <c r="K214" s="2289"/>
      <c r="L214" s="2289"/>
      <c r="M214" s="2289"/>
      <c r="N214" s="2289"/>
      <c r="O214" s="2289"/>
      <c r="P214" s="2290"/>
      <c r="Q214" s="2290"/>
      <c r="R214" s="2290"/>
      <c r="S214" s="2290"/>
      <c r="T214" s="2290"/>
      <c r="U214" s="2291"/>
      <c r="V214" s="2291"/>
      <c r="W214" s="2291"/>
      <c r="X214" s="2291"/>
      <c r="Y214" s="2291"/>
      <c r="Z214" s="2291"/>
      <c r="AA214" s="2291"/>
      <c r="AB214" s="2291"/>
      <c r="AC214" s="2292" t="s">
        <v>1885</v>
      </c>
      <c r="AD214" s="2292"/>
      <c r="AE214" s="2292"/>
      <c r="AF214" s="2292"/>
      <c r="AG214" s="2284"/>
      <c r="AH214" s="2285"/>
      <c r="AI214" s="2285"/>
      <c r="AJ214" s="2285"/>
      <c r="AK214" s="2286"/>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87">
        <v>7</v>
      </c>
      <c r="D215" s="2288"/>
      <c r="E215" s="2288"/>
      <c r="F215" s="2288"/>
      <c r="G215" s="2289"/>
      <c r="H215" s="2289"/>
      <c r="I215" s="2289"/>
      <c r="J215" s="2289"/>
      <c r="K215" s="2289"/>
      <c r="L215" s="2289"/>
      <c r="M215" s="2289"/>
      <c r="N215" s="2289"/>
      <c r="O215" s="2289"/>
      <c r="P215" s="2290"/>
      <c r="Q215" s="2290"/>
      <c r="R215" s="2290"/>
      <c r="S215" s="2290"/>
      <c r="T215" s="2290"/>
      <c r="U215" s="2291"/>
      <c r="V215" s="2291"/>
      <c r="W215" s="2291"/>
      <c r="X215" s="2291"/>
      <c r="Y215" s="2291"/>
      <c r="Z215" s="2291"/>
      <c r="AA215" s="2291"/>
      <c r="AB215" s="2291"/>
      <c r="AC215" s="2292" t="s">
        <v>1885</v>
      </c>
      <c r="AD215" s="2292"/>
      <c r="AE215" s="2292"/>
      <c r="AF215" s="2292"/>
      <c r="AG215" s="2284"/>
      <c r="AH215" s="2285"/>
      <c r="AI215" s="2285"/>
      <c r="AJ215" s="2285"/>
      <c r="AK215" s="2286"/>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6" t="s">
        <v>2298</v>
      </c>
      <c r="D216" s="2307"/>
      <c r="E216" s="2307"/>
      <c r="F216" s="2307"/>
      <c r="G216" s="2307"/>
      <c r="H216" s="2307"/>
      <c r="I216" s="2307"/>
      <c r="J216" s="2307"/>
      <c r="K216" s="2307"/>
      <c r="L216" s="2307"/>
      <c r="M216" s="2307"/>
      <c r="N216" s="2307"/>
      <c r="O216" s="2307"/>
      <c r="P216" s="2308"/>
      <c r="Q216" s="2308"/>
      <c r="R216" s="2308"/>
      <c r="S216" s="2308"/>
      <c r="T216" s="2308"/>
      <c r="U216" s="2309">
        <v>0</v>
      </c>
      <c r="V216" s="2309"/>
      <c r="W216" s="2309"/>
      <c r="X216" s="2309"/>
      <c r="Y216" s="2309">
        <v>0</v>
      </c>
      <c r="Z216" s="2309"/>
      <c r="AA216" s="2309"/>
      <c r="AB216" s="2309"/>
      <c r="AC216" s="2310">
        <v>0</v>
      </c>
      <c r="AD216" s="2310"/>
      <c r="AE216" s="2310"/>
      <c r="AF216" s="2310"/>
      <c r="AG216" s="2311"/>
      <c r="AH216" s="2312"/>
      <c r="AI216" s="2312"/>
      <c r="AJ216" s="2312"/>
      <c r="AK216" s="2313"/>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4" t="s">
        <v>2296</v>
      </c>
      <c r="C221" s="2295"/>
      <c r="D221" s="2295"/>
      <c r="E221" s="2295"/>
      <c r="F221" s="2295"/>
      <c r="G221" s="2295"/>
      <c r="H221" s="2295"/>
      <c r="I221" s="2295"/>
      <c r="J221" s="2295"/>
      <c r="K221" s="2295"/>
      <c r="L221" s="2295"/>
      <c r="M221" s="2295"/>
      <c r="N221" s="2295"/>
      <c r="O221" s="2295"/>
      <c r="P221" s="2295"/>
      <c r="Q221" s="2295"/>
      <c r="R221" s="2295"/>
      <c r="S221" s="2295"/>
      <c r="T221" s="2295"/>
      <c r="U221" s="2295"/>
      <c r="V221" s="2295"/>
      <c r="W221" s="2295"/>
      <c r="X221" s="2295"/>
      <c r="Y221" s="2295"/>
      <c r="Z221" s="2295"/>
      <c r="AA221" s="2295"/>
      <c r="AB221" s="2295"/>
      <c r="AC221" s="2295"/>
      <c r="AD221" s="2295"/>
      <c r="AE221" s="2295"/>
      <c r="AF221" s="2295"/>
      <c r="AG221" s="2295"/>
      <c r="AH221" s="2295"/>
      <c r="AI221" s="2295"/>
      <c r="AJ221" s="2295"/>
      <c r="AK221" s="2295"/>
      <c r="AL221" s="2295"/>
      <c r="AM221" s="2295"/>
      <c r="AN221" s="2295"/>
      <c r="AO221" s="2295"/>
      <c r="AP221" s="2295"/>
      <c r="AQ221" s="2295"/>
      <c r="AR221" s="2295"/>
      <c r="AS221" s="2295"/>
      <c r="AT221" s="2295"/>
      <c r="AU221" s="2295"/>
      <c r="AV221" s="2295"/>
      <c r="AW221" s="2295"/>
      <c r="AX221" s="2295"/>
      <c r="AY221" s="2295"/>
      <c r="AZ221" s="2295"/>
      <c r="BA221" s="2295"/>
      <c r="BB221" s="2295"/>
      <c r="BC221" s="2295"/>
      <c r="BD221" s="2296"/>
      <c r="BE221" s="1196"/>
    </row>
    <row r="222" spans="1:57" ht="15.75" customHeight="1">
      <c r="A222" s="1192"/>
      <c r="B222" s="2297"/>
      <c r="C222" s="2298"/>
      <c r="D222" s="2298"/>
      <c r="E222" s="2298"/>
      <c r="F222" s="2298"/>
      <c r="G222" s="2298"/>
      <c r="H222" s="2298"/>
      <c r="I222" s="2298"/>
      <c r="J222" s="2298"/>
      <c r="K222" s="2298"/>
      <c r="L222" s="2298"/>
      <c r="M222" s="2298"/>
      <c r="N222" s="2298"/>
      <c r="O222" s="2298"/>
      <c r="P222" s="2298"/>
      <c r="Q222" s="2298"/>
      <c r="R222" s="2298"/>
      <c r="S222" s="2298"/>
      <c r="T222" s="2298"/>
      <c r="U222" s="2298"/>
      <c r="V222" s="2298"/>
      <c r="W222" s="2298"/>
      <c r="X222" s="2298"/>
      <c r="Y222" s="2298"/>
      <c r="Z222" s="2298"/>
      <c r="AA222" s="2298"/>
      <c r="AB222" s="2298"/>
      <c r="AC222" s="2298"/>
      <c r="AD222" s="2298"/>
      <c r="AE222" s="2298"/>
      <c r="AF222" s="2298"/>
      <c r="AG222" s="2298"/>
      <c r="AH222" s="2298"/>
      <c r="AI222" s="2298"/>
      <c r="AJ222" s="2298"/>
      <c r="AK222" s="2298"/>
      <c r="AL222" s="2298"/>
      <c r="AM222" s="2298"/>
      <c r="AN222" s="2298"/>
      <c r="AO222" s="2298"/>
      <c r="AP222" s="2298"/>
      <c r="AQ222" s="2298"/>
      <c r="AR222" s="2298"/>
      <c r="AS222" s="2298"/>
      <c r="AT222" s="2298"/>
      <c r="AU222" s="2298"/>
      <c r="AV222" s="2298"/>
      <c r="AW222" s="2298"/>
      <c r="AX222" s="2298"/>
      <c r="AY222" s="2298"/>
      <c r="AZ222" s="2298"/>
      <c r="BA222" s="2298"/>
      <c r="BB222" s="2298"/>
      <c r="BC222" s="2298"/>
      <c r="BD222" s="2299"/>
      <c r="BE222" s="1196"/>
    </row>
    <row r="223" spans="1:57" ht="15.75" customHeight="1">
      <c r="A223" s="1192"/>
      <c r="B223" s="2300" t="s">
        <v>2295</v>
      </c>
      <c r="C223" s="2301"/>
      <c r="D223" s="2301"/>
      <c r="E223" s="2301"/>
      <c r="F223" s="2301"/>
      <c r="G223" s="2301"/>
      <c r="H223" s="2301"/>
      <c r="I223" s="2301"/>
      <c r="J223" s="2301"/>
      <c r="K223" s="2301"/>
      <c r="L223" s="2301"/>
      <c r="M223" s="2301"/>
      <c r="N223" s="2301"/>
      <c r="O223" s="2301"/>
      <c r="P223" s="2301"/>
      <c r="Q223" s="2301"/>
      <c r="R223" s="2301"/>
      <c r="S223" s="2301"/>
      <c r="T223" s="2301"/>
      <c r="U223" s="2301"/>
      <c r="V223" s="2301"/>
      <c r="W223" s="2301"/>
      <c r="X223" s="2301"/>
      <c r="Y223" s="2301"/>
      <c r="Z223" s="2301"/>
      <c r="AA223" s="2301"/>
      <c r="AB223" s="2301"/>
      <c r="AC223" s="2301"/>
      <c r="AD223" s="2301"/>
      <c r="AE223" s="2301"/>
      <c r="AF223" s="2301"/>
      <c r="AG223" s="2301"/>
      <c r="AH223" s="2301"/>
      <c r="AI223" s="2301"/>
      <c r="AJ223" s="2301"/>
      <c r="AK223" s="2301"/>
      <c r="AL223" s="2301"/>
      <c r="AM223" s="2301"/>
      <c r="AN223" s="2301"/>
      <c r="AO223" s="2301"/>
      <c r="AP223" s="2301"/>
      <c r="AQ223" s="2301"/>
      <c r="AR223" s="2301"/>
      <c r="AS223" s="2301"/>
      <c r="AT223" s="2301"/>
      <c r="AU223" s="2301"/>
      <c r="AV223" s="2301"/>
      <c r="AW223" s="2301"/>
      <c r="AX223" s="2301"/>
      <c r="AY223" s="2301"/>
      <c r="AZ223" s="2301"/>
      <c r="BA223" s="2301"/>
      <c r="BB223" s="2301"/>
      <c r="BC223" s="2301"/>
      <c r="BD223" s="2302"/>
      <c r="BE223" s="1196"/>
    </row>
    <row r="224" spans="1:57" ht="15.75" customHeight="1">
      <c r="A224" s="1192"/>
      <c r="B224" s="2300" t="s">
        <v>2294</v>
      </c>
      <c r="C224" s="2301"/>
      <c r="D224" s="2301"/>
      <c r="E224" s="2301"/>
      <c r="F224" s="2301"/>
      <c r="G224" s="2301"/>
      <c r="H224" s="2301"/>
      <c r="I224" s="2301"/>
      <c r="J224" s="2301"/>
      <c r="K224" s="2301"/>
      <c r="L224" s="2301"/>
      <c r="M224" s="2301"/>
      <c r="N224" s="2301"/>
      <c r="O224" s="2301"/>
      <c r="P224" s="2301"/>
      <c r="Q224" s="2301"/>
      <c r="R224" s="2301"/>
      <c r="S224" s="2301"/>
      <c r="T224" s="2301"/>
      <c r="U224" s="2301"/>
      <c r="V224" s="2301"/>
      <c r="W224" s="2301"/>
      <c r="X224" s="2301"/>
      <c r="Y224" s="2301"/>
      <c r="Z224" s="2301"/>
      <c r="AA224" s="2301"/>
      <c r="AB224" s="2301"/>
      <c r="AC224" s="2301"/>
      <c r="AD224" s="2301"/>
      <c r="AE224" s="2301"/>
      <c r="AF224" s="2301"/>
      <c r="AG224" s="2301"/>
      <c r="AH224" s="2301"/>
      <c r="AI224" s="2301"/>
      <c r="AJ224" s="2301"/>
      <c r="AK224" s="2301"/>
      <c r="AL224" s="2301"/>
      <c r="AM224" s="2301"/>
      <c r="AN224" s="2301"/>
      <c r="AO224" s="2301"/>
      <c r="AP224" s="2301"/>
      <c r="AQ224" s="2301"/>
      <c r="AR224" s="2301"/>
      <c r="AS224" s="2301"/>
      <c r="AT224" s="2301"/>
      <c r="AU224" s="2301"/>
      <c r="AV224" s="2301"/>
      <c r="AW224" s="2301"/>
      <c r="AX224" s="2301"/>
      <c r="AY224" s="2301"/>
      <c r="AZ224" s="2301"/>
      <c r="BA224" s="2301"/>
      <c r="BB224" s="2301"/>
      <c r="BC224" s="2301"/>
      <c r="BD224" s="2302"/>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3" t="s">
        <v>2293</v>
      </c>
      <c r="C226" s="2193"/>
      <c r="D226" s="2193"/>
      <c r="E226" s="2193"/>
      <c r="F226" s="2193"/>
      <c r="G226" s="2193"/>
      <c r="H226" s="2193"/>
      <c r="I226" s="2193"/>
      <c r="J226" s="2193"/>
      <c r="K226" s="2193"/>
      <c r="L226" s="2193"/>
      <c r="M226" s="2193"/>
      <c r="N226" s="2193"/>
      <c r="O226" s="2193"/>
      <c r="P226" s="2193"/>
      <c r="Q226" s="2193"/>
      <c r="R226" s="2193"/>
      <c r="S226" s="2193"/>
      <c r="T226" s="2193"/>
      <c r="U226" s="2193"/>
      <c r="V226" s="2193"/>
      <c r="W226" s="2193"/>
      <c r="X226" s="2193"/>
      <c r="Y226" s="2193"/>
      <c r="Z226" s="2193"/>
      <c r="AA226" s="2193"/>
      <c r="AB226" s="2193"/>
      <c r="AC226" s="2193"/>
      <c r="AD226" s="2193"/>
      <c r="AE226" s="2193"/>
      <c r="AF226" s="2193"/>
      <c r="AG226" s="2193"/>
      <c r="AH226" s="2193"/>
      <c r="AI226" s="2193"/>
      <c r="AJ226" s="2193"/>
      <c r="AK226" s="2193"/>
      <c r="AL226" s="2193"/>
      <c r="AM226" s="2193"/>
      <c r="AN226" s="2193"/>
      <c r="AO226" s="2193"/>
      <c r="AP226" s="2193"/>
      <c r="AQ226" s="2193"/>
      <c r="AR226" s="2193"/>
      <c r="AS226" s="2193"/>
      <c r="AT226" s="2193"/>
      <c r="AU226" s="2193"/>
      <c r="AV226" s="2193"/>
      <c r="AW226" s="2193"/>
      <c r="AX226" s="2193"/>
      <c r="AY226" s="2193"/>
      <c r="AZ226" s="2193"/>
      <c r="BA226" s="2193"/>
      <c r="BB226" s="2193"/>
      <c r="BC226" s="2193"/>
      <c r="BD226" s="2304"/>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5" t="s">
        <v>2291</v>
      </c>
      <c r="I230" s="2305"/>
      <c r="J230" s="2305"/>
      <c r="K230" s="2305"/>
      <c r="L230" s="2305"/>
      <c r="M230" s="2305"/>
      <c r="N230" s="2305"/>
      <c r="O230" s="2305"/>
      <c r="P230" s="2305"/>
      <c r="Q230" s="2305"/>
      <c r="R230" s="2305"/>
      <c r="S230" s="2305"/>
      <c r="T230" s="2305"/>
      <c r="U230" s="2305"/>
      <c r="V230" s="2305"/>
      <c r="W230" s="2305"/>
      <c r="X230" s="2305"/>
      <c r="Y230" s="2305"/>
      <c r="Z230" s="2305"/>
      <c r="AA230" s="2305"/>
      <c r="AB230" s="2305"/>
      <c r="AC230" s="2305"/>
      <c r="AD230" s="2305"/>
      <c r="AE230" s="2305"/>
      <c r="AF230" s="2305"/>
      <c r="AG230" s="2305"/>
      <c r="AH230" s="2305"/>
      <c r="AI230" s="2305"/>
      <c r="AJ230" s="2305"/>
      <c r="AK230" s="2305"/>
      <c r="AL230" s="2305"/>
      <c r="AM230" s="2305"/>
      <c r="AN230" s="2305"/>
      <c r="AO230" s="2305"/>
      <c r="AP230" s="2305"/>
      <c r="AQ230" s="2305"/>
      <c r="AR230" s="2305"/>
      <c r="AS230" s="2305"/>
      <c r="AT230" s="2305"/>
      <c r="AU230" s="2305"/>
      <c r="AV230" s="2305"/>
      <c r="AW230" s="2305"/>
      <c r="AX230" s="2305"/>
      <c r="AY230" s="2305"/>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3" t="s">
        <v>2290</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2323"/>
      <c r="AX232" s="2323"/>
      <c r="AY232" s="2323"/>
      <c r="AZ232" s="2323"/>
      <c r="BA232" s="1192"/>
      <c r="BB232" s="1192"/>
      <c r="BC232" s="1192"/>
      <c r="BD232" s="1196"/>
      <c r="BE232" s="1196"/>
    </row>
    <row r="233" spans="1:57" ht="15.75" customHeight="1">
      <c r="A233" s="1192"/>
      <c r="B233" s="1191"/>
      <c r="C233" s="1192"/>
      <c r="D233" s="1192"/>
      <c r="E233" s="1192"/>
      <c r="F233" s="1192"/>
      <c r="G233" s="1192"/>
      <c r="H233" s="2323"/>
      <c r="I233" s="2323"/>
      <c r="J233" s="2323"/>
      <c r="K233" s="2323"/>
      <c r="L233" s="2323"/>
      <c r="M233" s="2323"/>
      <c r="N233" s="2323"/>
      <c r="O233" s="2323"/>
      <c r="P233" s="2323"/>
      <c r="Q233" s="2323"/>
      <c r="R233" s="2323"/>
      <c r="S233" s="2323"/>
      <c r="T233" s="2323"/>
      <c r="U233" s="2323"/>
      <c r="V233" s="2323"/>
      <c r="W233" s="2323"/>
      <c r="X233" s="2323"/>
      <c r="Y233" s="2323"/>
      <c r="Z233" s="2323"/>
      <c r="AA233" s="2323"/>
      <c r="AB233" s="2323"/>
      <c r="AC233" s="2323"/>
      <c r="AD233" s="2323"/>
      <c r="AE233" s="2323"/>
      <c r="AF233" s="2323"/>
      <c r="AG233" s="2323"/>
      <c r="AH233" s="2323"/>
      <c r="AI233" s="2323"/>
      <c r="AJ233" s="2323"/>
      <c r="AK233" s="2323"/>
      <c r="AL233" s="2323"/>
      <c r="AM233" s="2323"/>
      <c r="AN233" s="2323"/>
      <c r="AO233" s="2323"/>
      <c r="AP233" s="2323"/>
      <c r="AQ233" s="2323"/>
      <c r="AR233" s="2323"/>
      <c r="AS233" s="2323"/>
      <c r="AT233" s="2323"/>
      <c r="AU233" s="2323"/>
      <c r="AV233" s="2323"/>
      <c r="AW233" s="2323"/>
      <c r="AX233" s="2323"/>
      <c r="AY233" s="2323"/>
      <c r="AZ233" s="2323"/>
      <c r="BA233" s="1192"/>
      <c r="BB233" s="1192"/>
      <c r="BC233" s="1192"/>
      <c r="BD233" s="1196"/>
      <c r="BE233" s="1196"/>
    </row>
    <row r="234" spans="1:57" ht="15.75" customHeight="1">
      <c r="A234" s="1192"/>
      <c r="B234" s="1191"/>
      <c r="C234" s="1192"/>
      <c r="D234" s="1192"/>
      <c r="E234" s="1192"/>
      <c r="F234" s="1192"/>
      <c r="G234" s="1192"/>
      <c r="H234" s="2323"/>
      <c r="I234" s="2323"/>
      <c r="J234" s="2323"/>
      <c r="K234" s="2323"/>
      <c r="L234" s="2323"/>
      <c r="M234" s="2323"/>
      <c r="N234" s="2323"/>
      <c r="O234" s="2323"/>
      <c r="P234" s="2323"/>
      <c r="Q234" s="2323"/>
      <c r="R234" s="2323"/>
      <c r="S234" s="2323"/>
      <c r="T234" s="2323"/>
      <c r="U234" s="2323"/>
      <c r="V234" s="2323"/>
      <c r="W234" s="2323"/>
      <c r="X234" s="2323"/>
      <c r="Y234" s="2323"/>
      <c r="Z234" s="2323"/>
      <c r="AA234" s="2323"/>
      <c r="AB234" s="2323"/>
      <c r="AC234" s="2323"/>
      <c r="AD234" s="2323"/>
      <c r="AE234" s="2323"/>
      <c r="AF234" s="2323"/>
      <c r="AG234" s="2323"/>
      <c r="AH234" s="2323"/>
      <c r="AI234" s="2323"/>
      <c r="AJ234" s="2323"/>
      <c r="AK234" s="2323"/>
      <c r="AL234" s="2323"/>
      <c r="AM234" s="2323"/>
      <c r="AN234" s="2323"/>
      <c r="AO234" s="2323"/>
      <c r="AP234" s="2323"/>
      <c r="AQ234" s="2323"/>
      <c r="AR234" s="2323"/>
      <c r="AS234" s="2323"/>
      <c r="AT234" s="2323"/>
      <c r="AU234" s="2323"/>
      <c r="AV234" s="2323"/>
      <c r="AW234" s="2323"/>
      <c r="AX234" s="2323"/>
      <c r="AY234" s="2323"/>
      <c r="AZ234" s="2323"/>
      <c r="BA234" s="1192"/>
      <c r="BB234" s="1192"/>
      <c r="BC234" s="1192"/>
      <c r="BD234" s="1196"/>
      <c r="BE234" s="1196"/>
    </row>
    <row r="235" spans="1:57" ht="15.75" customHeight="1">
      <c r="A235" s="1192"/>
      <c r="B235" s="1191"/>
      <c r="C235" s="1192"/>
      <c r="D235" s="1192"/>
      <c r="E235" s="1192"/>
      <c r="F235" s="1192"/>
      <c r="G235" s="1192"/>
      <c r="H235" s="2323"/>
      <c r="I235" s="2323"/>
      <c r="J235" s="2323"/>
      <c r="K235" s="2323"/>
      <c r="L235" s="2323"/>
      <c r="M235" s="2323"/>
      <c r="N235" s="2323"/>
      <c r="O235" s="2323"/>
      <c r="P235" s="2323"/>
      <c r="Q235" s="2323"/>
      <c r="R235" s="2323"/>
      <c r="S235" s="2323"/>
      <c r="T235" s="2323"/>
      <c r="U235" s="2323"/>
      <c r="V235" s="2323"/>
      <c r="W235" s="2323"/>
      <c r="X235" s="2323"/>
      <c r="Y235" s="2323"/>
      <c r="Z235" s="2323"/>
      <c r="AA235" s="2323"/>
      <c r="AB235" s="2323"/>
      <c r="AC235" s="2323"/>
      <c r="AD235" s="2323"/>
      <c r="AE235" s="2323"/>
      <c r="AF235" s="2323"/>
      <c r="AG235" s="2323"/>
      <c r="AH235" s="2323"/>
      <c r="AI235" s="2323"/>
      <c r="AJ235" s="2323"/>
      <c r="AK235" s="2323"/>
      <c r="AL235" s="2323"/>
      <c r="AM235" s="2323"/>
      <c r="AN235" s="2323"/>
      <c r="AO235" s="2323"/>
      <c r="AP235" s="2323"/>
      <c r="AQ235" s="2323"/>
      <c r="AR235" s="2323"/>
      <c r="AS235" s="2323"/>
      <c r="AT235" s="2323"/>
      <c r="AU235" s="2323"/>
      <c r="AV235" s="2323"/>
      <c r="AW235" s="2323"/>
      <c r="AX235" s="2323"/>
      <c r="AY235" s="2323"/>
      <c r="AZ235" s="2323"/>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4" t="s">
        <v>2289</v>
      </c>
      <c r="I237" s="2324"/>
      <c r="J237" s="2324"/>
      <c r="K237" s="2324"/>
      <c r="L237" s="2324"/>
      <c r="M237" s="2324"/>
      <c r="N237" s="2324"/>
      <c r="O237" s="2324"/>
      <c r="P237" s="2324"/>
      <c r="Q237" s="2324"/>
      <c r="R237" s="2324"/>
      <c r="S237" s="2324"/>
      <c r="T237" s="2324"/>
      <c r="U237" s="2324"/>
      <c r="V237" s="2324"/>
      <c r="W237" s="2324"/>
      <c r="X237" s="2324"/>
      <c r="Y237" s="2324"/>
      <c r="Z237" s="2324"/>
      <c r="AA237" s="2324"/>
      <c r="AB237" s="2324"/>
      <c r="AC237" s="2324"/>
      <c r="AD237" s="2324"/>
      <c r="AE237" s="2324"/>
      <c r="AF237" s="2324"/>
      <c r="AG237" s="2324"/>
      <c r="AH237" s="2324"/>
      <c r="AI237" s="2324"/>
      <c r="AJ237" s="2324"/>
      <c r="AK237" s="2324"/>
      <c r="AL237" s="2324"/>
      <c r="AM237" s="2324"/>
      <c r="AN237" s="2324"/>
      <c r="AO237" s="2324"/>
      <c r="AP237" s="2324"/>
      <c r="AQ237" s="2324"/>
      <c r="AR237" s="2324"/>
      <c r="AS237" s="2324"/>
      <c r="AT237" s="2324"/>
      <c r="AU237" s="2324"/>
      <c r="AV237" s="2324"/>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4" t="s">
        <v>2288</v>
      </c>
      <c r="I239" s="2314"/>
      <c r="J239" s="2314"/>
      <c r="K239" s="2314"/>
      <c r="L239" s="1243"/>
      <c r="M239" s="1243"/>
      <c r="N239" s="1243"/>
      <c r="O239" s="1243"/>
      <c r="P239" s="1243"/>
      <c r="Q239" s="1243"/>
      <c r="R239" s="1243"/>
      <c r="S239" s="2325"/>
      <c r="T239" s="2326"/>
      <c r="U239" s="2326"/>
      <c r="V239" s="2326"/>
      <c r="W239" s="2326"/>
      <c r="X239" s="2326"/>
      <c r="Y239" s="2326"/>
      <c r="Z239" s="2326"/>
      <c r="AA239" s="2326"/>
      <c r="AB239" s="2326"/>
      <c r="AC239" s="2326"/>
      <c r="AD239" s="2326"/>
      <c r="AE239" s="2326"/>
      <c r="AF239" s="2326"/>
      <c r="AG239" s="2326"/>
      <c r="AH239" s="2326"/>
      <c r="AI239" s="2326"/>
      <c r="AJ239" s="2327"/>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4" t="s">
        <v>2287</v>
      </c>
      <c r="I241" s="2314"/>
      <c r="J241" s="2314"/>
      <c r="K241" s="1245"/>
      <c r="L241" s="1243"/>
      <c r="M241" s="1243"/>
      <c r="N241" s="1243"/>
      <c r="O241" s="1243"/>
      <c r="P241" s="1243"/>
      <c r="Q241" s="1243"/>
      <c r="R241" s="1243"/>
      <c r="S241" s="2315"/>
      <c r="T241" s="2316"/>
      <c r="U241" s="2316"/>
      <c r="V241" s="2316"/>
      <c r="W241" s="2316"/>
      <c r="X241" s="2316"/>
      <c r="Y241" s="2316"/>
      <c r="Z241" s="2316"/>
      <c r="AA241" s="2316"/>
      <c r="AB241" s="2316"/>
      <c r="AC241" s="2316"/>
      <c r="AD241" s="2316"/>
      <c r="AE241" s="2316"/>
      <c r="AF241" s="2316"/>
      <c r="AG241" s="2316"/>
      <c r="AH241" s="2316"/>
      <c r="AI241" s="2316"/>
      <c r="AJ241" s="2317"/>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4" t="s">
        <v>442</v>
      </c>
      <c r="I243" s="2314"/>
      <c r="J243" s="1245"/>
      <c r="K243" s="1245"/>
      <c r="L243" s="1243"/>
      <c r="M243" s="1243"/>
      <c r="N243" s="1243"/>
      <c r="O243" s="1243"/>
      <c r="P243" s="1243"/>
      <c r="Q243" s="1243"/>
      <c r="R243" s="1243"/>
      <c r="S243" s="2315"/>
      <c r="T243" s="2316"/>
      <c r="U243" s="2316"/>
      <c r="V243" s="2316"/>
      <c r="W243" s="2316"/>
      <c r="X243" s="2316"/>
      <c r="Y243" s="2316"/>
      <c r="Z243" s="2316"/>
      <c r="AA243" s="2316"/>
      <c r="AB243" s="2316"/>
      <c r="AC243" s="2316"/>
      <c r="AD243" s="2316"/>
      <c r="AE243" s="2316"/>
      <c r="AF243" s="2316"/>
      <c r="AG243" s="2316"/>
      <c r="AH243" s="2316"/>
      <c r="AI243" s="2316"/>
      <c r="AJ243" s="2317"/>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18" t="s">
        <v>2286</v>
      </c>
      <c r="I245" s="2318"/>
      <c r="J245" s="2318"/>
      <c r="K245" s="2318"/>
      <c r="L245" s="2318"/>
      <c r="M245" s="2318"/>
      <c r="N245" s="2318"/>
      <c r="O245" s="2318"/>
      <c r="P245" s="1243"/>
      <c r="Q245" s="1243"/>
      <c r="R245" s="1243"/>
      <c r="S245" s="2315"/>
      <c r="T245" s="2316"/>
      <c r="U245" s="2316"/>
      <c r="V245" s="2316"/>
      <c r="W245" s="2316"/>
      <c r="X245" s="2316"/>
      <c r="Y245" s="2316"/>
      <c r="Z245" s="2316"/>
      <c r="AA245" s="2316"/>
      <c r="AB245" s="2316"/>
      <c r="AC245" s="2316"/>
      <c r="AD245" s="2316"/>
      <c r="AE245" s="2316"/>
      <c r="AF245" s="2316"/>
      <c r="AG245" s="2316"/>
      <c r="AH245" s="2316"/>
      <c r="AI245" s="2316"/>
      <c r="AJ245" s="2317"/>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19" t="s">
        <v>2285</v>
      </c>
      <c r="I247" s="2319"/>
      <c r="J247" s="1243"/>
      <c r="K247" s="1243"/>
      <c r="L247" s="1243"/>
      <c r="M247" s="1243"/>
      <c r="N247" s="1243"/>
      <c r="O247" s="1243"/>
      <c r="P247" s="1243"/>
      <c r="Q247" s="1243"/>
      <c r="R247" s="1243"/>
      <c r="S247" s="2320"/>
      <c r="T247" s="2321"/>
      <c r="U247" s="2321"/>
      <c r="V247" s="2321"/>
      <c r="W247" s="2321"/>
      <c r="X247" s="2321"/>
      <c r="Y247" s="2321"/>
      <c r="Z247" s="2321"/>
      <c r="AA247" s="2321"/>
      <c r="AB247" s="2321"/>
      <c r="AC247" s="2321"/>
      <c r="AD247" s="2321"/>
      <c r="AE247" s="2321"/>
      <c r="AF247" s="2321"/>
      <c r="AG247" s="2321"/>
      <c r="AH247" s="2321"/>
      <c r="AI247" s="2321"/>
      <c r="AJ247" s="2322"/>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workbookViewId="0">
      <selection activeCell="T27" sqref="T27:X27"/>
    </sheetView>
  </sheetViews>
  <sheetFormatPr defaultColWidth="0" defaultRowHeight="13"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2359" t="s">
        <v>1280</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3"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319</v>
      </c>
      <c r="C5" s="405" t="s">
        <v>122</v>
      </c>
      <c r="F5" s="405"/>
    </row>
    <row r="6" spans="1:40" ht="13" customHeight="1">
      <c r="A6" s="405"/>
      <c r="C6" s="403" t="s">
        <v>1238</v>
      </c>
    </row>
    <row r="7" spans="1:40" ht="13" customHeight="1">
      <c r="B7" s="406"/>
      <c r="C7" s="407"/>
      <c r="D7" s="407"/>
      <c r="E7" s="407"/>
      <c r="F7" s="407"/>
      <c r="G7" s="407"/>
      <c r="H7" s="407"/>
      <c r="I7" s="407"/>
      <c r="J7" s="407"/>
      <c r="K7" s="407"/>
      <c r="L7" s="407"/>
      <c r="M7" s="407"/>
      <c r="N7" s="407"/>
      <c r="O7" s="407"/>
      <c r="P7" s="407"/>
      <c r="Q7" s="407"/>
      <c r="R7" s="407"/>
      <c r="S7" s="407"/>
      <c r="T7" s="2361" t="str">
        <f xml:space="preserve"> IF(T25=100%,'Sources and Basis Breakdown'!G2,'Sources and Basis Breakdown'!F2)</f>
        <v>30% PVC for New Const/
Rehabilitation
NON-DDA/
NON-QCT Building(s)</v>
      </c>
      <c r="U7" s="2361"/>
      <c r="V7" s="2361"/>
      <c r="W7" s="2361"/>
      <c r="X7" s="2361"/>
      <c r="Y7" s="2361" t="str">
        <f>IF(T25=100%,"",'Sources and Basis Breakdown'!G2)</f>
        <v/>
      </c>
      <c r="Z7" s="2361"/>
      <c r="AA7" s="2361"/>
      <c r="AB7" s="2361"/>
      <c r="AC7" s="2361"/>
      <c r="AD7" s="2361" t="str">
        <f xml:space="preserve"> IF(T25=100%, 'Sources and Basis Breakdown'!J2,'Sources and Basis Breakdown'!I2)</f>
        <v>30% PVC for Acquisition
NON-DDA/
NON-QCT Building(s)</v>
      </c>
      <c r="AE7" s="2361"/>
      <c r="AF7" s="2361"/>
      <c r="AG7" s="2361"/>
      <c r="AH7" s="2361"/>
      <c r="AI7" s="2361" t="str">
        <f>IF(T25=100%,"",'Sources and Basis Breakdown'!J2)</f>
        <v/>
      </c>
      <c r="AJ7" s="2361"/>
      <c r="AK7" s="2361"/>
      <c r="AL7" s="2361"/>
      <c r="AM7" s="2361"/>
    </row>
    <row r="8" spans="1:40" ht="13" customHeight="1">
      <c r="B8" s="408"/>
      <c r="T8" s="2361"/>
      <c r="U8" s="2361"/>
      <c r="V8" s="2361"/>
      <c r="W8" s="2361"/>
      <c r="X8" s="2361"/>
      <c r="Y8" s="2361"/>
      <c r="Z8" s="2361"/>
      <c r="AA8" s="2361"/>
      <c r="AB8" s="2361"/>
      <c r="AC8" s="2361"/>
      <c r="AD8" s="2361"/>
      <c r="AE8" s="2361"/>
      <c r="AF8" s="2361"/>
      <c r="AG8" s="2361"/>
      <c r="AH8" s="2361"/>
      <c r="AI8" s="2361"/>
      <c r="AJ8" s="2361"/>
      <c r="AK8" s="2361"/>
      <c r="AL8" s="2361"/>
      <c r="AM8" s="2361"/>
    </row>
    <row r="9" spans="1:40" ht="13" customHeight="1">
      <c r="B9" s="408"/>
      <c r="T9" s="2361"/>
      <c r="U9" s="2361"/>
      <c r="V9" s="2361"/>
      <c r="W9" s="2361"/>
      <c r="X9" s="2361"/>
      <c r="Y9" s="2361"/>
      <c r="Z9" s="2361"/>
      <c r="AA9" s="2361"/>
      <c r="AB9" s="2361"/>
      <c r="AC9" s="2361"/>
      <c r="AD9" s="2361"/>
      <c r="AE9" s="2361"/>
      <c r="AF9" s="2361"/>
      <c r="AG9" s="2361"/>
      <c r="AH9" s="2361"/>
      <c r="AI9" s="2361"/>
      <c r="AJ9" s="2361"/>
      <c r="AK9" s="2361"/>
      <c r="AL9" s="2361"/>
      <c r="AM9" s="2361"/>
    </row>
    <row r="10" spans="1:40" ht="13" customHeight="1">
      <c r="B10" s="409"/>
      <c r="C10" s="410"/>
      <c r="D10" s="410"/>
      <c r="E10" s="410"/>
      <c r="F10" s="410"/>
      <c r="G10" s="410"/>
      <c r="H10" s="410"/>
      <c r="I10" s="410"/>
      <c r="J10" s="410"/>
      <c r="K10" s="410"/>
      <c r="L10" s="410"/>
      <c r="M10" s="410"/>
      <c r="N10" s="410"/>
      <c r="O10" s="410"/>
      <c r="P10" s="410"/>
      <c r="Q10" s="410"/>
      <c r="R10" s="410"/>
      <c r="S10" s="410"/>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3" customHeight="1">
      <c r="B11" s="2340" t="s">
        <v>375</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67177711</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35535000</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3" customHeight="1">
      <c r="B12" s="2355" t="s">
        <v>498</v>
      </c>
      <c r="C12" s="1285"/>
      <c r="D12" s="1285"/>
      <c r="E12" s="1285"/>
      <c r="F12" s="1285"/>
      <c r="G12" s="1285"/>
      <c r="H12" s="1285"/>
      <c r="I12" s="1285"/>
      <c r="J12" s="1285"/>
      <c r="K12" s="1285"/>
      <c r="L12" s="1285"/>
      <c r="M12" s="1285"/>
      <c r="N12" s="1285"/>
      <c r="O12" s="1285"/>
      <c r="P12" s="1285"/>
      <c r="Q12" s="1285"/>
      <c r="R12" s="1285"/>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3" customHeight="1">
      <c r="B13" s="436"/>
      <c r="C13" s="2357" t="s">
        <v>499</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3" customHeight="1">
      <c r="B14" s="436"/>
      <c r="C14" s="2357" t="s">
        <v>500</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3" customHeight="1">
      <c r="B15" s="436"/>
      <c r="C15" s="2357" t="s">
        <v>501</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3" customHeight="1">
      <c r="B16" s="436"/>
      <c r="C16" s="2357" t="s">
        <v>806</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3" customHeight="1">
      <c r="B17" s="436"/>
      <c r="C17" s="2357" t="s">
        <v>502</v>
      </c>
      <c r="D17" s="2357"/>
      <c r="E17" s="2357"/>
      <c r="F17" s="2357"/>
      <c r="G17" s="2357"/>
      <c r="H17" s="2357"/>
      <c r="I17" s="2357"/>
      <c r="J17" s="2357"/>
      <c r="K17" s="2357"/>
      <c r="L17" s="2357"/>
      <c r="M17" s="2357"/>
      <c r="N17" s="2357"/>
      <c r="O17" s="2357"/>
      <c r="P17" s="2357"/>
      <c r="Q17" s="2357"/>
      <c r="R17" s="2357"/>
      <c r="S17" s="2358"/>
      <c r="T17" s="2331"/>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3" customHeight="1">
      <c r="A18"/>
      <c r="B18" s="1152"/>
      <c r="C18" s="1768" t="s">
        <v>960</v>
      </c>
      <c r="D18" s="1768"/>
      <c r="E18" s="1768"/>
      <c r="F18" s="1768"/>
      <c r="G18" s="1768"/>
      <c r="H18" s="1768"/>
      <c r="I18" s="1768"/>
      <c r="J18" s="1768"/>
      <c r="K18" s="1768"/>
      <c r="L18" s="1768"/>
      <c r="M18" s="1768"/>
      <c r="N18" s="1768"/>
      <c r="O18" s="1768"/>
      <c r="P18" s="1768"/>
      <c r="Q18" s="1768"/>
      <c r="R18" s="1768"/>
      <c r="S18" s="1769"/>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3" customHeight="1">
      <c r="B19" s="1152"/>
      <c r="C19" s="1768" t="s">
        <v>960</v>
      </c>
      <c r="D19" s="1768"/>
      <c r="E19" s="1768"/>
      <c r="F19" s="1768"/>
      <c r="G19" s="1768"/>
      <c r="H19" s="1768"/>
      <c r="I19" s="1768"/>
      <c r="J19" s="1768"/>
      <c r="K19" s="1768"/>
      <c r="L19" s="1768"/>
      <c r="M19" s="1768"/>
      <c r="N19" s="1768"/>
      <c r="O19" s="1768"/>
      <c r="P19" s="1768"/>
      <c r="Q19" s="1768"/>
      <c r="R19" s="1768"/>
      <c r="S19" s="1769"/>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3" customHeight="1">
      <c r="B20" s="2340" t="s">
        <v>503</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3" customHeight="1">
      <c r="B21" s="2340" t="s">
        <v>1263</v>
      </c>
      <c r="C21" s="2341"/>
      <c r="D21" s="2341"/>
      <c r="E21" s="2341"/>
      <c r="F21" s="2341"/>
      <c r="G21" s="2341"/>
      <c r="H21" s="2341"/>
      <c r="I21" s="2341"/>
      <c r="J21" s="2341"/>
      <c r="K21" s="2341"/>
      <c r="L21" s="2341"/>
      <c r="M21" s="2341"/>
      <c r="N21" s="2341"/>
      <c r="O21" s="2341"/>
      <c r="P21" s="2341"/>
      <c r="Q21" s="2341"/>
      <c r="R21" s="2341"/>
      <c r="S21" s="2342"/>
      <c r="T21" s="2331"/>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3" customHeight="1">
      <c r="B22" s="2340" t="s">
        <v>504</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3" customHeight="1">
      <c r="B23" s="2340" t="s">
        <v>505</v>
      </c>
      <c r="C23" s="2341"/>
      <c r="D23" s="2341"/>
      <c r="E23" s="2341"/>
      <c r="F23" s="2341"/>
      <c r="G23" s="2341"/>
      <c r="H23" s="2341"/>
      <c r="I23" s="2341"/>
      <c r="J23" s="2341"/>
      <c r="K23" s="2341"/>
      <c r="L23" s="2341"/>
      <c r="M23" s="2341"/>
      <c r="N23" s="2341"/>
      <c r="O23" s="2341"/>
      <c r="P23" s="2341"/>
      <c r="Q23" s="2341"/>
      <c r="R23" s="2341"/>
      <c r="S23" s="2342"/>
      <c r="T23" s="2333">
        <f>T11+T22</f>
        <v>67177711</v>
      </c>
      <c r="U23" s="2334"/>
      <c r="V23" s="2334"/>
      <c r="W23" s="2334"/>
      <c r="X23" s="2334"/>
      <c r="Y23" s="2333">
        <f>Y11+Y22</f>
        <v>0</v>
      </c>
      <c r="Z23" s="2334"/>
      <c r="AA23" s="2334"/>
      <c r="AB23" s="2334"/>
      <c r="AC23" s="2334"/>
      <c r="AD23" s="2333">
        <f>AD11+AD22</f>
        <v>35535000</v>
      </c>
      <c r="AE23" s="2334"/>
      <c r="AF23" s="2334"/>
      <c r="AG23" s="2334"/>
      <c r="AH23" s="2334"/>
      <c r="AI23" s="2333">
        <f>AI11+AI22</f>
        <v>0</v>
      </c>
      <c r="AJ23" s="2334"/>
      <c r="AK23" s="2334"/>
      <c r="AL23" s="2334"/>
      <c r="AM23" s="2334"/>
    </row>
    <row r="24" spans="1:40" ht="13" customHeight="1">
      <c r="B24" s="2340" t="s">
        <v>961</v>
      </c>
      <c r="C24" s="2341"/>
      <c r="D24" s="2341"/>
      <c r="E24" s="2341"/>
      <c r="F24" s="2341"/>
      <c r="G24" s="2341"/>
      <c r="H24" s="2341"/>
      <c r="I24" s="2341"/>
      <c r="J24" s="2341"/>
      <c r="K24" s="2341"/>
      <c r="L24" s="2341"/>
      <c r="M24" s="2341"/>
      <c r="N24" s="2341"/>
      <c r="O24" s="2341"/>
      <c r="P24" s="2341"/>
      <c r="Q24" s="2341"/>
      <c r="R24" s="2341"/>
      <c r="S24" s="2342"/>
      <c r="T24" s="2335">
        <f>Application!AJ1053</f>
        <v>279976673.72000003</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3" customHeight="1">
      <c r="B25" s="2344" t="s">
        <v>1264</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3" customHeight="1">
      <c r="B26" s="2340" t="s">
        <v>506</v>
      </c>
      <c r="C26" s="2341"/>
      <c r="D26" s="2341"/>
      <c r="E26" s="2341"/>
      <c r="F26" s="2341"/>
      <c r="G26" s="2341"/>
      <c r="H26" s="2341"/>
      <c r="I26" s="2341"/>
      <c r="J26" s="2341"/>
      <c r="K26" s="2341"/>
      <c r="L26" s="2341"/>
      <c r="M26" s="2341"/>
      <c r="N26" s="2341"/>
      <c r="O26" s="2341"/>
      <c r="P26" s="2341"/>
      <c r="Q26" s="2341"/>
      <c r="R26" s="2341"/>
      <c r="S26" s="2342"/>
      <c r="T26" s="2333">
        <f>T23*T25</f>
        <v>67177711</v>
      </c>
      <c r="U26" s="2334"/>
      <c r="V26" s="2334"/>
      <c r="W26" s="2334"/>
      <c r="X26" s="2334"/>
      <c r="Y26" s="2333">
        <f>Y23*Y25</f>
        <v>0</v>
      </c>
      <c r="Z26" s="2334"/>
      <c r="AA26" s="2334"/>
      <c r="AB26" s="2334"/>
      <c r="AC26" s="2334"/>
      <c r="AD26" s="2333">
        <f>AD23*AD25</f>
        <v>35535000</v>
      </c>
      <c r="AE26" s="2334"/>
      <c r="AF26" s="2334"/>
      <c r="AG26" s="2334"/>
      <c r="AH26" s="2334"/>
      <c r="AI26" s="2333">
        <f>AI23*AI25</f>
        <v>0</v>
      </c>
      <c r="AJ26" s="2334"/>
      <c r="AK26" s="2334"/>
      <c r="AL26" s="2334"/>
      <c r="AM26" s="2334"/>
    </row>
    <row r="27" spans="1:40" ht="13" customHeight="1">
      <c r="A27" s="411"/>
      <c r="B27" s="2347" t="s">
        <v>426</v>
      </c>
      <c r="C27" s="2348"/>
      <c r="D27" s="2348"/>
      <c r="E27" s="2348"/>
      <c r="F27" s="2348"/>
      <c r="G27" s="2348"/>
      <c r="H27" s="2348"/>
      <c r="I27" s="2348"/>
      <c r="J27" s="2348"/>
      <c r="K27" s="2348"/>
      <c r="L27" s="2348"/>
      <c r="M27" s="2348"/>
      <c r="N27" s="2348"/>
      <c r="O27" s="2348"/>
      <c r="P27" s="2348"/>
      <c r="Q27" s="2348"/>
      <c r="R27" s="2348"/>
      <c r="S27" s="2349"/>
      <c r="T27" s="2353">
        <f>Application!$AG$445</f>
        <v>1</v>
      </c>
      <c r="U27" s="2354"/>
      <c r="V27" s="2354"/>
      <c r="W27" s="2354"/>
      <c r="X27" s="2354"/>
      <c r="Y27" s="2353">
        <f>Application!$AG$445</f>
        <v>1</v>
      </c>
      <c r="Z27" s="2354"/>
      <c r="AA27" s="2354"/>
      <c r="AB27" s="2354"/>
      <c r="AC27" s="2354"/>
      <c r="AD27" s="2353">
        <f>Application!$AG$445</f>
        <v>1</v>
      </c>
      <c r="AE27" s="2354"/>
      <c r="AF27" s="2354"/>
      <c r="AG27" s="2354"/>
      <c r="AH27" s="2354"/>
      <c r="AI27" s="2353">
        <f>Application!$AG$445</f>
        <v>1</v>
      </c>
      <c r="AJ27" s="2354"/>
      <c r="AK27" s="2354"/>
      <c r="AL27" s="2354"/>
      <c r="AM27" s="2354"/>
    </row>
    <row r="28" spans="1:40" ht="13" customHeight="1">
      <c r="A28" s="405"/>
      <c r="B28" s="2340" t="s">
        <v>507</v>
      </c>
      <c r="C28" s="2341"/>
      <c r="D28" s="2341"/>
      <c r="E28" s="2341"/>
      <c r="F28" s="2341"/>
      <c r="G28" s="2341"/>
      <c r="H28" s="2341"/>
      <c r="I28" s="2341"/>
      <c r="J28" s="2341"/>
      <c r="K28" s="2341"/>
      <c r="L28" s="2341"/>
      <c r="M28" s="2341"/>
      <c r="N28" s="2341"/>
      <c r="O28" s="2341"/>
      <c r="P28" s="2341"/>
      <c r="Q28" s="2341"/>
      <c r="R28" s="2341"/>
      <c r="S28" s="2342"/>
      <c r="T28" s="2333">
        <f>IF(ISERROR((T26*T27)),0,(T26*T27))</f>
        <v>67177711</v>
      </c>
      <c r="U28" s="2334"/>
      <c r="V28" s="2334"/>
      <c r="W28" s="2334"/>
      <c r="X28" s="2334"/>
      <c r="Y28" s="2333">
        <f>IF(ISERROR((Y26*Y27)),0,(Y26*Y27))</f>
        <v>0</v>
      </c>
      <c r="Z28" s="2334"/>
      <c r="AA28" s="2334"/>
      <c r="AB28" s="2334"/>
      <c r="AC28" s="2334"/>
      <c r="AD28" s="2333">
        <f>IF(ISERROR((AD26*AD27)),0,(AD26*AD27))</f>
        <v>35535000</v>
      </c>
      <c r="AE28" s="2334"/>
      <c r="AF28" s="2334"/>
      <c r="AG28" s="2334"/>
      <c r="AH28" s="2334"/>
      <c r="AI28" s="2333">
        <f>IF(ISERROR((AI26*AI27)),0,(AI26*AI27))</f>
        <v>0</v>
      </c>
      <c r="AJ28" s="2334"/>
      <c r="AK28" s="2334"/>
      <c r="AL28" s="2334"/>
      <c r="AM28" s="2334"/>
    </row>
    <row r="29" spans="1:40" ht="13" customHeight="1">
      <c r="B29" s="2340" t="s">
        <v>524</v>
      </c>
      <c r="C29" s="2341"/>
      <c r="D29" s="2341"/>
      <c r="E29" s="2341"/>
      <c r="F29" s="2341"/>
      <c r="G29" s="2341"/>
      <c r="H29" s="2341"/>
      <c r="I29" s="2341"/>
      <c r="J29" s="2341"/>
      <c r="K29" s="2341"/>
      <c r="L29" s="2341"/>
      <c r="M29" s="2341"/>
      <c r="N29" s="2341"/>
      <c r="O29" s="2341"/>
      <c r="P29" s="2341"/>
      <c r="Q29" s="2341"/>
      <c r="R29" s="2341"/>
      <c r="S29" s="2342"/>
      <c r="T29" s="2335">
        <f>T28+Y28+AD28+AI28</f>
        <v>102712711</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3" customHeight="1">
      <c r="B30" s="2343" t="s">
        <v>1266</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3" customHeight="1">
      <c r="B31" s="2343" t="s">
        <v>1265</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9"/>
    </row>
    <row r="32" spans="1:40" ht="13"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577</v>
      </c>
      <c r="C34" s="405" t="s">
        <v>569</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61" t="s">
        <v>1154</v>
      </c>
      <c r="Z35" s="2361"/>
      <c r="AA35" s="2361"/>
      <c r="AB35" s="2361"/>
      <c r="AC35" s="2361"/>
      <c r="AD35" s="2381" t="s">
        <v>369</v>
      </c>
      <c r="AE35" s="2381"/>
      <c r="AF35" s="2381"/>
      <c r="AG35" s="2381"/>
      <c r="AH35" s="2381"/>
    </row>
    <row r="36" spans="1:76" ht="13" customHeight="1">
      <c r="B36" s="408"/>
      <c r="X36" s="413"/>
      <c r="Y36" s="2361"/>
      <c r="Z36" s="2361"/>
      <c r="AA36" s="2361"/>
      <c r="AB36" s="2361"/>
      <c r="AC36" s="2361"/>
      <c r="AD36" s="2381"/>
      <c r="AE36" s="2381"/>
      <c r="AF36" s="2381"/>
      <c r="AG36" s="2381"/>
      <c r="AH36" s="2381"/>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61"/>
      <c r="Z37" s="2361"/>
      <c r="AA37" s="2361"/>
      <c r="AB37" s="2361"/>
      <c r="AC37" s="2361"/>
      <c r="AD37" s="2381"/>
      <c r="AE37" s="2381"/>
      <c r="AF37" s="2381"/>
      <c r="AG37" s="2381"/>
      <c r="AH37" s="2381"/>
    </row>
    <row r="38" spans="1:76" ht="13" customHeight="1">
      <c r="A38" s="405"/>
      <c r="B38" s="2340" t="s">
        <v>507</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67177711</v>
      </c>
      <c r="Z38" s="2334"/>
      <c r="AA38" s="2334"/>
      <c r="AB38" s="2334"/>
      <c r="AC38" s="2334"/>
      <c r="AD38" s="2334">
        <f>IF(T24&gt;=(T23+Y23+AD23+AI23),AD28+AI28,0)</f>
        <v>35535000</v>
      </c>
      <c r="AE38" s="2334"/>
      <c r="AF38" s="2334"/>
      <c r="AG38" s="2334"/>
      <c r="AH38" s="2334"/>
    </row>
    <row r="39" spans="1:76" ht="13" customHeight="1">
      <c r="B39" s="2340" t="s">
        <v>1691</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3" customHeight="1">
      <c r="A40" s="405"/>
      <c r="B40" s="2340" t="s">
        <v>643</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2687108</v>
      </c>
      <c r="Z40" s="2334"/>
      <c r="AA40" s="2334"/>
      <c r="AB40" s="2334"/>
      <c r="AC40" s="2334"/>
      <c r="AD40" s="2333">
        <f>ROUND(AD38*AD39,0)</f>
        <v>1421400</v>
      </c>
      <c r="AE40" s="2334"/>
      <c r="AF40" s="2334"/>
      <c r="AG40" s="2334"/>
      <c r="AH40" s="2334"/>
    </row>
    <row r="41" spans="1:76" ht="13" customHeight="1">
      <c r="B41" s="2340" t="s">
        <v>644</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4108508</v>
      </c>
      <c r="Z41" s="2336"/>
      <c r="AA41" s="2336"/>
      <c r="AB41" s="2336"/>
      <c r="AC41" s="2336"/>
      <c r="AD41" s="2336"/>
      <c r="AE41" s="2336"/>
      <c r="AF41" s="2336"/>
      <c r="AG41" s="2336"/>
      <c r="AH41" s="2333"/>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338" t="s">
        <v>1276</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5" customFormat="1" ht="13" customHeight="1" thickTop="1"/>
    <row r="46" spans="1:76" ht="13" customHeight="1">
      <c r="A46" s="405" t="s">
        <v>587</v>
      </c>
      <c r="C46" s="405" t="s">
        <v>282</v>
      </c>
    </row>
    <row r="47" spans="1:76" ht="13" customHeight="1">
      <c r="D47" s="405" t="s">
        <v>283</v>
      </c>
      <c r="AB47" s="2350">
        <f>'Sources and Uses Budget'!B105-MAX(IF('Sources and Uses Budget'!B15="",0,'Sources and Uses Budget'!B15),IF(Application!AG394="",0,Application!AG394))</f>
        <v>109859539</v>
      </c>
      <c r="AC47" s="2351"/>
      <c r="AD47" s="2351"/>
      <c r="AE47" s="2351"/>
      <c r="AF47" s="2352"/>
    </row>
    <row r="48" spans="1:76" ht="13" customHeight="1">
      <c r="D48" s="405" t="s">
        <v>21</v>
      </c>
      <c r="AB48" s="2350">
        <f>Application!AO639-MAX(IF('Sources and Uses Budget'!B15="",0,'Sources and Uses Budget'!B15),IF(Application!AG394="",0,Application!AG394))</f>
        <v>72882967</v>
      </c>
      <c r="AC48" s="2351"/>
      <c r="AD48" s="2351"/>
      <c r="AE48" s="2351"/>
      <c r="AF48" s="2352"/>
    </row>
    <row r="49" spans="1:76" ht="13" customHeight="1">
      <c r="D49" s="405" t="s">
        <v>91</v>
      </c>
      <c r="AB49" s="2350">
        <f>AB47-AB48</f>
        <v>36976572</v>
      </c>
      <c r="AC49" s="2351"/>
      <c r="AD49" s="2351"/>
      <c r="AE49" s="2351"/>
      <c r="AF49" s="2352"/>
    </row>
    <row r="50" spans="1:76" ht="13" customHeight="1">
      <c r="D50" s="405" t="s">
        <v>682</v>
      </c>
      <c r="AA50" s="416"/>
      <c r="AB50" s="2377">
        <v>0.9</v>
      </c>
      <c r="AC50" s="2378"/>
      <c r="AD50" s="2378"/>
      <c r="AE50" s="2378"/>
      <c r="AF50" s="2379"/>
    </row>
    <row r="51" spans="1:76" s="418" customFormat="1" ht="13" customHeight="1">
      <c r="A51" s="403"/>
      <c r="B51" s="403"/>
      <c r="C51" s="403"/>
      <c r="D51" s="403"/>
      <c r="E51" s="2380" t="s">
        <v>1850</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332</v>
      </c>
      <c r="AB54" s="2350">
        <f>ROUND(IF(ISERROR((AB49/AB50)),0,(AB49/AB50)),0)</f>
        <v>41085080</v>
      </c>
      <c r="AC54" s="2351"/>
      <c r="AD54" s="2351"/>
      <c r="AE54" s="2351"/>
      <c r="AF54" s="2352"/>
    </row>
    <row r="55" spans="1:76" ht="13" customHeight="1">
      <c r="D55" s="405" t="s">
        <v>333</v>
      </c>
      <c r="AB55" s="2350">
        <f>(AB54/10)</f>
        <v>4108508</v>
      </c>
      <c r="AC55" s="2351"/>
      <c r="AD55" s="2351"/>
      <c r="AE55" s="2351"/>
      <c r="AF55" s="2352"/>
    </row>
    <row r="56" spans="1:76" ht="13" customHeight="1">
      <c r="D56" s="405" t="s">
        <v>757</v>
      </c>
      <c r="AB56" s="2350">
        <f>ROUND((IF((Y41&lt;AB55),Y41,AB55)),0)</f>
        <v>4108508</v>
      </c>
      <c r="AC56" s="2351"/>
      <c r="AD56" s="2351"/>
      <c r="AE56" s="2351"/>
      <c r="AF56" s="2352"/>
    </row>
    <row r="57" spans="1:76" ht="13" customHeight="1">
      <c r="D57" s="405" t="s">
        <v>756</v>
      </c>
      <c r="AB57" s="2350">
        <f>ROUND((10*AB56*AB50),0)</f>
        <v>36976572</v>
      </c>
      <c r="AC57" s="2351"/>
      <c r="AD57" s="2351"/>
      <c r="AE57" s="2351"/>
      <c r="AF57" s="2352"/>
    </row>
    <row r="58" spans="1:76" ht="13" customHeight="1">
      <c r="D58" s="405"/>
      <c r="AB58" s="424"/>
      <c r="AC58" s="424"/>
      <c r="AD58" s="424"/>
      <c r="AE58" s="424"/>
      <c r="AF58" s="424"/>
    </row>
    <row r="59" spans="1:76" ht="13" customHeight="1">
      <c r="D59" s="405" t="s">
        <v>755</v>
      </c>
      <c r="AB59" s="2373">
        <f>AB49-AB57</f>
        <v>0</v>
      </c>
      <c r="AC59" s="2373"/>
      <c r="AD59" s="2373"/>
      <c r="AE59" s="2373"/>
      <c r="AF59" s="2373"/>
    </row>
    <row r="60" spans="1:76" ht="13" customHeight="1">
      <c r="D60" s="405"/>
      <c r="AB60" s="424"/>
      <c r="AC60" s="424"/>
      <c r="AD60" s="424"/>
      <c r="AE60" s="424"/>
      <c r="AF60" s="424"/>
    </row>
    <row r="61" spans="1:76" s="205" customFormat="1" ht="13"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5" customFormat="1" ht="13" customHeight="1" thickTop="1"/>
    <row r="63" spans="1:76" ht="13" customHeight="1">
      <c r="A63" s="405" t="s">
        <v>590</v>
      </c>
      <c r="C63" s="206" t="s">
        <v>1248</v>
      </c>
      <c r="Y63" s="2374" t="s">
        <v>984</v>
      </c>
      <c r="Z63" s="2374"/>
      <c r="AA63" s="2374"/>
      <c r="AB63" s="2374"/>
      <c r="AC63" s="2374"/>
      <c r="AD63" s="2374" t="s">
        <v>369</v>
      </c>
      <c r="AE63" s="2374"/>
      <c r="AF63" s="2374"/>
      <c r="AG63" s="2374"/>
      <c r="AH63" s="2374"/>
    </row>
    <row r="64" spans="1:76" ht="13"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335">
        <f>IF(Application!$Z$205="(select)",0,((T23*T27)+Y28))</f>
        <v>0</v>
      </c>
      <c r="Z64" s="2375"/>
      <c r="AA64" s="2375"/>
      <c r="AB64" s="2375"/>
      <c r="AC64" s="2376"/>
      <c r="AD64" s="2335">
        <f>IF(AND(OR(Application!D211="At-Risk",Application!D211="At-Risk and Special Needs"),Application!M358="yes"),AD28+AI28,0)</f>
        <v>0</v>
      </c>
      <c r="AE64" s="2375"/>
      <c r="AF64" s="2375"/>
      <c r="AG64" s="2375"/>
      <c r="AH64" s="2376"/>
    </row>
    <row r="65" spans="1:36" ht="13"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88" cm="1">
        <f t="array" ref="Y67">_xlfn.IFS(OR(Application!Z205="State Farmworker Credit",Application!Z205="$500M (Farmworker Housing)"),0.75,Application!Z205="15% set-aside",0.13,Application!Z205="15% set-aside with qualifying low value rehab",0.95,Application!Z205="$500M",0.3,TRUE,0)</f>
        <v>0</v>
      </c>
      <c r="Z67" s="2388"/>
      <c r="AA67" s="2388"/>
      <c r="AB67" s="2388"/>
      <c r="AC67" s="2388"/>
      <c r="AD67" s="2388" cm="1">
        <f t="array" ref="AD67">_xlfn.IFS(Application!Z205="15% set-aside with qualifying low value rehab", 0.95,OR(Application!D211="At-Risk",'Points System'!B13="Yes"),0.13,TRUE,0)</f>
        <v>0</v>
      </c>
      <c r="AE67" s="2388"/>
      <c r="AF67" s="2388"/>
      <c r="AG67" s="2388"/>
      <c r="AH67" s="2388"/>
    </row>
    <row r="68" spans="1:36" ht="13" customHeight="1">
      <c r="C68" s="405"/>
      <c r="D68" s="206" t="s">
        <v>2228</v>
      </c>
      <c r="Y68" s="2334">
        <f>ROUND(Y64*Y67,0)</f>
        <v>0</v>
      </c>
      <c r="Z68" s="2389"/>
      <c r="AA68" s="2389"/>
      <c r="AB68" s="2389"/>
      <c r="AC68" s="2389"/>
      <c r="AD68" s="2334">
        <f>ROUND(AD64*AD67,0)</f>
        <v>0</v>
      </c>
      <c r="AE68" s="2389"/>
      <c r="AF68" s="2389"/>
      <c r="AG68" s="2389"/>
      <c r="AH68" s="2389"/>
    </row>
    <row r="69" spans="1:36" ht="13" customHeight="1">
      <c r="C69" s="405"/>
      <c r="D69" s="206" t="s">
        <v>2229</v>
      </c>
      <c r="Y69" s="2334">
        <f>IF(OR(Application!Z205="State Farmworker Credit",Application!Z205="$500M (Farmworker Housing)"),Y68+AD68,MIN(Y68+AD68,200000*(Application!G753+Application!O777)))</f>
        <v>0</v>
      </c>
      <c r="Z69" s="2334"/>
      <c r="AA69" s="2334"/>
      <c r="AB69" s="2334"/>
      <c r="AC69" s="2334"/>
      <c r="AD69" s="2334"/>
      <c r="AE69" s="2334"/>
      <c r="AF69" s="2334"/>
      <c r="AG69" s="2334"/>
      <c r="AH69" s="2334"/>
    </row>
    <row r="70" spans="1:36" ht="13" customHeight="1">
      <c r="C70" s="405"/>
      <c r="E70" s="405"/>
      <c r="AB70" s="423"/>
      <c r="AC70" s="423"/>
      <c r="AD70" s="423"/>
      <c r="AE70" s="423"/>
      <c r="AF70" s="423"/>
    </row>
    <row r="71" spans="1:36" ht="13" customHeight="1">
      <c r="A71" s="405" t="s">
        <v>591</v>
      </c>
      <c r="C71" s="206" t="s">
        <v>284</v>
      </c>
    </row>
    <row r="72" spans="1:36" ht="13" customHeight="1">
      <c r="A72" s="405"/>
      <c r="C72" s="405"/>
      <c r="D72" s="206" t="s">
        <v>1250</v>
      </c>
      <c r="AB72" s="2377"/>
      <c r="AC72" s="2378"/>
      <c r="AD72" s="2378"/>
      <c r="AE72" s="2378"/>
      <c r="AF72" s="2379"/>
    </row>
    <row r="73" spans="1:36" ht="13" customHeight="1">
      <c r="A73" s="405"/>
      <c r="C73" s="405"/>
      <c r="D73" s="405"/>
      <c r="E73" s="2390" t="s">
        <v>1251</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9"/>
      <c r="AC73" s="439"/>
    </row>
    <row r="74" spans="1:36" ht="13" customHeight="1">
      <c r="A74" s="405"/>
      <c r="C74" s="405"/>
      <c r="D74" s="405"/>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9"/>
      <c r="AC74" s="439"/>
    </row>
    <row r="75" spans="1:36" ht="13" customHeight="1">
      <c r="A75" s="405"/>
      <c r="C75" s="405"/>
      <c r="D75" s="405"/>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1252</v>
      </c>
      <c r="AB77" s="2383">
        <f>ROUND(IF(ISERROR((AB59/AB72)),0,(AB59/AB72)),0)</f>
        <v>0</v>
      </c>
      <c r="AC77" s="2383"/>
      <c r="AD77" s="2383"/>
      <c r="AE77" s="2383"/>
      <c r="AF77" s="2383"/>
    </row>
    <row r="78" spans="1:36" ht="13" customHeight="1">
      <c r="C78" s="405"/>
      <c r="D78" s="206" t="s">
        <v>1253</v>
      </c>
      <c r="AB78" s="2384">
        <f>ROUNDUP(MIN(Y69,AB77),0)</f>
        <v>0</v>
      </c>
      <c r="AC78" s="2385"/>
      <c r="AD78" s="2385"/>
      <c r="AE78" s="2385"/>
      <c r="AF78" s="2386"/>
    </row>
    <row r="79" spans="1:36" ht="13" customHeight="1">
      <c r="C79" s="405"/>
      <c r="D79" s="206" t="s">
        <v>1254</v>
      </c>
      <c r="AB79" s="2387">
        <f>AB78*AB72</f>
        <v>0</v>
      </c>
      <c r="AC79" s="2387"/>
      <c r="AD79" s="2387"/>
      <c r="AE79" s="2387"/>
      <c r="AF79" s="2387"/>
    </row>
    <row r="80" spans="1:36" ht="13" customHeight="1">
      <c r="C80" s="405"/>
      <c r="D80" s="405"/>
      <c r="AB80" s="426"/>
      <c r="AC80" s="426"/>
      <c r="AD80" s="426"/>
      <c r="AE80" s="426"/>
      <c r="AF80" s="426"/>
    </row>
    <row r="81" spans="1:78" ht="13" customHeight="1">
      <c r="D81" s="405" t="s">
        <v>755</v>
      </c>
      <c r="AB81" s="2373">
        <f>AB49-(AB57+AB79)</f>
        <v>0</v>
      </c>
      <c r="AC81" s="2373"/>
      <c r="AD81" s="2373"/>
      <c r="AE81" s="2373"/>
      <c r="AF81" s="2373"/>
    </row>
    <row r="82" spans="1:78" ht="13" customHeight="1">
      <c r="F82" s="523"/>
      <c r="J82" s="523" t="str">
        <f>IF(AB81&gt;0,"FUNDING GAP MUST NOT EXCEED ZERO","")</f>
        <v/>
      </c>
    </row>
    <row r="83" spans="1:78" ht="13" customHeight="1">
      <c r="D83" s="524"/>
    </row>
    <row r="84" spans="1:78" ht="13"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3" customHeight="1" thickTop="1"/>
    <row r="86" spans="1:78" ht="13" customHeight="1">
      <c r="A86" s="405"/>
      <c r="C86" s="206"/>
    </row>
    <row r="87" spans="1:78" ht="13" customHeight="1">
      <c r="D87" s="206"/>
      <c r="AB87" s="2339"/>
      <c r="AC87" s="2339"/>
      <c r="AD87" s="2339"/>
      <c r="AE87" s="2339"/>
      <c r="AF87" s="2339"/>
    </row>
    <row r="88" spans="1:78" ht="13" customHeight="1" thickBot="1">
      <c r="D88" s="206"/>
      <c r="AB88" s="2337"/>
      <c r="AC88" s="2337"/>
      <c r="AD88" s="2337"/>
      <c r="AE88" s="2337"/>
      <c r="AF88" s="2337"/>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M5" workbookViewId="0">
      <selection activeCell="AO5" sqref="AO1:XFD104857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621" t="s">
        <v>1300</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row>
    <row r="2" spans="1:42" s="537" customFormat="1" ht="12.75" customHeight="1" thickBot="1">
      <c r="A2" s="2622"/>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62" t="s">
        <v>1305</v>
      </c>
      <c r="AF7" s="2462"/>
      <c r="AG7" s="2462"/>
      <c r="AH7" s="2462"/>
      <c r="AI7" s="2462"/>
      <c r="AJ7" s="2462"/>
      <c r="AK7" s="2462"/>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615" t="s">
        <v>592</v>
      </c>
      <c r="C13" s="2615"/>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623"/>
      <c r="AH13" s="2623"/>
      <c r="AI13" s="2623"/>
      <c r="AJ13" s="2624"/>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615" t="s">
        <v>592</v>
      </c>
      <c r="C16" s="2615"/>
      <c r="D16" s="548"/>
      <c r="E16" s="2607" t="s">
        <v>1307</v>
      </c>
      <c r="F16" s="2608"/>
      <c r="G16" s="2608"/>
      <c r="H16" s="2608"/>
      <c r="I16" s="2608"/>
      <c r="J16" s="2608"/>
      <c r="K16" s="2608"/>
      <c r="L16" s="2608"/>
      <c r="M16" s="2608"/>
      <c r="N16" s="2608"/>
      <c r="O16" s="2608"/>
      <c r="P16" s="2608"/>
      <c r="Q16" s="2608"/>
      <c r="R16" s="2608"/>
      <c r="S16" s="2608"/>
      <c r="T16" s="2608"/>
      <c r="U16" s="2608"/>
      <c r="V16" s="2608"/>
      <c r="W16" s="2608"/>
      <c r="X16" s="2608"/>
      <c r="Y16" s="2608"/>
      <c r="Z16" s="2608"/>
      <c r="AA16" s="2608"/>
      <c r="AB16" s="2608"/>
      <c r="AC16" s="2608"/>
      <c r="AD16" s="2608"/>
      <c r="AE16" s="2608"/>
      <c r="AF16" s="2608"/>
      <c r="AG16" s="2608"/>
      <c r="AH16" s="2608"/>
      <c r="AI16" s="2608"/>
      <c r="AJ16" s="2609"/>
      <c r="AK16" s="541"/>
      <c r="AL16" s="541"/>
      <c r="AM16" s="541"/>
      <c r="AN16" s="536"/>
      <c r="AO16" s="551">
        <f>IF($B25="yes",20,0)</f>
        <v>0</v>
      </c>
      <c r="AP16" s="14"/>
    </row>
    <row r="17" spans="1:42" s="537" customFormat="1" ht="12.75" customHeight="1">
      <c r="A17" s="541"/>
      <c r="B17" s="541"/>
      <c r="C17" s="541"/>
      <c r="D17" s="552"/>
      <c r="E17" s="2610"/>
      <c r="F17" s="2611"/>
      <c r="G17" s="2611"/>
      <c r="H17" s="2611"/>
      <c r="I17" s="2611"/>
      <c r="J17" s="2611"/>
      <c r="K17" s="2611"/>
      <c r="L17" s="2611"/>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2"/>
      <c r="AK17" s="541"/>
      <c r="AL17" s="541"/>
      <c r="AM17" s="541"/>
      <c r="AN17" s="536"/>
      <c r="AO17" s="551">
        <f>IF($B28="yes",20,0)</f>
        <v>0</v>
      </c>
    </row>
    <row r="18" spans="1:42" s="537" customFormat="1" ht="12.75" customHeight="1">
      <c r="A18" s="541"/>
      <c r="B18" s="541"/>
      <c r="C18" s="541"/>
      <c r="D18" s="552"/>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631"/>
      <c r="F20" s="2632"/>
      <c r="G20" s="2632"/>
      <c r="H20" s="2632"/>
      <c r="I20" s="2632"/>
      <c r="J20" s="2632"/>
      <c r="K20" s="2632"/>
      <c r="L20" s="2632"/>
      <c r="M20" s="2632"/>
      <c r="N20" s="2632"/>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3"/>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615" t="s">
        <v>592</v>
      </c>
      <c r="C22" s="2615"/>
      <c r="D22" s="548"/>
      <c r="E22" s="2625" t="s">
        <v>1310</v>
      </c>
      <c r="F22" s="2626"/>
      <c r="G22" s="2626"/>
      <c r="H22" s="2626"/>
      <c r="I22" s="2626"/>
      <c r="J22" s="2626"/>
      <c r="K22" s="2626"/>
      <c r="L22" s="2626"/>
      <c r="M22" s="2626"/>
      <c r="N22" s="2626"/>
      <c r="O22" s="2626"/>
      <c r="P22" s="2626"/>
      <c r="Q22" s="2626"/>
      <c r="R22" s="2626"/>
      <c r="S22" s="2626"/>
      <c r="T22" s="2626"/>
      <c r="U22" s="2626"/>
      <c r="V22" s="2626"/>
      <c r="W22" s="2626"/>
      <c r="X22" s="2626"/>
      <c r="Y22" s="2626"/>
      <c r="Z22" s="2626"/>
      <c r="AA22" s="2626"/>
      <c r="AB22" s="2626"/>
      <c r="AC22" s="2626"/>
      <c r="AD22" s="2626"/>
      <c r="AE22" s="2626"/>
      <c r="AF22" s="2626"/>
      <c r="AG22" s="2626"/>
      <c r="AH22" s="2626"/>
      <c r="AI22" s="2626"/>
      <c r="AJ22" s="2627"/>
      <c r="AK22" s="541"/>
      <c r="AL22" s="541"/>
      <c r="AM22" s="541"/>
      <c r="AN22" s="536"/>
      <c r="AO22" s="551">
        <f>IF($B40="yes",14,0)</f>
        <v>0</v>
      </c>
    </row>
    <row r="23" spans="1:42" s="537" customFormat="1" ht="12.75" customHeight="1">
      <c r="A23" s="541"/>
      <c r="B23" s="541"/>
      <c r="C23" s="541"/>
      <c r="D23" s="551"/>
      <c r="E23" s="2628"/>
      <c r="F23" s="2629"/>
      <c r="G23" s="2629"/>
      <c r="H23" s="2629"/>
      <c r="I23" s="2629"/>
      <c r="J23" s="2629"/>
      <c r="K23" s="2629"/>
      <c r="L23" s="2629"/>
      <c r="M23" s="2629"/>
      <c r="N23" s="2629"/>
      <c r="O23" s="2629"/>
      <c r="P23" s="2629"/>
      <c r="Q23" s="2629"/>
      <c r="R23" s="2629"/>
      <c r="S23" s="2629"/>
      <c r="T23" s="2629"/>
      <c r="U23" s="2629"/>
      <c r="V23" s="2629"/>
      <c r="W23" s="2629"/>
      <c r="X23" s="2629"/>
      <c r="Y23" s="2629"/>
      <c r="Z23" s="2629"/>
      <c r="AA23" s="2629"/>
      <c r="AB23" s="2629"/>
      <c r="AC23" s="2629"/>
      <c r="AD23" s="2629"/>
      <c r="AE23" s="2629"/>
      <c r="AF23" s="2629"/>
      <c r="AG23" s="2629"/>
      <c r="AH23" s="2629"/>
      <c r="AI23" s="2629"/>
      <c r="AJ23" s="2630"/>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615" t="s">
        <v>592</v>
      </c>
      <c r="C25" s="2615"/>
      <c r="D25" s="548"/>
      <c r="E25" s="2542" t="s">
        <v>2035</v>
      </c>
      <c r="F25" s="2543"/>
      <c r="G25" s="2543"/>
      <c r="H25" s="2543"/>
      <c r="I25" s="2543"/>
      <c r="J25" s="2543"/>
      <c r="K25" s="2543"/>
      <c r="L25" s="2543"/>
      <c r="M25" s="2543"/>
      <c r="N25" s="2543"/>
      <c r="O25" s="2543"/>
      <c r="P25" s="2543"/>
      <c r="Q25" s="2543"/>
      <c r="R25" s="2543"/>
      <c r="S25" s="2543"/>
      <c r="T25" s="2543"/>
      <c r="U25" s="2543"/>
      <c r="V25" s="2543"/>
      <c r="W25" s="2543"/>
      <c r="X25" s="2543"/>
      <c r="Y25" s="2543"/>
      <c r="Z25" s="2543"/>
      <c r="AA25" s="2543"/>
      <c r="AB25" s="2543"/>
      <c r="AC25" s="2543"/>
      <c r="AD25" s="2543"/>
      <c r="AE25" s="2543"/>
      <c r="AF25" s="2543"/>
      <c r="AG25" s="2543"/>
      <c r="AH25" s="2543"/>
      <c r="AI25" s="2543"/>
      <c r="AJ25" s="2544"/>
      <c r="AK25" s="541"/>
      <c r="AL25" s="541"/>
      <c r="AM25" s="541"/>
      <c r="AN25" s="536"/>
      <c r="AO25" s="551">
        <f>IF($B45="yes",6,0)</f>
        <v>0</v>
      </c>
    </row>
    <row r="26" spans="1:42" s="537" customFormat="1" ht="12.75" customHeight="1">
      <c r="A26" s="541"/>
      <c r="B26" s="541"/>
      <c r="C26" s="541"/>
      <c r="D26" s="551"/>
      <c r="E26" s="2567"/>
      <c r="F26" s="2568"/>
      <c r="G26" s="2568"/>
      <c r="H26" s="2568"/>
      <c r="I26" s="2568"/>
      <c r="J26" s="2568"/>
      <c r="K26" s="2568"/>
      <c r="L26" s="2568"/>
      <c r="M26" s="2568"/>
      <c r="N26" s="2568"/>
      <c r="O26" s="2568"/>
      <c r="P26" s="2568"/>
      <c r="Q26" s="2568"/>
      <c r="R26" s="2568"/>
      <c r="S26" s="2568"/>
      <c r="T26" s="2568"/>
      <c r="U26" s="2568"/>
      <c r="V26" s="2568"/>
      <c r="W26" s="2568"/>
      <c r="X26" s="2568"/>
      <c r="Y26" s="2568"/>
      <c r="Z26" s="2568"/>
      <c r="AA26" s="2568"/>
      <c r="AB26" s="2568"/>
      <c r="AC26" s="2568"/>
      <c r="AD26" s="2568"/>
      <c r="AE26" s="2568"/>
      <c r="AF26" s="2568"/>
      <c r="AG26" s="2568"/>
      <c r="AH26" s="2568"/>
      <c r="AI26" s="2568"/>
      <c r="AJ26" s="2569"/>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615" t="s">
        <v>592</v>
      </c>
      <c r="C28" s="2615"/>
      <c r="D28" s="548"/>
      <c r="E28" s="2644" t="s">
        <v>2252</v>
      </c>
      <c r="F28" s="2645"/>
      <c r="G28" s="2645"/>
      <c r="H28" s="2645"/>
      <c r="I28" s="2645"/>
      <c r="J28" s="2645"/>
      <c r="K28" s="2645"/>
      <c r="L28" s="2645"/>
      <c r="M28" s="2645"/>
      <c r="N28" s="2645"/>
      <c r="O28" s="2645"/>
      <c r="P28" s="2645"/>
      <c r="Q28" s="2645"/>
      <c r="R28" s="2645"/>
      <c r="S28" s="2645"/>
      <c r="T28" s="2645"/>
      <c r="U28" s="2645"/>
      <c r="V28" s="2645"/>
      <c r="W28" s="2645"/>
      <c r="X28" s="2645"/>
      <c r="Y28" s="2645"/>
      <c r="Z28" s="2645"/>
      <c r="AA28" s="2645"/>
      <c r="AB28" s="2645"/>
      <c r="AC28" s="2645"/>
      <c r="AD28" s="2645"/>
      <c r="AE28" s="2645"/>
      <c r="AF28" s="2645"/>
      <c r="AG28" s="2645"/>
      <c r="AH28" s="2645"/>
      <c r="AI28" s="2645"/>
      <c r="AJ28" s="2646"/>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1308</v>
      </c>
    </row>
    <row r="33" spans="1:41" s="537" customFormat="1" ht="12.75" customHeight="1">
      <c r="A33" s="541"/>
      <c r="B33" s="2615" t="s">
        <v>592</v>
      </c>
      <c r="C33" s="2615"/>
      <c r="D33" s="548"/>
      <c r="E33" s="2625" t="s">
        <v>2254</v>
      </c>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7"/>
      <c r="AK33" s="541"/>
      <c r="AL33" s="541"/>
      <c r="AM33" s="541"/>
      <c r="AN33" s="536"/>
      <c r="AO33" s="551"/>
    </row>
    <row r="34" spans="1:41" s="537" customFormat="1" ht="12.75" customHeight="1">
      <c r="A34" s="541"/>
      <c r="B34" s="541"/>
      <c r="C34" s="541"/>
      <c r="E34" s="2628"/>
      <c r="F34" s="2629"/>
      <c r="G34" s="2629"/>
      <c r="H34" s="2629"/>
      <c r="I34" s="2629"/>
      <c r="J34" s="2629"/>
      <c r="K34" s="2629"/>
      <c r="L34" s="2629"/>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30"/>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615" t="s">
        <v>592</v>
      </c>
      <c r="C36" s="2615"/>
      <c r="D36" s="548"/>
      <c r="E36" s="2542" t="s">
        <v>2255</v>
      </c>
      <c r="F36" s="2543"/>
      <c r="G36" s="2543"/>
      <c r="H36" s="2543"/>
      <c r="I36" s="2543"/>
      <c r="J36" s="2543"/>
      <c r="K36" s="2543"/>
      <c r="L36" s="2543"/>
      <c r="M36" s="2543"/>
      <c r="N36" s="2543"/>
      <c r="O36" s="2543"/>
      <c r="P36" s="2543"/>
      <c r="Q36" s="2543"/>
      <c r="R36" s="2543"/>
      <c r="S36" s="2543"/>
      <c r="T36" s="2543"/>
      <c r="U36" s="2543"/>
      <c r="V36" s="2543"/>
      <c r="W36" s="2543"/>
      <c r="X36" s="2543"/>
      <c r="Y36" s="2543"/>
      <c r="Z36" s="2543"/>
      <c r="AA36" s="2543"/>
      <c r="AB36" s="2543"/>
      <c r="AC36" s="2543"/>
      <c r="AD36" s="2543"/>
      <c r="AE36" s="2543"/>
      <c r="AF36" s="2543"/>
      <c r="AG36" s="2543"/>
      <c r="AH36" s="2543"/>
      <c r="AI36" s="2543"/>
      <c r="AJ36" s="2544"/>
      <c r="AK36" s="541"/>
      <c r="AL36" s="541"/>
      <c r="AM36" s="541"/>
      <c r="AN36" s="536"/>
    </row>
    <row r="37" spans="1:41" s="537" customFormat="1" ht="12.75" customHeight="1">
      <c r="A37" s="541"/>
      <c r="B37" s="541"/>
      <c r="C37" s="541"/>
      <c r="E37" s="2545"/>
      <c r="F37" s="2546"/>
      <c r="G37" s="2546"/>
      <c r="H37" s="2546"/>
      <c r="I37" s="2546"/>
      <c r="J37" s="2546"/>
      <c r="K37" s="2546"/>
      <c r="L37" s="2546"/>
      <c r="M37" s="2546"/>
      <c r="N37" s="2546"/>
      <c r="O37" s="2546"/>
      <c r="P37" s="2546"/>
      <c r="Q37" s="2546"/>
      <c r="R37" s="2546"/>
      <c r="S37" s="2546"/>
      <c r="T37" s="2546"/>
      <c r="U37" s="2546"/>
      <c r="V37" s="2546"/>
      <c r="W37" s="2546"/>
      <c r="X37" s="2546"/>
      <c r="Y37" s="2546"/>
      <c r="Z37" s="2546"/>
      <c r="AA37" s="2546"/>
      <c r="AB37" s="2546"/>
      <c r="AC37" s="2546"/>
      <c r="AD37" s="2546"/>
      <c r="AE37" s="2546"/>
      <c r="AF37" s="2546"/>
      <c r="AG37" s="2546"/>
      <c r="AH37" s="2546"/>
      <c r="AI37" s="2546"/>
      <c r="AJ37" s="2547"/>
      <c r="AK37" s="541"/>
      <c r="AL37" s="541"/>
      <c r="AM37" s="541"/>
      <c r="AN37" s="536"/>
    </row>
    <row r="38" spans="1:41" s="537" customFormat="1" ht="12.75" customHeight="1">
      <c r="A38" s="541"/>
      <c r="B38" s="541"/>
      <c r="C38" s="541"/>
      <c r="E38" s="2567"/>
      <c r="F38" s="2568"/>
      <c r="G38" s="2568"/>
      <c r="H38" s="2568"/>
      <c r="I38" s="2568"/>
      <c r="J38" s="2568"/>
      <c r="K38" s="2568"/>
      <c r="L38" s="2568"/>
      <c r="M38" s="2568"/>
      <c r="N38" s="2568"/>
      <c r="O38" s="2568"/>
      <c r="P38" s="2568"/>
      <c r="Q38" s="2568"/>
      <c r="R38" s="2568"/>
      <c r="S38" s="2568"/>
      <c r="T38" s="2568"/>
      <c r="U38" s="2568"/>
      <c r="V38" s="2568"/>
      <c r="W38" s="2568"/>
      <c r="X38" s="2568"/>
      <c r="Y38" s="2568"/>
      <c r="Z38" s="2568"/>
      <c r="AA38" s="2568"/>
      <c r="AB38" s="2568"/>
      <c r="AC38" s="2568"/>
      <c r="AD38" s="2568"/>
      <c r="AE38" s="2568"/>
      <c r="AF38" s="2568"/>
      <c r="AG38" s="2568"/>
      <c r="AH38" s="2568"/>
      <c r="AI38" s="2568"/>
      <c r="AJ38" s="2569"/>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615" t="s">
        <v>592</v>
      </c>
      <c r="C40" s="2615"/>
      <c r="D40" s="548"/>
      <c r="E40" s="2542" t="s">
        <v>2253</v>
      </c>
      <c r="F40" s="2543"/>
      <c r="G40" s="2543"/>
      <c r="H40" s="2543"/>
      <c r="I40" s="2543"/>
      <c r="J40" s="2543"/>
      <c r="K40" s="2543"/>
      <c r="L40" s="2543"/>
      <c r="M40" s="2543"/>
      <c r="N40" s="2543"/>
      <c r="O40" s="2543"/>
      <c r="P40" s="2543"/>
      <c r="Q40" s="2543"/>
      <c r="R40" s="2543"/>
      <c r="S40" s="2543"/>
      <c r="T40" s="2543"/>
      <c r="U40" s="2543"/>
      <c r="V40" s="2543"/>
      <c r="W40" s="2543"/>
      <c r="X40" s="2543"/>
      <c r="Y40" s="2543"/>
      <c r="Z40" s="2543"/>
      <c r="AA40" s="2543"/>
      <c r="AB40" s="2543"/>
      <c r="AC40" s="2543"/>
      <c r="AD40" s="2543"/>
      <c r="AE40" s="2543"/>
      <c r="AF40" s="2543"/>
      <c r="AG40" s="2543"/>
      <c r="AH40" s="2543"/>
      <c r="AI40" s="2543"/>
      <c r="AJ40" s="2544"/>
      <c r="AK40" s="541"/>
      <c r="AL40" s="541"/>
      <c r="AM40" s="541"/>
      <c r="AN40" s="536"/>
    </row>
    <row r="41" spans="1:41" s="537" customFormat="1" ht="12.75" customHeight="1">
      <c r="A41" s="541"/>
      <c r="B41" s="541"/>
      <c r="C41" s="541"/>
      <c r="E41" s="2567"/>
      <c r="F41" s="2568"/>
      <c r="G41" s="2568"/>
      <c r="H41" s="2568"/>
      <c r="I41" s="2568"/>
      <c r="J41" s="2568"/>
      <c r="K41" s="2568"/>
      <c r="L41" s="2568"/>
      <c r="M41" s="2568"/>
      <c r="N41" s="2568"/>
      <c r="O41" s="2568"/>
      <c r="P41" s="2568"/>
      <c r="Q41" s="2568"/>
      <c r="R41" s="2568"/>
      <c r="S41" s="2568"/>
      <c r="T41" s="2568"/>
      <c r="U41" s="2568"/>
      <c r="V41" s="2568"/>
      <c r="W41" s="2568"/>
      <c r="X41" s="2568"/>
      <c r="Y41" s="2568"/>
      <c r="Z41" s="2568"/>
      <c r="AA41" s="2568"/>
      <c r="AB41" s="2568"/>
      <c r="AC41" s="2568"/>
      <c r="AD41" s="2568"/>
      <c r="AE41" s="2568"/>
      <c r="AF41" s="2568"/>
      <c r="AG41" s="2568"/>
      <c r="AH41" s="2568"/>
      <c r="AI41" s="2568"/>
      <c r="AJ41" s="2569"/>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615" t="s">
        <v>592</v>
      </c>
      <c r="C45" s="2615"/>
      <c r="D45" s="1144"/>
      <c r="E45" s="2542" t="s">
        <v>2010</v>
      </c>
      <c r="F45" s="2543"/>
      <c r="G45" s="2543"/>
      <c r="H45" s="2543"/>
      <c r="I45" s="2543"/>
      <c r="J45" s="2543"/>
      <c r="K45" s="2543"/>
      <c r="L45" s="2543"/>
      <c r="M45" s="2543"/>
      <c r="N45" s="2543"/>
      <c r="O45" s="2543"/>
      <c r="P45" s="2543"/>
      <c r="Q45" s="2543"/>
      <c r="R45" s="2543"/>
      <c r="S45" s="2543"/>
      <c r="T45" s="2543"/>
      <c r="U45" s="2543"/>
      <c r="V45" s="2543"/>
      <c r="W45" s="2543"/>
      <c r="X45" s="2543"/>
      <c r="Y45" s="2543"/>
      <c r="Z45" s="2543"/>
      <c r="AA45" s="2543"/>
      <c r="AB45" s="2543"/>
      <c r="AC45" s="2543"/>
      <c r="AD45" s="2543"/>
      <c r="AE45" s="2543"/>
      <c r="AF45" s="2543"/>
      <c r="AG45" s="2543"/>
      <c r="AH45" s="2543"/>
      <c r="AI45" s="2543"/>
      <c r="AJ45" s="2544"/>
      <c r="AK45" s="1144"/>
      <c r="AL45" s="541"/>
      <c r="AM45" s="541"/>
      <c r="AN45" s="536"/>
    </row>
    <row r="46" spans="1:41" s="537" customFormat="1" ht="12.75" customHeight="1">
      <c r="A46" s="541"/>
      <c r="B46" s="541"/>
      <c r="C46" s="541"/>
      <c r="E46" s="2545"/>
      <c r="F46" s="2546"/>
      <c r="G46" s="2546"/>
      <c r="H46" s="2546"/>
      <c r="I46" s="2546"/>
      <c r="J46" s="2546"/>
      <c r="K46" s="2546"/>
      <c r="L46" s="2546"/>
      <c r="M46" s="2546"/>
      <c r="N46" s="2546"/>
      <c r="O46" s="2546"/>
      <c r="P46" s="2546"/>
      <c r="Q46" s="2546"/>
      <c r="R46" s="2546"/>
      <c r="S46" s="2546"/>
      <c r="T46" s="2546"/>
      <c r="U46" s="2546"/>
      <c r="V46" s="2546"/>
      <c r="W46" s="2546"/>
      <c r="X46" s="2546"/>
      <c r="Y46" s="2546"/>
      <c r="Z46" s="2546"/>
      <c r="AA46" s="2546"/>
      <c r="AB46" s="2546"/>
      <c r="AC46" s="2546"/>
      <c r="AD46" s="2546"/>
      <c r="AE46" s="2546"/>
      <c r="AF46" s="2546"/>
      <c r="AG46" s="2546"/>
      <c r="AH46" s="2546"/>
      <c r="AI46" s="2546"/>
      <c r="AJ46" s="2547"/>
      <c r="AK46" s="541"/>
      <c r="AL46" s="541"/>
      <c r="AM46" s="541"/>
      <c r="AN46" s="536"/>
    </row>
    <row r="47" spans="1:41" s="537" customFormat="1" ht="12.75" customHeight="1">
      <c r="A47" s="541"/>
      <c r="D47" s="548"/>
      <c r="E47" s="2567"/>
      <c r="F47" s="2568"/>
      <c r="G47" s="2568"/>
      <c r="H47" s="2568"/>
      <c r="I47" s="2568"/>
      <c r="J47" s="2568"/>
      <c r="K47" s="2568"/>
      <c r="L47" s="2568"/>
      <c r="M47" s="2568"/>
      <c r="N47" s="2568"/>
      <c r="O47" s="2568"/>
      <c r="P47" s="2568"/>
      <c r="Q47" s="2568"/>
      <c r="R47" s="2568"/>
      <c r="S47" s="2568"/>
      <c r="T47" s="2568"/>
      <c r="U47" s="2568"/>
      <c r="V47" s="2568"/>
      <c r="W47" s="2568"/>
      <c r="X47" s="2568"/>
      <c r="Y47" s="2568"/>
      <c r="Z47" s="2568"/>
      <c r="AA47" s="2568"/>
      <c r="AB47" s="2568"/>
      <c r="AC47" s="2568"/>
      <c r="AD47" s="2568"/>
      <c r="AE47" s="2568"/>
      <c r="AF47" s="2568"/>
      <c r="AG47" s="2568"/>
      <c r="AH47" s="2568"/>
      <c r="AI47" s="2568"/>
      <c r="AJ47" s="2569"/>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615" t="s">
        <v>592</v>
      </c>
      <c r="C52" s="2615"/>
      <c r="D52" s="541"/>
      <c r="E52" s="2542" t="s">
        <v>2015</v>
      </c>
      <c r="F52" s="2543"/>
      <c r="G52" s="2543"/>
      <c r="H52" s="2543"/>
      <c r="I52" s="2543"/>
      <c r="J52" s="2543"/>
      <c r="K52" s="2543"/>
      <c r="L52" s="2543"/>
      <c r="M52" s="2543"/>
      <c r="N52" s="2543"/>
      <c r="O52" s="2543"/>
      <c r="P52" s="2543"/>
      <c r="Q52" s="2543"/>
      <c r="R52" s="2543"/>
      <c r="S52" s="2543"/>
      <c r="T52" s="2543"/>
      <c r="U52" s="2543"/>
      <c r="V52" s="2543"/>
      <c r="W52" s="2543"/>
      <c r="X52" s="2543"/>
      <c r="Y52" s="2543"/>
      <c r="Z52" s="2543"/>
      <c r="AA52" s="2543"/>
      <c r="AB52" s="2543"/>
      <c r="AC52" s="2543"/>
      <c r="AD52" s="2543"/>
      <c r="AE52" s="2543"/>
      <c r="AF52" s="2543"/>
      <c r="AG52" s="2543"/>
      <c r="AH52" s="2543"/>
      <c r="AI52" s="2543"/>
      <c r="AJ52" s="2544"/>
      <c r="AK52" s="541"/>
      <c r="AL52" s="541"/>
      <c r="AM52" s="541"/>
      <c r="AN52" s="536"/>
      <c r="AO52" s="560"/>
    </row>
    <row r="53" spans="1:50" s="537" customFormat="1" ht="12.75" customHeight="1">
      <c r="A53" s="541"/>
      <c r="D53" s="548"/>
      <c r="E53" s="2545"/>
      <c r="F53" s="2546"/>
      <c r="G53" s="2546"/>
      <c r="H53" s="2546"/>
      <c r="I53" s="2546"/>
      <c r="J53" s="2546"/>
      <c r="K53" s="2546"/>
      <c r="L53" s="2546"/>
      <c r="M53" s="2546"/>
      <c r="N53" s="2546"/>
      <c r="O53" s="2546"/>
      <c r="P53" s="2546"/>
      <c r="Q53" s="2546"/>
      <c r="R53" s="2546"/>
      <c r="S53" s="2546"/>
      <c r="T53" s="2546"/>
      <c r="U53" s="2546"/>
      <c r="V53" s="2546"/>
      <c r="W53" s="2546"/>
      <c r="X53" s="2546"/>
      <c r="Y53" s="2546"/>
      <c r="Z53" s="2546"/>
      <c r="AA53" s="2546"/>
      <c r="AB53" s="2546"/>
      <c r="AC53" s="2546"/>
      <c r="AD53" s="2546"/>
      <c r="AE53" s="2546"/>
      <c r="AF53" s="2546"/>
      <c r="AG53" s="2546"/>
      <c r="AH53" s="2546"/>
      <c r="AI53" s="2546"/>
      <c r="AJ53" s="2547"/>
      <c r="AK53" s="541"/>
      <c r="AL53" s="541"/>
      <c r="AM53" s="541"/>
      <c r="AN53" s="536"/>
      <c r="AO53" s="560"/>
    </row>
    <row r="54" spans="1:50" s="537" customFormat="1" ht="12.75" customHeight="1">
      <c r="A54" s="541"/>
      <c r="D54" s="541"/>
      <c r="E54" s="2567"/>
      <c r="F54" s="2568"/>
      <c r="G54" s="2568"/>
      <c r="H54" s="2568"/>
      <c r="I54" s="2568"/>
      <c r="J54" s="2568"/>
      <c r="K54" s="2568"/>
      <c r="L54" s="2568"/>
      <c r="M54" s="2568"/>
      <c r="N54" s="2568"/>
      <c r="O54" s="2568"/>
      <c r="P54" s="2568"/>
      <c r="Q54" s="2568"/>
      <c r="R54" s="2568"/>
      <c r="S54" s="2568"/>
      <c r="T54" s="2568"/>
      <c r="U54" s="2568"/>
      <c r="V54" s="2568"/>
      <c r="W54" s="2568"/>
      <c r="X54" s="2568"/>
      <c r="Y54" s="2568"/>
      <c r="Z54" s="2568"/>
      <c r="AA54" s="2568"/>
      <c r="AB54" s="2568"/>
      <c r="AC54" s="2568"/>
      <c r="AD54" s="2568"/>
      <c r="AE54" s="2568"/>
      <c r="AF54" s="2568"/>
      <c r="AG54" s="2568"/>
      <c r="AH54" s="2568"/>
      <c r="AI54" s="2568"/>
      <c r="AJ54" s="2569"/>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615" t="s">
        <v>592</v>
      </c>
      <c r="C56" s="2615"/>
      <c r="D56" s="541"/>
      <c r="E56" s="2641" t="s">
        <v>2016</v>
      </c>
      <c r="F56" s="2642"/>
      <c r="G56" s="2642"/>
      <c r="H56" s="2642"/>
      <c r="I56" s="2642"/>
      <c r="J56" s="2642"/>
      <c r="K56" s="2642"/>
      <c r="L56" s="2642"/>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3"/>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615" t="s">
        <v>592</v>
      </c>
      <c r="C58" s="2615"/>
      <c r="D58" s="541"/>
      <c r="E58" s="2542" t="s">
        <v>2017</v>
      </c>
      <c r="F58" s="2543"/>
      <c r="G58" s="2543"/>
      <c r="H58" s="2543"/>
      <c r="I58" s="2543"/>
      <c r="J58" s="2543"/>
      <c r="K58" s="2543"/>
      <c r="L58" s="2543"/>
      <c r="M58" s="2543"/>
      <c r="N58" s="2543"/>
      <c r="O58" s="2543"/>
      <c r="P58" s="2543"/>
      <c r="Q58" s="2543"/>
      <c r="R58" s="2543"/>
      <c r="S58" s="2543"/>
      <c r="T58" s="2543"/>
      <c r="U58" s="2543"/>
      <c r="V58" s="2543"/>
      <c r="W58" s="2543"/>
      <c r="X58" s="2543"/>
      <c r="Y58" s="2543"/>
      <c r="Z58" s="2543"/>
      <c r="AA58" s="2543"/>
      <c r="AB58" s="2543"/>
      <c r="AC58" s="2543"/>
      <c r="AD58" s="2543"/>
      <c r="AE58" s="2543"/>
      <c r="AF58" s="2543"/>
      <c r="AG58" s="2543"/>
      <c r="AH58" s="2543"/>
      <c r="AI58" s="2543"/>
      <c r="AJ58" s="2544"/>
      <c r="AK58" s="541"/>
      <c r="AL58" s="541"/>
      <c r="AM58" s="541"/>
      <c r="AN58" s="536"/>
    </row>
    <row r="59" spans="1:50" s="537" customFormat="1" ht="12.75" customHeight="1">
      <c r="A59" s="541"/>
      <c r="B59" s="548"/>
      <c r="C59" s="548"/>
      <c r="D59" s="548"/>
      <c r="E59" s="2567"/>
      <c r="F59" s="2568"/>
      <c r="G59" s="2568"/>
      <c r="H59" s="2568"/>
      <c r="I59" s="2568"/>
      <c r="J59" s="2568"/>
      <c r="K59" s="2568"/>
      <c r="L59" s="2568"/>
      <c r="M59" s="2568"/>
      <c r="N59" s="2568"/>
      <c r="O59" s="2568"/>
      <c r="P59" s="2568"/>
      <c r="Q59" s="2568"/>
      <c r="R59" s="2568"/>
      <c r="S59" s="2568"/>
      <c r="T59" s="2568"/>
      <c r="U59" s="2568"/>
      <c r="V59" s="2568"/>
      <c r="W59" s="2568"/>
      <c r="X59" s="2568"/>
      <c r="Y59" s="2568"/>
      <c r="Z59" s="2568"/>
      <c r="AA59" s="2568"/>
      <c r="AB59" s="2568"/>
      <c r="AC59" s="2568"/>
      <c r="AD59" s="2568"/>
      <c r="AE59" s="2568"/>
      <c r="AF59" s="2568"/>
      <c r="AG59" s="2568"/>
      <c r="AH59" s="2568"/>
      <c r="AI59" s="2568"/>
      <c r="AJ59" s="2569"/>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588">
        <f>AO39</f>
        <v>0</v>
      </c>
      <c r="AL62" s="2589"/>
      <c r="AM62" s="2590"/>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62" t="s">
        <v>1314</v>
      </c>
      <c r="AF65" s="2462"/>
      <c r="AG65" s="2462"/>
      <c r="AH65" s="2462"/>
      <c r="AI65" s="2462"/>
      <c r="AJ65" s="2462"/>
      <c r="AK65" s="2462"/>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615" t="s">
        <v>546</v>
      </c>
      <c r="C68" s="2615"/>
      <c r="D68" s="548" t="s">
        <v>1315</v>
      </c>
      <c r="E68" s="2607" t="s">
        <v>2018</v>
      </c>
      <c r="F68" s="2608"/>
      <c r="G68" s="2608"/>
      <c r="H68" s="2608"/>
      <c r="I68" s="2608"/>
      <c r="J68" s="2608"/>
      <c r="K68" s="2608"/>
      <c r="L68" s="2608"/>
      <c r="M68" s="2608"/>
      <c r="N68" s="2608"/>
      <c r="O68" s="2608"/>
      <c r="P68" s="2608"/>
      <c r="Q68" s="2608"/>
      <c r="R68" s="2608"/>
      <c r="S68" s="2608"/>
      <c r="T68" s="2608"/>
      <c r="U68" s="2608"/>
      <c r="V68" s="2608"/>
      <c r="W68" s="2608"/>
      <c r="X68" s="2608"/>
      <c r="Y68" s="2608"/>
      <c r="Z68" s="2608"/>
      <c r="AA68" s="2608"/>
      <c r="AB68" s="2608"/>
      <c r="AC68" s="2608"/>
      <c r="AD68" s="2608"/>
      <c r="AE68" s="2608"/>
      <c r="AF68" s="2608"/>
      <c r="AG68" s="2608"/>
      <c r="AH68" s="2608"/>
      <c r="AI68" s="2608"/>
      <c r="AJ68" s="2609"/>
      <c r="AK68" s="544"/>
      <c r="AL68" s="541"/>
      <c r="AM68" s="541"/>
      <c r="AN68" s="536"/>
      <c r="AO68" s="551">
        <f>IF($B68="yes",10,0)</f>
        <v>10</v>
      </c>
    </row>
    <row r="69" spans="1:42" s="537" customFormat="1" ht="12.75" customHeight="1">
      <c r="A69" s="539"/>
      <c r="B69" s="541"/>
      <c r="C69" s="541"/>
      <c r="D69" s="552"/>
      <c r="E69" s="2610"/>
      <c r="F69" s="2611"/>
      <c r="G69" s="2611"/>
      <c r="H69" s="2611"/>
      <c r="I69" s="2611"/>
      <c r="J69" s="2611"/>
      <c r="K69" s="2611"/>
      <c r="L69" s="2611"/>
      <c r="M69" s="2611"/>
      <c r="N69" s="2611"/>
      <c r="O69" s="2611"/>
      <c r="P69" s="2611"/>
      <c r="Q69" s="2611"/>
      <c r="R69" s="2611"/>
      <c r="S69" s="2611"/>
      <c r="T69" s="2611"/>
      <c r="U69" s="2611"/>
      <c r="V69" s="2611"/>
      <c r="W69" s="2611"/>
      <c r="X69" s="2611"/>
      <c r="Y69" s="2611"/>
      <c r="Z69" s="2611"/>
      <c r="AA69" s="2611"/>
      <c r="AB69" s="2611"/>
      <c r="AC69" s="2611"/>
      <c r="AD69" s="2611"/>
      <c r="AE69" s="2611"/>
      <c r="AF69" s="2611"/>
      <c r="AG69" s="2611"/>
      <c r="AH69" s="2611"/>
      <c r="AI69" s="2611"/>
      <c r="AJ69" s="2612"/>
      <c r="AK69" s="544"/>
      <c r="AL69" s="541"/>
      <c r="AM69" s="541"/>
      <c r="AN69" s="536"/>
      <c r="AO69" s="551">
        <f>IF($B74="yes",10,0)</f>
        <v>0</v>
      </c>
    </row>
    <row r="70" spans="1:42" s="537" customFormat="1" ht="12.75" customHeight="1">
      <c r="A70" s="539"/>
      <c r="B70" s="541"/>
      <c r="C70" s="541"/>
      <c r="D70" s="552"/>
      <c r="E70" s="2610"/>
      <c r="F70" s="2611"/>
      <c r="G70" s="2611"/>
      <c r="H70" s="2611"/>
      <c r="I70" s="2611"/>
      <c r="J70" s="2611"/>
      <c r="K70" s="2611"/>
      <c r="L70" s="2611"/>
      <c r="M70" s="2611"/>
      <c r="N70" s="2611"/>
      <c r="O70" s="2611"/>
      <c r="P70" s="2611"/>
      <c r="Q70" s="2611"/>
      <c r="R70" s="2611"/>
      <c r="S70" s="2611"/>
      <c r="T70" s="2611"/>
      <c r="U70" s="2611"/>
      <c r="V70" s="2611"/>
      <c r="W70" s="2611"/>
      <c r="X70" s="2611"/>
      <c r="Y70" s="2611"/>
      <c r="Z70" s="2611"/>
      <c r="AA70" s="2611"/>
      <c r="AB70" s="2611"/>
      <c r="AC70" s="2611"/>
      <c r="AD70" s="2611"/>
      <c r="AE70" s="2611"/>
      <c r="AF70" s="2611"/>
      <c r="AG70" s="2611"/>
      <c r="AH70" s="2611"/>
      <c r="AI70" s="2611"/>
      <c r="AJ70" s="2612"/>
      <c r="AK70" s="544"/>
      <c r="AL70" s="541"/>
      <c r="AM70" s="541"/>
      <c r="AN70" s="536"/>
      <c r="AO70" s="551">
        <f>IF($B81="yes",10,0)</f>
        <v>0</v>
      </c>
    </row>
    <row r="71" spans="1:42" s="537" customFormat="1" ht="12.75" customHeight="1">
      <c r="A71" s="539"/>
      <c r="B71" s="541"/>
      <c r="C71" s="541"/>
      <c r="D71" s="552"/>
      <c r="E71" s="2610"/>
      <c r="F71" s="2611"/>
      <c r="G71" s="2611"/>
      <c r="H71" s="2611"/>
      <c r="I71" s="2611"/>
      <c r="J71" s="2611"/>
      <c r="K71" s="2611"/>
      <c r="L71" s="2611"/>
      <c r="M71" s="2611"/>
      <c r="N71" s="2611"/>
      <c r="O71" s="2611"/>
      <c r="P71" s="2611"/>
      <c r="Q71" s="2611"/>
      <c r="R71" s="2611"/>
      <c r="S71" s="2611"/>
      <c r="T71" s="2611"/>
      <c r="U71" s="2611"/>
      <c r="V71" s="2611"/>
      <c r="W71" s="2611"/>
      <c r="X71" s="2611"/>
      <c r="Y71" s="2611"/>
      <c r="Z71" s="2611"/>
      <c r="AA71" s="2611"/>
      <c r="AB71" s="2611"/>
      <c r="AC71" s="2611"/>
      <c r="AD71" s="2611"/>
      <c r="AE71" s="2611"/>
      <c r="AF71" s="2611"/>
      <c r="AG71" s="2611"/>
      <c r="AH71" s="2611"/>
      <c r="AI71" s="2611"/>
      <c r="AJ71" s="2612"/>
      <c r="AK71" s="544"/>
      <c r="AL71" s="541"/>
      <c r="AM71" s="541"/>
      <c r="AN71" s="536"/>
      <c r="AO71" s="537">
        <f>IF(SUM(AO68:AO70)&gt;10,10,(SUM(AO68:AO70)))</f>
        <v>10</v>
      </c>
      <c r="AP71" s="575" t="s">
        <v>1316</v>
      </c>
    </row>
    <row r="72" spans="1:42" s="537" customFormat="1" ht="12.75" customHeight="1">
      <c r="A72" s="539"/>
      <c r="B72" s="541"/>
      <c r="C72" s="541"/>
      <c r="D72" s="552"/>
      <c r="E72" s="2637"/>
      <c r="F72" s="2638"/>
      <c r="G72" s="2638"/>
      <c r="H72" s="2638"/>
      <c r="I72" s="2638"/>
      <c r="J72" s="2638"/>
      <c r="K72" s="2638"/>
      <c r="L72" s="2638"/>
      <c r="M72" s="2638"/>
      <c r="N72" s="2638"/>
      <c r="O72" s="2638"/>
      <c r="P72" s="2638"/>
      <c r="Q72" s="2638"/>
      <c r="R72" s="2638"/>
      <c r="S72" s="2638"/>
      <c r="T72" s="2638"/>
      <c r="U72" s="2638"/>
      <c r="V72" s="2638"/>
      <c r="W72" s="2638"/>
      <c r="X72" s="2638"/>
      <c r="Y72" s="2638"/>
      <c r="Z72" s="2638"/>
      <c r="AA72" s="2638"/>
      <c r="AB72" s="2638"/>
      <c r="AC72" s="2638"/>
      <c r="AD72" s="2638"/>
      <c r="AE72" s="2638"/>
      <c r="AF72" s="2638"/>
      <c r="AG72" s="2638"/>
      <c r="AH72" s="2638"/>
      <c r="AI72" s="2638"/>
      <c r="AJ72" s="2639"/>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615" t="s">
        <v>592</v>
      </c>
      <c r="C74" s="2615"/>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640" t="s">
        <v>592</v>
      </c>
      <c r="F75" s="2615"/>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635" t="s">
        <v>592</v>
      </c>
      <c r="F76" s="2636"/>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635" t="s">
        <v>592</v>
      </c>
      <c r="F77" s="2636"/>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640" t="s">
        <v>592</v>
      </c>
      <c r="F79" s="2615"/>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615" t="s">
        <v>592</v>
      </c>
      <c r="C81" s="2615"/>
      <c r="D81" s="548" t="s">
        <v>1320</v>
      </c>
      <c r="E81" s="2542" t="s">
        <v>1740</v>
      </c>
      <c r="F81" s="2543"/>
      <c r="G81" s="2543"/>
      <c r="H81" s="2543"/>
      <c r="I81" s="2543"/>
      <c r="J81" s="2543"/>
      <c r="K81" s="2543"/>
      <c r="L81" s="2543"/>
      <c r="M81" s="2543"/>
      <c r="N81" s="2543"/>
      <c r="O81" s="2543"/>
      <c r="P81" s="2543"/>
      <c r="Q81" s="2543"/>
      <c r="R81" s="2543"/>
      <c r="S81" s="2543"/>
      <c r="T81" s="2543"/>
      <c r="U81" s="2543"/>
      <c r="V81" s="2543"/>
      <c r="W81" s="2543"/>
      <c r="X81" s="2543"/>
      <c r="Y81" s="2543"/>
      <c r="Z81" s="2543"/>
      <c r="AA81" s="2543"/>
      <c r="AB81" s="2543"/>
      <c r="AC81" s="2543"/>
      <c r="AD81" s="2543"/>
      <c r="AE81" s="2543"/>
      <c r="AF81" s="2543"/>
      <c r="AG81" s="2543"/>
      <c r="AH81" s="2543"/>
      <c r="AI81" s="2543"/>
      <c r="AJ81" s="2544"/>
      <c r="AK81" s="544"/>
      <c r="AL81" s="541"/>
      <c r="AM81" s="541"/>
      <c r="AN81" s="536"/>
    </row>
    <row r="82" spans="1:43" s="537" customFormat="1" ht="12.75" customHeight="1">
      <c r="A82" s="539"/>
      <c r="B82" s="541"/>
      <c r="C82" s="541"/>
      <c r="D82" s="551"/>
      <c r="E82" s="2567"/>
      <c r="F82" s="2568"/>
      <c r="G82" s="2568"/>
      <c r="H82" s="2568"/>
      <c r="I82" s="2568"/>
      <c r="J82" s="2568"/>
      <c r="K82" s="2568"/>
      <c r="L82" s="2568"/>
      <c r="M82" s="2568"/>
      <c r="N82" s="2568"/>
      <c r="O82" s="2568"/>
      <c r="P82" s="2568"/>
      <c r="Q82" s="2568"/>
      <c r="R82" s="2568"/>
      <c r="S82" s="2568"/>
      <c r="T82" s="2568"/>
      <c r="U82" s="2568"/>
      <c r="V82" s="2568"/>
      <c r="W82" s="2568"/>
      <c r="X82" s="2568"/>
      <c r="Y82" s="2568"/>
      <c r="Z82" s="2568"/>
      <c r="AA82" s="2568"/>
      <c r="AB82" s="2568"/>
      <c r="AC82" s="2568"/>
      <c r="AD82" s="2568"/>
      <c r="AE82" s="2568"/>
      <c r="AF82" s="2568"/>
      <c r="AG82" s="2568"/>
      <c r="AH82" s="2568"/>
      <c r="AI82" s="2568"/>
      <c r="AJ82" s="2569"/>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588">
        <f>IF(AK62&gt;0,0,AO71)</f>
        <v>10</v>
      </c>
      <c r="AL84" s="2589"/>
      <c r="AM84" s="2590"/>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62" t="s">
        <v>1305</v>
      </c>
      <c r="AF87" s="2462"/>
      <c r="AG87" s="2462"/>
      <c r="AH87" s="2462"/>
      <c r="AI87" s="2462"/>
      <c r="AJ87" s="2462"/>
      <c r="AK87" s="2462"/>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615" t="s">
        <v>592</v>
      </c>
      <c r="C90" s="2615"/>
      <c r="D90" s="548" t="s">
        <v>1315</v>
      </c>
      <c r="E90" s="2607" t="s">
        <v>1325</v>
      </c>
      <c r="F90" s="2608"/>
      <c r="G90" s="2608"/>
      <c r="H90" s="2608"/>
      <c r="I90" s="2608"/>
      <c r="J90" s="2608"/>
      <c r="K90" s="2608"/>
      <c r="L90" s="2608"/>
      <c r="M90" s="2608"/>
      <c r="N90" s="2608"/>
      <c r="O90" s="2608"/>
      <c r="P90" s="2608"/>
      <c r="Q90" s="2608"/>
      <c r="R90" s="2608"/>
      <c r="S90" s="2608"/>
      <c r="T90" s="2608"/>
      <c r="U90" s="2608"/>
      <c r="V90" s="2608"/>
      <c r="W90" s="2608"/>
      <c r="X90" s="2608"/>
      <c r="Y90" s="2608"/>
      <c r="Z90" s="2608"/>
      <c r="AA90" s="2608"/>
      <c r="AB90" s="2608"/>
      <c r="AC90" s="2608"/>
      <c r="AD90" s="2608"/>
      <c r="AE90" s="2608"/>
      <c r="AF90" s="2608"/>
      <c r="AG90" s="2608"/>
      <c r="AH90" s="2608"/>
      <c r="AI90" s="2608"/>
      <c r="AJ90" s="2609"/>
      <c r="AK90" s="544"/>
      <c r="AL90" s="541"/>
      <c r="AM90" s="541"/>
      <c r="AN90" s="536"/>
    </row>
    <row r="91" spans="1:43" s="537" customFormat="1" ht="12.75" customHeight="1">
      <c r="A91" s="539"/>
      <c r="B91" s="540"/>
      <c r="C91" s="540"/>
      <c r="D91" s="540"/>
      <c r="E91" s="2610"/>
      <c r="F91" s="2611"/>
      <c r="G91" s="2611"/>
      <c r="H91" s="2611"/>
      <c r="I91" s="2611"/>
      <c r="J91" s="2611"/>
      <c r="K91" s="2611"/>
      <c r="L91" s="2611"/>
      <c r="M91" s="2611"/>
      <c r="N91" s="2611"/>
      <c r="O91" s="2611"/>
      <c r="P91" s="2611"/>
      <c r="Q91" s="2611"/>
      <c r="R91" s="2611"/>
      <c r="S91" s="2611"/>
      <c r="T91" s="2611"/>
      <c r="U91" s="2611"/>
      <c r="V91" s="2611"/>
      <c r="W91" s="2611"/>
      <c r="X91" s="2611"/>
      <c r="Y91" s="2611"/>
      <c r="Z91" s="2611"/>
      <c r="AA91" s="2611"/>
      <c r="AB91" s="2611"/>
      <c r="AC91" s="2611"/>
      <c r="AD91" s="2611"/>
      <c r="AE91" s="2611"/>
      <c r="AF91" s="2611"/>
      <c r="AG91" s="2611"/>
      <c r="AH91" s="2611"/>
      <c r="AI91" s="2611"/>
      <c r="AJ91" s="2612"/>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603">
        <f>Application!AC753</f>
        <v>0.6</v>
      </c>
      <c r="F93" s="2604"/>
      <c r="G93" s="2604"/>
      <c r="H93" s="2604"/>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634">
        <f>0.6-ROUNDUP(E93,2)</f>
        <v>0</v>
      </c>
      <c r="F94" s="2409"/>
      <c r="G94" s="2409"/>
      <c r="H94" s="2409"/>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619">
        <f>IF(E94*200&gt;20,20,E94*200)</f>
        <v>0</v>
      </c>
      <c r="F95" s="2620"/>
      <c r="G95" s="2620"/>
      <c r="H95" s="2620"/>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615" t="s">
        <v>546</v>
      </c>
      <c r="C98" s="2615"/>
      <c r="D98" s="548" t="s">
        <v>1317</v>
      </c>
      <c r="E98" s="2607" t="s">
        <v>1725</v>
      </c>
      <c r="F98" s="2608"/>
      <c r="G98" s="2608"/>
      <c r="H98" s="2608"/>
      <c r="I98" s="2608"/>
      <c r="J98" s="2608"/>
      <c r="K98" s="2608"/>
      <c r="L98" s="2608"/>
      <c r="M98" s="2608"/>
      <c r="N98" s="2608"/>
      <c r="O98" s="2608"/>
      <c r="P98" s="2608"/>
      <c r="Q98" s="2608"/>
      <c r="R98" s="2608"/>
      <c r="S98" s="2608"/>
      <c r="T98" s="2608"/>
      <c r="U98" s="2608"/>
      <c r="V98" s="2608"/>
      <c r="W98" s="2608"/>
      <c r="X98" s="2608"/>
      <c r="Y98" s="2608"/>
      <c r="Z98" s="2608"/>
      <c r="AA98" s="2608"/>
      <c r="AB98" s="2608"/>
      <c r="AC98" s="2608"/>
      <c r="AD98" s="2608"/>
      <c r="AE98" s="2608"/>
      <c r="AF98" s="2608"/>
      <c r="AG98" s="2608"/>
      <c r="AH98" s="2608"/>
      <c r="AI98" s="2608"/>
      <c r="AJ98" s="2609"/>
      <c r="AK98" s="544"/>
      <c r="AL98" s="541"/>
      <c r="AM98" s="541"/>
      <c r="AN98" s="536"/>
    </row>
    <row r="99" spans="1:47" s="537" customFormat="1" ht="12.75" customHeight="1">
      <c r="A99" s="539"/>
      <c r="B99" s="540"/>
      <c r="C99" s="540"/>
      <c r="D99" s="540"/>
      <c r="E99" s="2610"/>
      <c r="F99" s="2611"/>
      <c r="G99" s="2611"/>
      <c r="H99" s="2611"/>
      <c r="I99" s="2611"/>
      <c r="J99" s="2611"/>
      <c r="K99" s="2611"/>
      <c r="L99" s="2611"/>
      <c r="M99" s="2611"/>
      <c r="N99" s="2611"/>
      <c r="O99" s="2611"/>
      <c r="P99" s="2611"/>
      <c r="Q99" s="2611"/>
      <c r="R99" s="2611"/>
      <c r="S99" s="2611"/>
      <c r="T99" s="2611"/>
      <c r="U99" s="2611"/>
      <c r="V99" s="2611"/>
      <c r="W99" s="2611"/>
      <c r="X99" s="2611"/>
      <c r="Y99" s="2611"/>
      <c r="Z99" s="2611"/>
      <c r="AA99" s="2611"/>
      <c r="AB99" s="2611"/>
      <c r="AC99" s="2611"/>
      <c r="AD99" s="2611"/>
      <c r="AE99" s="2611"/>
      <c r="AF99" s="2611"/>
      <c r="AG99" s="2611"/>
      <c r="AH99" s="2611"/>
      <c r="AI99" s="2611"/>
      <c r="AJ99" s="2612"/>
      <c r="AK99" s="544"/>
      <c r="AL99" s="541"/>
      <c r="AM99" s="541"/>
      <c r="AN99" s="536"/>
    </row>
    <row r="100" spans="1:47" s="537" customFormat="1" ht="12.75" customHeight="1">
      <c r="A100" s="539"/>
      <c r="B100" s="540"/>
      <c r="C100" s="540"/>
      <c r="D100" s="540"/>
      <c r="E100" s="2610"/>
      <c r="F100" s="2611"/>
      <c r="G100" s="2611"/>
      <c r="H100" s="2611"/>
      <c r="I100" s="2611"/>
      <c r="J100" s="2611"/>
      <c r="K100" s="2611"/>
      <c r="L100" s="2611"/>
      <c r="M100" s="2611"/>
      <c r="N100" s="2611"/>
      <c r="O100" s="2611"/>
      <c r="P100" s="2611"/>
      <c r="Q100" s="2611"/>
      <c r="R100" s="2611"/>
      <c r="S100" s="2611"/>
      <c r="T100" s="2611"/>
      <c r="U100" s="2611"/>
      <c r="V100" s="2611"/>
      <c r="W100" s="2611"/>
      <c r="X100" s="2611"/>
      <c r="Y100" s="2611"/>
      <c r="Z100" s="2611"/>
      <c r="AA100" s="2611"/>
      <c r="AB100" s="2611"/>
      <c r="AC100" s="2611"/>
      <c r="AD100" s="2611"/>
      <c r="AE100" s="2611"/>
      <c r="AF100" s="2611"/>
      <c r="AG100" s="2611"/>
      <c r="AH100" s="2611"/>
      <c r="AI100" s="2611"/>
      <c r="AJ100" s="2612"/>
      <c r="AK100" s="544"/>
      <c r="AL100" s="541"/>
      <c r="AM100" s="541"/>
      <c r="AN100" s="536"/>
    </row>
    <row r="101" spans="1:47" s="537" customFormat="1" ht="12.75" customHeight="1">
      <c r="A101" s="539"/>
      <c r="B101" s="540"/>
      <c r="C101" s="540"/>
      <c r="D101" s="540"/>
      <c r="E101" s="2610"/>
      <c r="F101" s="2611"/>
      <c r="G101" s="2611"/>
      <c r="H101" s="2611"/>
      <c r="I101" s="2611"/>
      <c r="J101" s="2611"/>
      <c r="K101" s="2611"/>
      <c r="L101" s="2611"/>
      <c r="M101" s="2611"/>
      <c r="N101" s="2611"/>
      <c r="O101" s="2611"/>
      <c r="P101" s="2611"/>
      <c r="Q101" s="2611"/>
      <c r="R101" s="2611"/>
      <c r="S101" s="2611"/>
      <c r="T101" s="2611"/>
      <c r="U101" s="2611"/>
      <c r="V101" s="2611"/>
      <c r="W101" s="2611"/>
      <c r="X101" s="2611"/>
      <c r="Y101" s="2611"/>
      <c r="Z101" s="2611"/>
      <c r="AA101" s="2611"/>
      <c r="AB101" s="2611"/>
      <c r="AC101" s="2611"/>
      <c r="AD101" s="2611"/>
      <c r="AE101" s="2611"/>
      <c r="AF101" s="2611"/>
      <c r="AG101" s="2611"/>
      <c r="AH101" s="2611"/>
      <c r="AI101" s="2611"/>
      <c r="AJ101" s="2612"/>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603">
        <f>Application!AC753</f>
        <v>0.6</v>
      </c>
      <c r="F103" s="2604"/>
      <c r="G103" s="2604"/>
      <c r="H103" s="2604"/>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603">
        <f ca="1">SUMIF(Application!AC718:AG752,0.2,Application!G718:J752)/Application!G753+SUMIF(Application!AC718:AG752,0.25,Application!G718:J752)/Application!G753+SUMIF(Application!AC718:AG752,0.3,Application!G718:J752)/Application!G753</f>
        <v>0.39748953974895396</v>
      </c>
      <c r="F104" s="2604"/>
      <c r="G104" s="2604"/>
      <c r="H104" s="2604"/>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603">
        <f ca="1">SUMIF(Application!AC718:AG752,0.35,Application!G718:J752)/Application!G753+SUMIF(Application!AC718:AG752,0.4,Application!G718:J752)/Application!G753+SUMIF(Application!AC718:AG752,0.45,Application!G718:J752)/Application!G753+SUMIF(Application!AC718:AG752,0.5,Application!G718:J752)/Application!G753</f>
        <v>4.1841004184100415E-3</v>
      </c>
      <c r="F105" s="2604"/>
      <c r="G105" s="2604"/>
      <c r="H105" s="2604"/>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601">
        <f ca="1">IF(AND(E103&lt;=0.6,OR(AND(E104&gt;=0.1,E105&gt;=0.1),AND(E104&gt;0.1,(E104+E105)&gt;=0.2))),20,0)</f>
        <v>20</v>
      </c>
      <c r="F106" s="2602"/>
      <c r="G106" s="2602"/>
      <c r="H106" s="2602"/>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588">
        <f ca="1">MAX(AP95,AP106)</f>
        <v>20</v>
      </c>
      <c r="AL109" s="2589"/>
      <c r="AM109" s="2590"/>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62" t="s">
        <v>1314</v>
      </c>
      <c r="AF112" s="2462"/>
      <c r="AG112" s="2462"/>
      <c r="AH112" s="2462"/>
      <c r="AI112" s="2462"/>
      <c r="AJ112" s="2462"/>
      <c r="AK112" s="2462"/>
      <c r="AL112" s="541"/>
      <c r="AM112" s="541"/>
      <c r="AN112" s="536"/>
      <c r="AO112" s="537" t="str">
        <f>Application!B718</f>
        <v>SRO/Studio</v>
      </c>
      <c r="AQ112" s="537">
        <f>Application!O718</f>
        <v>697</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SRO/Studio</v>
      </c>
      <c r="AQ113" s="537">
        <f>Application!O719</f>
        <v>1911</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737</v>
      </c>
    </row>
    <row r="115" spans="1:52" s="537" customFormat="1" ht="12.75" customHeight="1">
      <c r="A115" s="541"/>
      <c r="B115" s="2615" t="s">
        <v>546</v>
      </c>
      <c r="C115" s="2615"/>
      <c r="D115" s="548" t="s">
        <v>1315</v>
      </c>
      <c r="E115" s="2607" t="s">
        <v>1858</v>
      </c>
      <c r="F115" s="2608"/>
      <c r="G115" s="2608"/>
      <c r="H115" s="2608"/>
      <c r="I115" s="2608"/>
      <c r="J115" s="2608"/>
      <c r="K115" s="2608"/>
      <c r="L115" s="2608"/>
      <c r="M115" s="2608"/>
      <c r="N115" s="2608"/>
      <c r="O115" s="2608"/>
      <c r="P115" s="2608"/>
      <c r="Q115" s="2608"/>
      <c r="R115" s="2608"/>
      <c r="S115" s="2608"/>
      <c r="T115" s="2608"/>
      <c r="U115" s="2608"/>
      <c r="V115" s="2608"/>
      <c r="W115" s="2608"/>
      <c r="X115" s="2608"/>
      <c r="Y115" s="2608"/>
      <c r="Z115" s="2608"/>
      <c r="AA115" s="2608"/>
      <c r="AB115" s="2608"/>
      <c r="AC115" s="2608"/>
      <c r="AD115" s="2608"/>
      <c r="AE115" s="2608"/>
      <c r="AF115" s="2608"/>
      <c r="AG115" s="2608"/>
      <c r="AH115" s="2608"/>
      <c r="AI115" s="2608"/>
      <c r="AJ115" s="2609"/>
      <c r="AK115" s="541"/>
      <c r="AL115" s="541"/>
      <c r="AM115" s="541"/>
      <c r="AN115" s="536"/>
      <c r="AO115" s="537" t="str">
        <f>Application!B721</f>
        <v>1 Bedroom</v>
      </c>
      <c r="AQ115" s="537">
        <f>Application!O721</f>
        <v>2037</v>
      </c>
      <c r="AU115" s="537" t="s">
        <v>1840</v>
      </c>
      <c r="AV115" s="596" t="s">
        <v>1841</v>
      </c>
      <c r="AW115" s="537" t="s">
        <v>1842</v>
      </c>
    </row>
    <row r="116" spans="1:52" s="537" customFormat="1" ht="12.75" customHeight="1">
      <c r="A116" s="541"/>
      <c r="B116" s="540"/>
      <c r="C116" s="540"/>
      <c r="D116" s="540"/>
      <c r="E116" s="2610"/>
      <c r="F116" s="2611"/>
      <c r="G116" s="2611"/>
      <c r="H116" s="2611"/>
      <c r="I116" s="2611"/>
      <c r="J116" s="2611"/>
      <c r="K116" s="2611"/>
      <c r="L116" s="2611"/>
      <c r="M116" s="2611"/>
      <c r="N116" s="2611"/>
      <c r="O116" s="2611"/>
      <c r="P116" s="2611"/>
      <c r="Q116" s="2611"/>
      <c r="R116" s="2611"/>
      <c r="S116" s="2611"/>
      <c r="T116" s="2611"/>
      <c r="U116" s="2611"/>
      <c r="V116" s="2611"/>
      <c r="W116" s="2611"/>
      <c r="X116" s="2611"/>
      <c r="Y116" s="2611"/>
      <c r="Z116" s="2611"/>
      <c r="AA116" s="2611"/>
      <c r="AB116" s="2611"/>
      <c r="AC116" s="2611"/>
      <c r="AD116" s="2611"/>
      <c r="AE116" s="2611"/>
      <c r="AF116" s="2611"/>
      <c r="AG116" s="2611"/>
      <c r="AH116" s="2611"/>
      <c r="AI116" s="2611"/>
      <c r="AJ116" s="2612"/>
      <c r="AK116" s="541"/>
      <c r="AL116" s="541"/>
      <c r="AM116" s="541"/>
      <c r="AN116" s="536"/>
      <c r="AO116" s="537" t="str">
        <f>Application!B722</f>
        <v>2 Bedrooms</v>
      </c>
      <c r="AQ116" s="537">
        <f>Application!O722</f>
        <v>880</v>
      </c>
      <c r="AU116" s="857" t="str">
        <f>E124</f>
        <v>Studio/SRO</v>
      </c>
      <c r="AV116" s="537">
        <f t="array" ref="AV116">SUM(IF(Application!B718:F752="SRO/Studio",Application!G718:J752))</f>
        <v>21</v>
      </c>
      <c r="AW116" s="1012">
        <f>AV116/AV122</f>
        <v>8.7866108786610872E-2</v>
      </c>
    </row>
    <row r="117" spans="1:52" s="537" customFormat="1" ht="12.75" customHeight="1">
      <c r="A117" s="541"/>
      <c r="B117" s="540"/>
      <c r="C117" s="540"/>
      <c r="D117" s="540"/>
      <c r="E117" s="2610"/>
      <c r="F117" s="2611"/>
      <c r="G117" s="2611"/>
      <c r="H117" s="2611"/>
      <c r="I117" s="2611"/>
      <c r="J117" s="2611"/>
      <c r="K117" s="2611"/>
      <c r="L117" s="2611"/>
      <c r="M117" s="2611"/>
      <c r="N117" s="2611"/>
      <c r="O117" s="2611"/>
      <c r="P117" s="2611"/>
      <c r="Q117" s="2611"/>
      <c r="R117" s="2611"/>
      <c r="S117" s="2611"/>
      <c r="T117" s="2611"/>
      <c r="U117" s="2611"/>
      <c r="V117" s="2611"/>
      <c r="W117" s="2611"/>
      <c r="X117" s="2611"/>
      <c r="Y117" s="2611"/>
      <c r="Z117" s="2611"/>
      <c r="AA117" s="2611"/>
      <c r="AB117" s="2611"/>
      <c r="AC117" s="2611"/>
      <c r="AD117" s="2611"/>
      <c r="AE117" s="2611"/>
      <c r="AF117" s="2611"/>
      <c r="AG117" s="2611"/>
      <c r="AH117" s="2611"/>
      <c r="AI117" s="2611"/>
      <c r="AJ117" s="2612"/>
      <c r="AK117" s="541"/>
      <c r="AL117" s="541"/>
      <c r="AM117" s="541"/>
      <c r="AN117" s="536"/>
      <c r="AO117" s="537" t="str">
        <f>Application!B723</f>
        <v>2 Bedrooms</v>
      </c>
      <c r="AQ117" s="537">
        <f>Application!O723</f>
        <v>1504</v>
      </c>
      <c r="AU117" s="857" t="str">
        <f>J124</f>
        <v>1-bedroom</v>
      </c>
      <c r="AV117" s="537">
        <f t="array" ref="AV117">SUM(IF(Application!B718:F752="1 Bedroom",Application!G718:J752))</f>
        <v>133</v>
      </c>
      <c r="AW117" s="1012">
        <f>AV117/AV122</f>
        <v>0.55648535564853552</v>
      </c>
    </row>
    <row r="118" spans="1:52" s="537" customFormat="1" ht="12.75" customHeight="1">
      <c r="A118" s="541"/>
      <c r="B118" s="540"/>
      <c r="C118" s="540"/>
      <c r="D118" s="540"/>
      <c r="E118" s="2610"/>
      <c r="F118" s="2611"/>
      <c r="G118" s="2611"/>
      <c r="H118" s="2611"/>
      <c r="I118" s="2611"/>
      <c r="J118" s="2611"/>
      <c r="K118" s="2611"/>
      <c r="L118" s="2611"/>
      <c r="M118" s="2611"/>
      <c r="N118" s="2611"/>
      <c r="O118" s="2611"/>
      <c r="P118" s="2611"/>
      <c r="Q118" s="2611"/>
      <c r="R118" s="2611"/>
      <c r="S118" s="2611"/>
      <c r="T118" s="2611"/>
      <c r="U118" s="2611"/>
      <c r="V118" s="2611"/>
      <c r="W118" s="2611"/>
      <c r="X118" s="2611"/>
      <c r="Y118" s="2611"/>
      <c r="Z118" s="2611"/>
      <c r="AA118" s="2611"/>
      <c r="AB118" s="2611"/>
      <c r="AC118" s="2611"/>
      <c r="AD118" s="2611"/>
      <c r="AE118" s="2611"/>
      <c r="AF118" s="2611"/>
      <c r="AG118" s="2611"/>
      <c r="AH118" s="2611"/>
      <c r="AI118" s="2611"/>
      <c r="AJ118" s="2612"/>
      <c r="AK118" s="541"/>
      <c r="AL118" s="541"/>
      <c r="AM118" s="541"/>
      <c r="AN118" s="536"/>
      <c r="AO118" s="537" t="str">
        <f>Application!B724</f>
        <v>2 Bedrooms</v>
      </c>
      <c r="AQ118" s="537">
        <f>Application!O724</f>
        <v>2440</v>
      </c>
      <c r="AU118" s="857" t="str">
        <f>O124</f>
        <v>2-bedroom</v>
      </c>
      <c r="AV118" s="537">
        <f t="array" ref="AV118">SUM(IF(Application!B718:F752="2 Bedrooms",Application!G718:J752))</f>
        <v>37</v>
      </c>
      <c r="AW118" s="1012">
        <f>AV118/AV122</f>
        <v>0.15481171548117154</v>
      </c>
    </row>
    <row r="119" spans="1:52" s="537" customFormat="1" ht="12.75" customHeight="1">
      <c r="A119" s="541"/>
      <c r="B119" s="540"/>
      <c r="C119" s="540"/>
      <c r="D119" s="540"/>
      <c r="E119" s="2610"/>
      <c r="F119" s="2611"/>
      <c r="G119" s="2611"/>
      <c r="H119" s="2611"/>
      <c r="I119" s="2611"/>
      <c r="J119" s="2611"/>
      <c r="K119" s="2611"/>
      <c r="L119" s="2611"/>
      <c r="M119" s="2611"/>
      <c r="N119" s="2611"/>
      <c r="O119" s="2611"/>
      <c r="P119" s="2611"/>
      <c r="Q119" s="2611"/>
      <c r="R119" s="2611"/>
      <c r="S119" s="2611"/>
      <c r="T119" s="2611"/>
      <c r="U119" s="2611"/>
      <c r="V119" s="2611"/>
      <c r="W119" s="2611"/>
      <c r="X119" s="2611"/>
      <c r="Y119" s="2611"/>
      <c r="Z119" s="2611"/>
      <c r="AA119" s="2611"/>
      <c r="AB119" s="2611"/>
      <c r="AC119" s="2611"/>
      <c r="AD119" s="2611"/>
      <c r="AE119" s="2611"/>
      <c r="AF119" s="2611"/>
      <c r="AG119" s="2611"/>
      <c r="AH119" s="2611"/>
      <c r="AI119" s="2611"/>
      <c r="AJ119" s="2612"/>
      <c r="AK119" s="541"/>
      <c r="AL119" s="541"/>
      <c r="AM119" s="541"/>
      <c r="AN119" s="536"/>
      <c r="AO119" s="537" t="str">
        <f>Application!B725</f>
        <v>3 Bedrooms</v>
      </c>
      <c r="AQ119" s="537">
        <f>Application!O725</f>
        <v>1013</v>
      </c>
      <c r="AU119" s="857" t="str">
        <f>T124</f>
        <v>3-bedroom</v>
      </c>
      <c r="AV119" s="537">
        <f t="array" ref="AV119">SUM(IF(Application!B718:F752="3 Bedrooms",Application!G718:J752))</f>
        <v>48</v>
      </c>
      <c r="AW119" s="1012">
        <f>AV119/AV122</f>
        <v>0.20083682008368201</v>
      </c>
    </row>
    <row r="120" spans="1:52" s="537" customFormat="1" ht="12.75" customHeight="1">
      <c r="A120" s="541"/>
      <c r="B120" s="540"/>
      <c r="C120" s="540"/>
      <c r="D120" s="540"/>
      <c r="E120" s="2610"/>
      <c r="F120" s="2611"/>
      <c r="G120" s="2611"/>
      <c r="H120" s="2611"/>
      <c r="I120" s="2611"/>
      <c r="J120" s="2611"/>
      <c r="K120" s="2611"/>
      <c r="L120" s="2611"/>
      <c r="M120" s="2611"/>
      <c r="N120" s="2611"/>
      <c r="O120" s="2611"/>
      <c r="P120" s="2611"/>
      <c r="Q120" s="2611"/>
      <c r="R120" s="2611"/>
      <c r="S120" s="2611"/>
      <c r="T120" s="2611"/>
      <c r="U120" s="2611"/>
      <c r="V120" s="2611"/>
      <c r="W120" s="2611"/>
      <c r="X120" s="2611"/>
      <c r="Y120" s="2611"/>
      <c r="Z120" s="2611"/>
      <c r="AA120" s="2611"/>
      <c r="AB120" s="2611"/>
      <c r="AC120" s="2611"/>
      <c r="AD120" s="2611"/>
      <c r="AE120" s="2611"/>
      <c r="AF120" s="2611"/>
      <c r="AG120" s="2611"/>
      <c r="AH120" s="2611"/>
      <c r="AI120" s="2611"/>
      <c r="AJ120" s="2612"/>
      <c r="AK120" s="541"/>
      <c r="AL120" s="541"/>
      <c r="AM120" s="541"/>
      <c r="AN120" s="536"/>
      <c r="AO120" s="537" t="str">
        <f>Application!B726</f>
        <v>3 Bedrooms</v>
      </c>
      <c r="AQ120" s="537">
        <f>Application!O726</f>
        <v>2817</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610"/>
      <c r="F121" s="2611"/>
      <c r="G121" s="2611"/>
      <c r="H121" s="2611"/>
      <c r="I121" s="2611"/>
      <c r="J121" s="2611"/>
      <c r="K121" s="2611"/>
      <c r="L121" s="2611"/>
      <c r="M121" s="2611"/>
      <c r="N121" s="2611"/>
      <c r="O121" s="2611"/>
      <c r="P121" s="2611"/>
      <c r="Q121" s="2611"/>
      <c r="R121" s="2611"/>
      <c r="S121" s="2611"/>
      <c r="T121" s="2611"/>
      <c r="U121" s="2611"/>
      <c r="V121" s="2611"/>
      <c r="W121" s="2611"/>
      <c r="X121" s="2611"/>
      <c r="Y121" s="2611"/>
      <c r="Z121" s="2611"/>
      <c r="AA121" s="2611"/>
      <c r="AB121" s="2611"/>
      <c r="AC121" s="2611"/>
      <c r="AD121" s="2611"/>
      <c r="AE121" s="2611"/>
      <c r="AF121" s="2611"/>
      <c r="AG121" s="2611"/>
      <c r="AH121" s="2611"/>
      <c r="AI121" s="2611"/>
      <c r="AJ121" s="2612"/>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610"/>
      <c r="F122" s="2611"/>
      <c r="G122" s="2611"/>
      <c r="H122" s="2611"/>
      <c r="I122" s="2611"/>
      <c r="J122" s="2611"/>
      <c r="K122" s="2611"/>
      <c r="L122" s="2611"/>
      <c r="M122" s="2611"/>
      <c r="N122" s="2611"/>
      <c r="O122" s="2611"/>
      <c r="P122" s="2611"/>
      <c r="Q122" s="2611"/>
      <c r="R122" s="2611"/>
      <c r="S122" s="2611"/>
      <c r="T122" s="2611"/>
      <c r="U122" s="2611"/>
      <c r="V122" s="2611"/>
      <c r="W122" s="2611"/>
      <c r="X122" s="2611"/>
      <c r="Y122" s="2611"/>
      <c r="Z122" s="2611"/>
      <c r="AA122" s="2611"/>
      <c r="AB122" s="2611"/>
      <c r="AC122" s="2611"/>
      <c r="AD122" s="2611"/>
      <c r="AE122" s="2611"/>
      <c r="AF122" s="2611"/>
      <c r="AG122" s="2611"/>
      <c r="AH122" s="2611"/>
      <c r="AI122" s="2611"/>
      <c r="AJ122" s="2612"/>
      <c r="AK122" s="541"/>
      <c r="AL122" s="541"/>
      <c r="AM122" s="541"/>
      <c r="AN122" s="536"/>
      <c r="AO122" s="537">
        <f>Application!B728</f>
        <v>0</v>
      </c>
      <c r="AQ122" s="537">
        <f>Application!O728</f>
        <v>0</v>
      </c>
      <c r="AV122" s="537">
        <f>SUM(AV116:AV121)</f>
        <v>239</v>
      </c>
      <c r="AW122" s="1012">
        <f>SUM(AW116:AW121)</f>
        <v>0.99999999999999989</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603" t="s">
        <v>1588</v>
      </c>
      <c r="F124" s="2604"/>
      <c r="G124" s="2604"/>
      <c r="H124" s="2604"/>
      <c r="I124" s="578"/>
      <c r="J124" s="2604" t="s">
        <v>1631</v>
      </c>
      <c r="K124" s="2604"/>
      <c r="L124" s="2604"/>
      <c r="M124" s="2604"/>
      <c r="N124" s="578"/>
      <c r="O124" s="2604" t="s">
        <v>1632</v>
      </c>
      <c r="P124" s="2604"/>
      <c r="Q124" s="2604"/>
      <c r="R124" s="2604"/>
      <c r="S124" s="578"/>
      <c r="T124" s="2604" t="s">
        <v>1334</v>
      </c>
      <c r="U124" s="2604"/>
      <c r="V124" s="2604"/>
      <c r="W124" s="2604"/>
      <c r="X124" s="578"/>
      <c r="Y124" s="2604" t="s">
        <v>1633</v>
      </c>
      <c r="Z124" s="2604"/>
      <c r="AA124" s="2604"/>
      <c r="AB124" s="2604"/>
      <c r="AC124" s="578"/>
      <c r="AD124" s="2604" t="s">
        <v>1634</v>
      </c>
      <c r="AE124" s="2604"/>
      <c r="AF124" s="2604"/>
      <c r="AG124" s="2604"/>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605">
        <v>2405</v>
      </c>
      <c r="F127" s="2606"/>
      <c r="G127" s="2606"/>
      <c r="H127" s="2606"/>
      <c r="I127" s="865"/>
      <c r="J127" s="2606">
        <v>2739</v>
      </c>
      <c r="K127" s="2606"/>
      <c r="L127" s="2606"/>
      <c r="M127" s="2606"/>
      <c r="N127" s="865"/>
      <c r="O127" s="2606">
        <v>4112</v>
      </c>
      <c r="P127" s="2606"/>
      <c r="Q127" s="2606"/>
      <c r="R127" s="2606"/>
      <c r="S127" s="865"/>
      <c r="T127" s="2606">
        <v>7594</v>
      </c>
      <c r="U127" s="2606"/>
      <c r="V127" s="2606"/>
      <c r="W127" s="2606"/>
      <c r="X127" s="865"/>
      <c r="Y127" s="2606"/>
      <c r="Z127" s="2606"/>
      <c r="AA127" s="2606"/>
      <c r="AB127" s="2606"/>
      <c r="AC127" s="865"/>
      <c r="AD127" s="2606"/>
      <c r="AE127" s="2606"/>
      <c r="AF127" s="2606"/>
      <c r="AG127" s="2606"/>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613">
        <f>Application!DX670</f>
        <v>1390.7142857142858</v>
      </c>
      <c r="F130" s="2614"/>
      <c r="G130" s="2614"/>
      <c r="H130" s="2614"/>
      <c r="I130" s="865"/>
      <c r="J130" s="2614">
        <f>Application!EC670</f>
        <v>1450.5338345864664</v>
      </c>
      <c r="K130" s="2614"/>
      <c r="L130" s="2614"/>
      <c r="M130" s="2614"/>
      <c r="N130" s="865"/>
      <c r="O130" s="2614">
        <f>Application!EH670</f>
        <v>1866.5945945945946</v>
      </c>
      <c r="P130" s="2614"/>
      <c r="Q130" s="2614"/>
      <c r="R130" s="2614"/>
      <c r="S130" s="869"/>
      <c r="T130" s="2614">
        <f>Application!EM670</f>
        <v>2328.4166666666665</v>
      </c>
      <c r="U130" s="2614"/>
      <c r="V130" s="2614"/>
      <c r="W130" s="2614"/>
      <c r="X130" s="869"/>
      <c r="Y130" s="2614">
        <f>Application!ER670</f>
        <v>0</v>
      </c>
      <c r="Z130" s="2614"/>
      <c r="AA130" s="2614"/>
      <c r="AB130" s="2614"/>
      <c r="AC130" s="869"/>
      <c r="AD130" s="2614">
        <f>Application!EW670</f>
        <v>0</v>
      </c>
      <c r="AE130" s="2614"/>
      <c r="AF130" s="2614"/>
      <c r="AG130" s="2614"/>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408">
        <f>(E127-E130)/E127</f>
        <v>0.4217404217404217</v>
      </c>
      <c r="F133" s="2409"/>
      <c r="G133" s="2409"/>
      <c r="H133" s="2410"/>
      <c r="I133" s="578"/>
      <c r="J133" s="2408">
        <f>(J127-J130)/J127</f>
        <v>0.47041481030066945</v>
      </c>
      <c r="K133" s="2409"/>
      <c r="L133" s="2409"/>
      <c r="M133" s="2410"/>
      <c r="N133" s="578"/>
      <c r="O133" s="2408">
        <f>(O127-O130)/O127</f>
        <v>0.54606162582816276</v>
      </c>
      <c r="P133" s="2409"/>
      <c r="Q133" s="2409"/>
      <c r="R133" s="2410"/>
      <c r="S133" s="578"/>
      <c r="T133" s="2408">
        <f>(T127-T130)/T127</f>
        <v>0.6933873233254324</v>
      </c>
      <c r="U133" s="2409"/>
      <c r="V133" s="2409"/>
      <c r="W133" s="2410"/>
      <c r="X133" s="578"/>
      <c r="Y133" s="2408" t="e">
        <f>(Y127-Y130)/Y127</f>
        <v>#DIV/0!</v>
      </c>
      <c r="Z133" s="2409"/>
      <c r="AA133" s="2409"/>
      <c r="AB133" s="2410"/>
      <c r="AC133" s="578"/>
      <c r="AD133" s="2408" t="e">
        <f>(AD127-AD130)/AD127</f>
        <v>#DIV/0!</v>
      </c>
      <c r="AE133" s="2409"/>
      <c r="AF133" s="2409"/>
      <c r="AG133" s="2410"/>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616">
        <f>IF(((E133-0.1)*AW116)&gt;0,((E133-0.1)*AW116),0)</f>
        <v>2.8270078897693958E-2</v>
      </c>
      <c r="F136" s="2617"/>
      <c r="G136" s="2617"/>
      <c r="H136" s="2618"/>
      <c r="I136" s="578"/>
      <c r="J136" s="2616">
        <f>IF(((J133-0.1)*AW117)&gt;0,((J133-0.1)*AW117),0)</f>
        <v>0.20613041744765287</v>
      </c>
      <c r="K136" s="2617"/>
      <c r="L136" s="2617"/>
      <c r="M136" s="2618"/>
      <c r="N136" s="578"/>
      <c r="O136" s="2616">
        <f>IF(((O133-0.1)*AW118)&gt;0,((O133-0.1)*AW118),0)</f>
        <v>6.905556550477833E-2</v>
      </c>
      <c r="P136" s="2617"/>
      <c r="Q136" s="2617"/>
      <c r="R136" s="2618"/>
      <c r="S136" s="578"/>
      <c r="T136" s="2616">
        <f>IF(((T133-0.1)*AW119)&gt;0,((T133-0.1)*AW119),0)</f>
        <v>0.11917402309464752</v>
      </c>
      <c r="U136" s="2617"/>
      <c r="V136" s="2617"/>
      <c r="W136" s="2618"/>
      <c r="X136" s="578"/>
      <c r="Y136" s="2616" t="e">
        <f>IF(((Y133-0.1)*AW120)&gt;0,((Y133-0.1)*AW120),0)</f>
        <v>#DIV/0!</v>
      </c>
      <c r="Z136" s="2617"/>
      <c r="AA136" s="2617"/>
      <c r="AB136" s="2618"/>
      <c r="AC136" s="578"/>
      <c r="AD136" s="2616" t="e">
        <f>IF(((AD133-0.1)*AW121)&gt;0,((AD133-0.1)*AW121),0)</f>
        <v>#DIV/0!</v>
      </c>
      <c r="AE136" s="2617"/>
      <c r="AF136" s="2617"/>
      <c r="AG136" s="2618"/>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408">
        <f>ROUNDDOWN(SUMIF(E136:AG136,"&gt;0"),2)</f>
        <v>0.42</v>
      </c>
      <c r="F138" s="2409"/>
      <c r="G138" s="2409"/>
      <c r="H138" s="2410"/>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88">
        <f>IF((E138*100)&gt;10,10,E138*100)</f>
        <v>10</v>
      </c>
      <c r="F139" s="2589"/>
      <c r="G139" s="2589"/>
      <c r="H139" s="2590"/>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588">
        <f>E139</f>
        <v>10</v>
      </c>
      <c r="AL143" s="2589"/>
      <c r="AM143" s="2590"/>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462" t="s">
        <v>1314</v>
      </c>
      <c r="AF146" s="2462"/>
      <c r="AG146" s="2462"/>
      <c r="AH146" s="2462"/>
      <c r="AI146" s="2462"/>
      <c r="AJ146" s="2462"/>
      <c r="AK146" s="2462"/>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22" t="s">
        <v>1338</v>
      </c>
      <c r="AG148" s="2522"/>
      <c r="AH148" s="2522"/>
      <c r="AI148" s="2522"/>
      <c r="AJ148" s="2522"/>
      <c r="AK148" s="2522"/>
      <c r="AL148" s="2522"/>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92" t="s">
        <v>2618</v>
      </c>
      <c r="C150" s="2592"/>
      <c r="D150" s="2592"/>
      <c r="E150" s="2592"/>
      <c r="F150" s="2592"/>
      <c r="G150" s="2592"/>
      <c r="H150" s="2592"/>
      <c r="I150" s="2592"/>
      <c r="J150" s="2592"/>
      <c r="K150" s="2592"/>
      <c r="L150" s="2592"/>
      <c r="M150" s="2592"/>
      <c r="N150" s="2592"/>
      <c r="O150" s="2592"/>
      <c r="P150" s="2592"/>
      <c r="Q150" s="2592"/>
      <c r="R150" s="2592"/>
      <c r="S150" s="2592"/>
      <c r="T150" s="2592"/>
      <c r="U150" s="2592"/>
      <c r="V150" s="2592"/>
      <c r="W150" s="2592"/>
      <c r="X150" s="2592"/>
      <c r="Y150" s="2592"/>
      <c r="Z150" s="2592"/>
      <c r="AA150" s="2592"/>
      <c r="AB150" s="2592"/>
      <c r="AC150" s="2592"/>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593" t="s">
        <v>1341</v>
      </c>
      <c r="C153" s="2593"/>
      <c r="D153" s="2593"/>
      <c r="E153" s="2593"/>
      <c r="F153" s="2593"/>
      <c r="G153" s="2593"/>
      <c r="H153" s="2593"/>
      <c r="I153" s="2593"/>
      <c r="J153" s="2593"/>
      <c r="K153" s="2593"/>
      <c r="L153" s="2593"/>
      <c r="M153" s="2593"/>
      <c r="N153" s="2593"/>
      <c r="O153" s="2593"/>
      <c r="P153" s="2593"/>
      <c r="Q153" s="2593"/>
      <c r="R153" s="2593"/>
      <c r="S153" s="2593"/>
      <c r="T153" s="2593"/>
      <c r="U153" s="2593"/>
      <c r="V153" s="2593"/>
      <c r="W153" s="2593"/>
      <c r="X153" s="2593"/>
      <c r="Y153" s="2593"/>
      <c r="Z153" s="2593"/>
      <c r="AA153" s="2593"/>
      <c r="AB153" s="2593"/>
      <c r="AC153" s="2593"/>
      <c r="AD153" s="2593"/>
      <c r="AE153" s="2593"/>
      <c r="AF153" s="2593"/>
      <c r="AG153" s="2593"/>
      <c r="AH153" s="2593"/>
      <c r="AI153" s="2593"/>
      <c r="AM153" s="540"/>
      <c r="AN153" s="536"/>
      <c r="AO153" s="477" t="s">
        <v>1341</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394" t="s">
        <v>592</v>
      </c>
      <c r="AC155" s="2394"/>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593" t="s">
        <v>1343</v>
      </c>
      <c r="C158" s="2593"/>
      <c r="D158" s="2593"/>
      <c r="E158" s="2593"/>
      <c r="F158" s="2593"/>
      <c r="G158" s="2593"/>
      <c r="H158" s="2593"/>
      <c r="I158" s="2593"/>
      <c r="J158" s="2593"/>
      <c r="K158" s="2593"/>
      <c r="L158" s="2593"/>
      <c r="M158" s="2593"/>
      <c r="N158" s="2593"/>
      <c r="O158" s="2593"/>
      <c r="P158" s="2593"/>
      <c r="Q158" s="2593"/>
      <c r="R158" s="2593"/>
      <c r="S158" s="2593"/>
      <c r="T158" s="2593"/>
      <c r="U158" s="2593"/>
      <c r="V158" s="2593"/>
      <c r="W158" s="2593"/>
      <c r="X158" s="2593"/>
      <c r="Y158" s="2593"/>
      <c r="Z158" s="2593"/>
      <c r="AA158" s="2593"/>
      <c r="AB158" s="2593"/>
      <c r="AC158" s="2593"/>
      <c r="AD158" s="2593"/>
      <c r="AE158" s="2593"/>
      <c r="AF158" s="2593"/>
      <c r="AG158" s="2593"/>
      <c r="AH158" s="2593"/>
      <c r="AI158" s="2593"/>
      <c r="AJ158" s="2593"/>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91" t="s">
        <v>2479</v>
      </c>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82"/>
      <c r="AM161" s="540"/>
      <c r="AN161" s="536"/>
      <c r="AO161" s="477"/>
      <c r="AP161" s="490"/>
    </row>
    <row r="162" spans="1:42" s="537" customFormat="1" ht="12.75" customHeight="1">
      <c r="B162" s="2391"/>
      <c r="C162" s="2391"/>
      <c r="D162" s="2391"/>
      <c r="E162" s="2391"/>
      <c r="F162" s="2391"/>
      <c r="G162" s="2391"/>
      <c r="H162" s="2391"/>
      <c r="I162" s="2391"/>
      <c r="J162" s="2391"/>
      <c r="K162" s="2391"/>
      <c r="L162" s="2391"/>
      <c r="M162" s="2391"/>
      <c r="N162" s="2391"/>
      <c r="O162" s="2391"/>
      <c r="P162" s="2391"/>
      <c r="Q162" s="2391"/>
      <c r="R162" s="2391"/>
      <c r="S162" s="2391"/>
      <c r="T162" s="2391"/>
      <c r="U162" s="2391"/>
      <c r="V162" s="2391"/>
      <c r="W162" s="2391"/>
      <c r="X162" s="2391"/>
      <c r="Y162" s="2391"/>
      <c r="Z162" s="2391"/>
      <c r="AA162" s="2391"/>
      <c r="AB162" s="2391"/>
      <c r="AC162" s="2391"/>
      <c r="AD162" s="2391"/>
      <c r="AE162" s="2391"/>
      <c r="AF162" s="2391"/>
      <c r="AG162" s="2391"/>
      <c r="AH162" s="2391"/>
      <c r="AI162" s="2391"/>
      <c r="AJ162" s="2391"/>
      <c r="AK162" s="1182"/>
      <c r="AM162" s="540"/>
      <c r="AN162" s="536"/>
      <c r="AO162" s="477"/>
      <c r="AP162" s="490"/>
    </row>
    <row r="163" spans="1:42" s="537" customFormat="1" ht="12.75" customHeight="1">
      <c r="C163" s="2392" t="s">
        <v>2480</v>
      </c>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c r="Z163" s="2392"/>
      <c r="AA163" s="2392"/>
      <c r="AB163" s="2392"/>
      <c r="AC163" s="2392"/>
      <c r="AD163" s="2392"/>
      <c r="AE163" s="2392"/>
      <c r="AF163" s="2392"/>
      <c r="AG163" s="2392"/>
      <c r="AH163" s="2392"/>
      <c r="AI163" s="2392"/>
      <c r="AJ163" s="2392"/>
      <c r="AK163" s="1182"/>
      <c r="AM163" s="540"/>
      <c r="AN163" s="536"/>
      <c r="AO163" s="477"/>
      <c r="AP163" s="490"/>
    </row>
    <row r="164" spans="1:42" s="537" customFormat="1" ht="12.75" customHeight="1">
      <c r="B164" s="1182"/>
      <c r="C164" s="2393" t="s">
        <v>2478</v>
      </c>
      <c r="D164" s="2393"/>
      <c r="E164" s="2393"/>
      <c r="F164" s="2393"/>
      <c r="G164" s="2393"/>
      <c r="H164" s="2393"/>
      <c r="I164" s="2393"/>
      <c r="J164" s="2393"/>
      <c r="K164" s="2393"/>
      <c r="L164" s="2393"/>
      <c r="M164" s="2393"/>
      <c r="N164" s="2393"/>
      <c r="O164" s="2393"/>
      <c r="P164" s="2393"/>
      <c r="Q164" s="2393"/>
      <c r="R164" s="2393"/>
      <c r="S164" s="2393"/>
      <c r="T164" s="2393"/>
      <c r="U164" s="2393"/>
      <c r="V164" s="2393"/>
      <c r="W164" s="2393"/>
      <c r="X164" s="2393"/>
      <c r="Y164" s="2393"/>
      <c r="Z164" s="2393"/>
      <c r="AA164" s="1172"/>
      <c r="AB164" s="1172"/>
      <c r="AC164" s="1172"/>
      <c r="AD164" s="1172"/>
      <c r="AE164" s="1172"/>
      <c r="AF164" s="1172"/>
      <c r="AG164" s="1172"/>
      <c r="AH164" s="1172"/>
      <c r="AJ164" s="2394" t="s">
        <v>592</v>
      </c>
      <c r="AK164" s="2394"/>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82">
        <f>IF($AB$155="N/A",VLOOKUP($B$153,$AO$151:$AP$154,2,FALSE),VLOOKUP($B$158,$AO$156:$AP$158,2,FALSE))</f>
        <v>7</v>
      </c>
      <c r="AK166" s="2482"/>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22" t="s">
        <v>1352</v>
      </c>
      <c r="AG168" s="2522"/>
      <c r="AH168" s="2522"/>
      <c r="AI168" s="2522"/>
      <c r="AJ168" s="2522"/>
      <c r="AK168" s="2522"/>
      <c r="AL168" s="2522"/>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93" t="s">
        <v>1350</v>
      </c>
      <c r="D170" s="2593"/>
      <c r="E170" s="2593"/>
      <c r="F170" s="2593"/>
      <c r="G170" s="2593"/>
      <c r="H170" s="2593"/>
      <c r="I170" s="2593"/>
      <c r="J170" s="2593"/>
      <c r="K170" s="2593"/>
      <c r="L170" s="2593"/>
      <c r="M170" s="2593"/>
      <c r="N170" s="2593"/>
      <c r="O170" s="2593"/>
      <c r="P170" s="2593"/>
      <c r="Q170" s="2593"/>
      <c r="R170" s="2593"/>
      <c r="S170" s="2593"/>
      <c r="T170" s="2593"/>
      <c r="U170" s="2593"/>
      <c r="V170" s="2593"/>
      <c r="W170" s="2593"/>
      <c r="X170" s="2593"/>
      <c r="Y170" s="2593"/>
      <c r="Z170" s="2593"/>
      <c r="AA170" s="2593"/>
      <c r="AB170" s="2593"/>
      <c r="AC170" s="2593"/>
      <c r="AD170" s="2593"/>
      <c r="AE170" s="2593"/>
      <c r="AF170" s="2593"/>
      <c r="AG170" s="2593"/>
      <c r="AH170" s="2593"/>
      <c r="AI170" s="2593"/>
      <c r="AJ170" s="537"/>
      <c r="AK170" s="537"/>
      <c r="AL170" s="537"/>
      <c r="AM170" s="604"/>
      <c r="AN170" s="598"/>
      <c r="AO170" s="477" t="s">
        <v>307</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94" t="s">
        <v>592</v>
      </c>
      <c r="AG172" s="2394"/>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593" t="s">
        <v>1343</v>
      </c>
      <c r="D174" s="2593"/>
      <c r="E174" s="2593"/>
      <c r="F174" s="2593"/>
      <c r="G174" s="2593"/>
      <c r="H174" s="2593"/>
      <c r="I174" s="2593"/>
      <c r="J174" s="2593"/>
      <c r="K174" s="2593"/>
      <c r="L174" s="2593"/>
      <c r="M174" s="2593"/>
      <c r="N174" s="2593"/>
      <c r="O174" s="2593"/>
      <c r="P174" s="2593"/>
      <c r="Q174" s="2593"/>
      <c r="R174" s="2593"/>
      <c r="S174" s="2593"/>
      <c r="T174" s="2593"/>
      <c r="U174" s="2593"/>
      <c r="V174" s="2593"/>
      <c r="W174" s="2593"/>
      <c r="X174" s="2593"/>
      <c r="Y174" s="2593"/>
      <c r="Z174" s="2593"/>
      <c r="AA174" s="2593"/>
      <c r="AB174" s="2593"/>
      <c r="AC174" s="2593"/>
      <c r="AD174" s="2593"/>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594" t="str">
        <f>Application!AA335</f>
        <v>Jonathan Stewart Co.</v>
      </c>
      <c r="D178" s="2594"/>
      <c r="E178" s="2594"/>
      <c r="F178" s="2594"/>
      <c r="G178" s="2594"/>
      <c r="H178" s="2594"/>
      <c r="I178" s="2594"/>
      <c r="J178" s="2594"/>
      <c r="K178" s="2594"/>
      <c r="L178" s="2594"/>
      <c r="M178" s="2594"/>
      <c r="N178" s="2594"/>
      <c r="O178" s="2594"/>
      <c r="P178" s="2594"/>
      <c r="Q178" s="2594"/>
      <c r="R178" s="2594"/>
      <c r="S178" s="2594"/>
      <c r="T178" s="2594"/>
      <c r="U178" s="2594"/>
      <c r="V178" s="2594"/>
      <c r="W178" s="2594"/>
      <c r="X178" s="2594"/>
      <c r="Y178" s="2594"/>
      <c r="Z178" s="2594"/>
      <c r="AA178" s="2594"/>
      <c r="AB178" s="2594"/>
      <c r="AC178" s="2594"/>
      <c r="AD178" s="2594"/>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81">
        <f>IF($AF$172="N/A",VLOOKUP($C$170,$AO$170:$AP$173,2,FALSE),VLOOKUP($C$174,$AO$177:$AP$179,2,FALSE))</f>
        <v>3</v>
      </c>
      <c r="AK180" s="2481"/>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588">
        <f>$AJ$166+$AJ$180</f>
        <v>10</v>
      </c>
      <c r="AL183" s="2589"/>
      <c r="AM183" s="2590"/>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62" t="s">
        <v>1314</v>
      </c>
      <c r="AF186" s="2462"/>
      <c r="AG186" s="2462"/>
      <c r="AH186" s="2462"/>
      <c r="AI186" s="2462"/>
      <c r="AJ186" s="2462"/>
      <c r="AK186" s="2462"/>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591" t="s">
        <v>1367</v>
      </c>
      <c r="C188" s="2591"/>
      <c r="D188" s="2591"/>
      <c r="E188" s="2591"/>
      <c r="F188" s="2591"/>
      <c r="G188" s="2591"/>
      <c r="H188" s="2591"/>
      <c r="I188" s="2591"/>
      <c r="J188" s="2591"/>
      <c r="K188" s="2591"/>
      <c r="L188" s="2591"/>
      <c r="M188" s="2591"/>
      <c r="N188" s="2591"/>
      <c r="O188" s="2591"/>
      <c r="P188" s="2591"/>
      <c r="Q188" s="2591"/>
      <c r="R188" s="2591"/>
      <c r="S188" s="2591"/>
      <c r="T188" s="2591"/>
      <c r="U188" s="2591"/>
      <c r="V188" s="2591"/>
      <c r="W188" s="2591"/>
      <c r="X188" s="2591"/>
      <c r="Y188" s="2591"/>
      <c r="Z188" s="2591"/>
      <c r="AA188" s="2591"/>
      <c r="AB188" s="2591"/>
      <c r="AC188" s="2591"/>
      <c r="AD188" s="537"/>
      <c r="AE188" s="537"/>
      <c r="AF188" s="2522" t="s">
        <v>1363</v>
      </c>
      <c r="AG188" s="2522"/>
      <c r="AH188" s="2522"/>
      <c r="AI188" s="2522"/>
      <c r="AJ188" s="2522"/>
      <c r="AK188" s="2522"/>
      <c r="AL188" s="2522"/>
      <c r="AN188" s="598"/>
      <c r="AP188" s="551" t="s">
        <v>1043</v>
      </c>
      <c r="AQ188" s="551">
        <v>10</v>
      </c>
    </row>
    <row r="189" spans="1:73" s="551" customFormat="1" ht="12.75" customHeight="1">
      <c r="A189" s="537"/>
      <c r="B189" s="2393" t="s">
        <v>1726</v>
      </c>
      <c r="C189" s="2393"/>
      <c r="D189" s="2393"/>
      <c r="E189" s="2393"/>
      <c r="F189" s="2393"/>
      <c r="G189" s="2393"/>
      <c r="H189" s="2393"/>
      <c r="I189" s="2393"/>
      <c r="J189" s="2393"/>
      <c r="K189" s="2393"/>
      <c r="L189" s="2393"/>
      <c r="M189" s="2393"/>
      <c r="N189" s="2393"/>
      <c r="O189" s="2393"/>
      <c r="P189" s="2393"/>
      <c r="Q189" s="2393"/>
      <c r="R189" s="2393"/>
      <c r="S189" s="2393"/>
      <c r="T189" s="2592" t="s">
        <v>592</v>
      </c>
      <c r="U189" s="2592"/>
      <c r="V189" s="2592"/>
      <c r="W189" s="2592"/>
      <c r="X189" s="2592"/>
      <c r="Y189" s="2592"/>
      <c r="Z189" s="2592"/>
      <c r="AA189" s="2592"/>
      <c r="AB189" s="2592"/>
      <c r="AC189" s="2592"/>
      <c r="AD189" s="537"/>
      <c r="AE189" s="537"/>
      <c r="AF189" s="537"/>
      <c r="AG189" s="537"/>
      <c r="AH189" s="537"/>
      <c r="AI189" s="537"/>
      <c r="AJ189" s="544"/>
      <c r="AK189" s="596"/>
      <c r="AL189" s="596"/>
      <c r="AM189" s="596"/>
      <c r="AN189" s="598"/>
      <c r="AP189" s="551" t="s">
        <v>1364</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429">
        <f>IF(AK84&gt;0,VLOOKUP($B$188,AP185:AQ191,2,FALSE),0)</f>
        <v>10</v>
      </c>
      <c r="AL191" s="2430"/>
      <c r="AM191" s="2431"/>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62" t="s">
        <v>1372</v>
      </c>
      <c r="AF194" s="2462"/>
      <c r="AG194" s="2462"/>
      <c r="AH194" s="2462"/>
      <c r="AI194" s="2462"/>
      <c r="AJ194" s="2462"/>
      <c r="AK194" s="2462"/>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85" t="s">
        <v>2652</v>
      </c>
      <c r="C199" s="2585"/>
      <c r="D199" s="2585"/>
      <c r="E199" s="2585"/>
      <c r="F199" s="2585"/>
      <c r="G199" s="2585"/>
      <c r="H199" s="2585"/>
      <c r="I199" s="2585"/>
      <c r="J199" s="2585"/>
      <c r="K199" s="2585"/>
      <c r="L199" s="2585"/>
      <c r="M199" s="2585"/>
      <c r="N199" s="2585"/>
      <c r="O199" s="2585"/>
      <c r="P199" s="2585"/>
      <c r="Q199" s="2585"/>
      <c r="R199" s="2585"/>
      <c r="S199" s="2585"/>
      <c r="T199" s="2585"/>
      <c r="U199" s="2585"/>
      <c r="V199" s="2585"/>
      <c r="W199" s="2585"/>
      <c r="X199" s="2585"/>
      <c r="Y199" s="2585"/>
      <c r="Z199" s="2585"/>
      <c r="AA199" s="2585"/>
      <c r="AB199" s="2585"/>
      <c r="AC199" s="847"/>
      <c r="AD199" s="2575">
        <f>Application!AM555</f>
        <v>8898623</v>
      </c>
      <c r="AE199" s="2575"/>
      <c r="AF199" s="2575"/>
      <c r="AG199" s="2575"/>
      <c r="AH199" s="2575"/>
      <c r="AI199" s="2575"/>
      <c r="AJ199" s="2575"/>
      <c r="AK199" s="611"/>
    </row>
    <row r="200" spans="1:40">
      <c r="A200" s="606"/>
      <c r="B200" s="2585"/>
      <c r="C200" s="2585"/>
      <c r="D200" s="2585"/>
      <c r="E200" s="2585"/>
      <c r="F200" s="2585"/>
      <c r="G200" s="2585"/>
      <c r="H200" s="2585"/>
      <c r="I200" s="2585"/>
      <c r="J200" s="2585"/>
      <c r="K200" s="2585"/>
      <c r="L200" s="2585"/>
      <c r="M200" s="2585"/>
      <c r="N200" s="2585"/>
      <c r="O200" s="2585"/>
      <c r="P200" s="2585"/>
      <c r="Q200" s="2585"/>
      <c r="R200" s="2585"/>
      <c r="S200" s="2585"/>
      <c r="T200" s="2585"/>
      <c r="U200" s="2585"/>
      <c r="V200" s="2585"/>
      <c r="W200" s="2585"/>
      <c r="X200" s="2585"/>
      <c r="Y200" s="2585"/>
      <c r="Z200" s="2585"/>
      <c r="AA200" s="2585"/>
      <c r="AB200" s="2585"/>
      <c r="AC200" s="847"/>
      <c r="AD200" s="2575"/>
      <c r="AE200" s="2575"/>
      <c r="AF200" s="2575"/>
      <c r="AG200" s="2575"/>
      <c r="AH200" s="2575"/>
      <c r="AI200" s="2575"/>
      <c r="AJ200" s="2575"/>
      <c r="AK200" s="611"/>
    </row>
    <row r="201" spans="1:40">
      <c r="A201" s="606"/>
      <c r="B201" s="2585"/>
      <c r="C201" s="2585"/>
      <c r="D201" s="2585"/>
      <c r="E201" s="2585"/>
      <c r="F201" s="2585"/>
      <c r="G201" s="2585"/>
      <c r="H201" s="2585"/>
      <c r="I201" s="2585"/>
      <c r="J201" s="2585"/>
      <c r="K201" s="2585"/>
      <c r="L201" s="2585"/>
      <c r="M201" s="2585"/>
      <c r="N201" s="2585"/>
      <c r="O201" s="2585"/>
      <c r="P201" s="2585"/>
      <c r="Q201" s="2585"/>
      <c r="R201" s="2585"/>
      <c r="S201" s="2585"/>
      <c r="T201" s="2585"/>
      <c r="U201" s="2585"/>
      <c r="V201" s="2585"/>
      <c r="W201" s="2585"/>
      <c r="X201" s="2585"/>
      <c r="Y201" s="2585"/>
      <c r="Z201" s="2585"/>
      <c r="AA201" s="2585"/>
      <c r="AB201" s="2585"/>
      <c r="AC201" s="847"/>
      <c r="AD201" s="2575"/>
      <c r="AE201" s="2575"/>
      <c r="AF201" s="2575"/>
      <c r="AG201" s="2575"/>
      <c r="AH201" s="2575"/>
      <c r="AI201" s="2575"/>
      <c r="AJ201" s="2575"/>
      <c r="AK201" s="611"/>
    </row>
    <row r="202" spans="1:40">
      <c r="A202" s="606"/>
      <c r="B202" s="2585"/>
      <c r="C202" s="2585"/>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847"/>
      <c r="AD202" s="2575"/>
      <c r="AE202" s="2575"/>
      <c r="AF202" s="2575"/>
      <c r="AG202" s="2575"/>
      <c r="AH202" s="2575"/>
      <c r="AI202" s="2575"/>
      <c r="AJ202" s="2575"/>
      <c r="AK202" s="611"/>
    </row>
    <row r="203" spans="1:40">
      <c r="A203" s="606"/>
      <c r="B203" s="2585"/>
      <c r="C203" s="2585"/>
      <c r="D203" s="2585"/>
      <c r="E203" s="2585"/>
      <c r="F203" s="2585"/>
      <c r="G203" s="2585"/>
      <c r="H203" s="2585"/>
      <c r="I203" s="2585"/>
      <c r="J203" s="2585"/>
      <c r="K203" s="2585"/>
      <c r="L203" s="2585"/>
      <c r="M203" s="2585"/>
      <c r="N203" s="2585"/>
      <c r="O203" s="2585"/>
      <c r="P203" s="2585"/>
      <c r="Q203" s="2585"/>
      <c r="R203" s="2585"/>
      <c r="S203" s="2585"/>
      <c r="T203" s="2585"/>
      <c r="U203" s="2585"/>
      <c r="V203" s="2585"/>
      <c r="W203" s="2585"/>
      <c r="X203" s="2585"/>
      <c r="Y203" s="2585"/>
      <c r="Z203" s="2585"/>
      <c r="AA203" s="2585"/>
      <c r="AB203" s="2585"/>
      <c r="AC203" s="847"/>
      <c r="AD203" s="2575"/>
      <c r="AE203" s="2575"/>
      <c r="AF203" s="2575"/>
      <c r="AG203" s="2575"/>
      <c r="AH203" s="2575"/>
      <c r="AI203" s="2575"/>
      <c r="AJ203" s="2575"/>
      <c r="AK203" s="611"/>
    </row>
    <row r="204" spans="1:40">
      <c r="A204" s="606"/>
      <c r="B204" s="2585"/>
      <c r="C204" s="2585"/>
      <c r="D204" s="2585"/>
      <c r="E204" s="2585"/>
      <c r="F204" s="2585"/>
      <c r="G204" s="2585"/>
      <c r="H204" s="2585"/>
      <c r="I204" s="2585"/>
      <c r="J204" s="2585"/>
      <c r="K204" s="2585"/>
      <c r="L204" s="2585"/>
      <c r="M204" s="2585"/>
      <c r="N204" s="2585"/>
      <c r="O204" s="2585"/>
      <c r="P204" s="2585"/>
      <c r="Q204" s="2585"/>
      <c r="R204" s="2585"/>
      <c r="S204" s="2585"/>
      <c r="T204" s="2585"/>
      <c r="U204" s="2585"/>
      <c r="V204" s="2585"/>
      <c r="W204" s="2585"/>
      <c r="X204" s="2585"/>
      <c r="Y204" s="2585"/>
      <c r="Z204" s="2585"/>
      <c r="AA204" s="2585"/>
      <c r="AB204" s="2585"/>
      <c r="AC204" s="847"/>
      <c r="AD204" s="2575"/>
      <c r="AE204" s="2575"/>
      <c r="AF204" s="2575"/>
      <c r="AG204" s="2575"/>
      <c r="AH204" s="2575"/>
      <c r="AI204" s="2575"/>
      <c r="AJ204" s="2575"/>
      <c r="AK204" s="611"/>
    </row>
    <row r="205" spans="1:40">
      <c r="A205" s="606"/>
      <c r="B205" s="2585"/>
      <c r="C205" s="2585"/>
      <c r="D205" s="2585"/>
      <c r="E205" s="2585"/>
      <c r="F205" s="2585"/>
      <c r="G205" s="2585"/>
      <c r="H205" s="2585"/>
      <c r="I205" s="2585"/>
      <c r="J205" s="2585"/>
      <c r="K205" s="2585"/>
      <c r="L205" s="2585"/>
      <c r="M205" s="2585"/>
      <c r="N205" s="2585"/>
      <c r="O205" s="2585"/>
      <c r="P205" s="2585"/>
      <c r="Q205" s="2585"/>
      <c r="R205" s="2585"/>
      <c r="S205" s="2585"/>
      <c r="T205" s="2585"/>
      <c r="U205" s="2585"/>
      <c r="V205" s="2585"/>
      <c r="W205" s="2585"/>
      <c r="X205" s="2585"/>
      <c r="Y205" s="2585"/>
      <c r="Z205" s="2585"/>
      <c r="AA205" s="2585"/>
      <c r="AB205" s="2585"/>
      <c r="AC205" s="847"/>
      <c r="AD205" s="2575"/>
      <c r="AE205" s="2575"/>
      <c r="AF205" s="2575"/>
      <c r="AG205" s="2575"/>
      <c r="AH205" s="2575"/>
      <c r="AI205" s="2575"/>
      <c r="AJ205" s="2575"/>
      <c r="AK205" s="611"/>
    </row>
    <row r="206" spans="1:40">
      <c r="A206" s="606"/>
      <c r="B206" s="2585"/>
      <c r="C206" s="2585"/>
      <c r="D206" s="2585"/>
      <c r="E206" s="2585"/>
      <c r="F206" s="2585"/>
      <c r="G206" s="2585"/>
      <c r="H206" s="2585"/>
      <c r="I206" s="2585"/>
      <c r="J206" s="2585"/>
      <c r="K206" s="2585"/>
      <c r="L206" s="2585"/>
      <c r="M206" s="2585"/>
      <c r="N206" s="2585"/>
      <c r="O206" s="2585"/>
      <c r="P206" s="2585"/>
      <c r="Q206" s="2585"/>
      <c r="R206" s="2585"/>
      <c r="S206" s="2585"/>
      <c r="T206" s="2585"/>
      <c r="U206" s="2585"/>
      <c r="V206" s="2585"/>
      <c r="W206" s="2585"/>
      <c r="X206" s="2585"/>
      <c r="Y206" s="2585"/>
      <c r="Z206" s="2585"/>
      <c r="AA206" s="2585"/>
      <c r="AB206" s="2585"/>
      <c r="AC206" s="847"/>
      <c r="AD206" s="2575"/>
      <c r="AE206" s="2575"/>
      <c r="AF206" s="2575"/>
      <c r="AG206" s="2575"/>
      <c r="AH206" s="2575"/>
      <c r="AI206" s="2575"/>
      <c r="AJ206" s="2575"/>
      <c r="AK206" s="611"/>
    </row>
    <row r="207" spans="1:40">
      <c r="A207" s="606"/>
      <c r="B207" s="2585"/>
      <c r="C207" s="2585"/>
      <c r="D207" s="2585"/>
      <c r="E207" s="2585"/>
      <c r="F207" s="2585"/>
      <c r="G207" s="2585"/>
      <c r="H207" s="2585"/>
      <c r="I207" s="2585"/>
      <c r="J207" s="2585"/>
      <c r="K207" s="2585"/>
      <c r="L207" s="2585"/>
      <c r="M207" s="2585"/>
      <c r="N207" s="2585"/>
      <c r="O207" s="2585"/>
      <c r="P207" s="2585"/>
      <c r="Q207" s="2585"/>
      <c r="R207" s="2585"/>
      <c r="S207" s="2585"/>
      <c r="T207" s="2585"/>
      <c r="U207" s="2585"/>
      <c r="V207" s="2585"/>
      <c r="W207" s="2585"/>
      <c r="X207" s="2585"/>
      <c r="Y207" s="2585"/>
      <c r="Z207" s="2585"/>
      <c r="AA207" s="2585"/>
      <c r="AB207" s="2585"/>
      <c r="AC207" s="847"/>
      <c r="AD207" s="2575"/>
      <c r="AE207" s="2575"/>
      <c r="AF207" s="2575"/>
      <c r="AG207" s="2575"/>
      <c r="AH207" s="2575"/>
      <c r="AI207" s="2575"/>
      <c r="AJ207" s="2575"/>
      <c r="AK207" s="611"/>
    </row>
    <row r="208" spans="1:40">
      <c r="A208" s="606"/>
      <c r="B208" s="2585"/>
      <c r="C208" s="2585"/>
      <c r="D208" s="2585"/>
      <c r="E208" s="2585"/>
      <c r="F208" s="2585"/>
      <c r="G208" s="2585"/>
      <c r="H208" s="2585"/>
      <c r="I208" s="2585"/>
      <c r="J208" s="2585"/>
      <c r="K208" s="2585"/>
      <c r="L208" s="2585"/>
      <c r="M208" s="2585"/>
      <c r="N208" s="2585"/>
      <c r="O208" s="2585"/>
      <c r="P208" s="2585"/>
      <c r="Q208" s="2585"/>
      <c r="R208" s="2585"/>
      <c r="S208" s="2585"/>
      <c r="T208" s="2585"/>
      <c r="U208" s="2585"/>
      <c r="V208" s="2585"/>
      <c r="W208" s="2585"/>
      <c r="X208" s="2585"/>
      <c r="Y208" s="2585"/>
      <c r="Z208" s="2585"/>
      <c r="AA208" s="2585"/>
      <c r="AB208" s="2585"/>
      <c r="AC208" s="847"/>
      <c r="AD208" s="2575"/>
      <c r="AE208" s="2575"/>
      <c r="AF208" s="2575"/>
      <c r="AG208" s="2575"/>
      <c r="AH208" s="2575"/>
      <c r="AI208" s="2575"/>
      <c r="AJ208" s="2575"/>
      <c r="AK208" s="611"/>
    </row>
    <row r="209" spans="1:37">
      <c r="A209" s="606"/>
      <c r="B209" s="2600" t="s">
        <v>1627</v>
      </c>
      <c r="C209" s="2600"/>
      <c r="D209" s="2600"/>
      <c r="E209" s="2600"/>
      <c r="F209" s="2600"/>
      <c r="G209" s="2600"/>
      <c r="H209" s="2600"/>
      <c r="I209" s="2600"/>
      <c r="J209" s="2600"/>
      <c r="K209" s="2600"/>
      <c r="L209" s="2600"/>
      <c r="M209" s="2600"/>
      <c r="N209" s="2600"/>
      <c r="O209" s="2600"/>
      <c r="P209" s="2600"/>
      <c r="Q209" s="2600"/>
      <c r="R209" s="2600"/>
      <c r="S209" s="2600"/>
      <c r="T209" s="2600"/>
      <c r="U209" s="2600"/>
      <c r="V209" s="2600"/>
      <c r="W209" s="2600"/>
      <c r="X209" s="2600"/>
      <c r="Y209" s="2600"/>
      <c r="Z209" s="2600"/>
      <c r="AA209" s="2600"/>
      <c r="AB209" s="2600"/>
      <c r="AC209" s="537"/>
      <c r="AD209" s="2573">
        <f>AB260</f>
        <v>0</v>
      </c>
      <c r="AE209" s="2573"/>
      <c r="AF209" s="2573"/>
      <c r="AG209" s="2573"/>
      <c r="AH209" s="2573"/>
      <c r="AI209" s="2573"/>
      <c r="AJ209" s="2573"/>
      <c r="AK209" s="611"/>
    </row>
    <row r="210" spans="1:37">
      <c r="A210" s="606"/>
      <c r="B210" s="2447" t="s">
        <v>1590</v>
      </c>
      <c r="C210" s="2447"/>
      <c r="D210" s="2447"/>
      <c r="E210" s="2447"/>
      <c r="F210" s="2447"/>
      <c r="G210" s="2447"/>
      <c r="H210" s="2447"/>
      <c r="I210" s="2447"/>
      <c r="J210" s="2447"/>
      <c r="K210" s="2447"/>
      <c r="L210" s="2447"/>
      <c r="M210" s="2447"/>
      <c r="N210" s="2447"/>
      <c r="O210" s="2447"/>
      <c r="P210" s="2447"/>
      <c r="Q210" s="2447"/>
      <c r="R210" s="2447"/>
      <c r="S210" s="2447"/>
      <c r="T210" s="2447"/>
      <c r="U210" s="2447"/>
      <c r="V210" s="2447"/>
      <c r="W210" s="2447"/>
      <c r="X210" s="2447"/>
      <c r="Y210" s="2447"/>
      <c r="Z210" s="2447"/>
      <c r="AA210" s="2447"/>
      <c r="AB210" s="2447"/>
      <c r="AC210" s="847"/>
      <c r="AD210" s="2574">
        <f>'Sources and Uses Budget'!B15</f>
        <v>0</v>
      </c>
      <c r="AE210" s="2574"/>
      <c r="AF210" s="2574"/>
      <c r="AG210" s="2574"/>
      <c r="AH210" s="2574"/>
      <c r="AI210" s="2574"/>
      <c r="AJ210" s="2574"/>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579">
        <f>SUM(AD199:AJ209)-AD210</f>
        <v>8898623</v>
      </c>
      <c r="AE211" s="2579"/>
      <c r="AF211" s="2579"/>
      <c r="AG211" s="2579"/>
      <c r="AH211" s="2579"/>
      <c r="AI211" s="2579"/>
      <c r="AJ211" s="2579"/>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598" t="s">
        <v>1607</v>
      </c>
      <c r="J222" s="2598"/>
      <c r="K222" s="2598"/>
      <c r="L222" s="537"/>
      <c r="M222" s="537"/>
      <c r="N222" s="537"/>
      <c r="O222" s="537"/>
      <c r="P222" s="537"/>
      <c r="Q222" s="537"/>
      <c r="R222" s="537"/>
      <c r="S222" s="537"/>
      <c r="T222" s="2413" t="s">
        <v>1601</v>
      </c>
      <c r="U222" s="2413"/>
      <c r="V222" s="2413"/>
      <c r="W222" s="2413"/>
      <c r="X222" s="2413"/>
      <c r="Y222" s="2413"/>
      <c r="Z222" s="850"/>
      <c r="AA222" s="490"/>
      <c r="AB222" s="2595" t="s">
        <v>1602</v>
      </c>
      <c r="AC222" s="2595"/>
      <c r="AD222" s="2595"/>
      <c r="AE222" s="2595"/>
      <c r="AF222" s="2595"/>
      <c r="AG222" s="2595"/>
      <c r="AH222" s="828"/>
      <c r="AI222" s="828"/>
      <c r="AJ222" s="828"/>
      <c r="AK222" s="611"/>
    </row>
    <row r="223" spans="1:37">
      <c r="A223" s="606"/>
      <c r="B223" s="2596" t="s">
        <v>1587</v>
      </c>
      <c r="C223" s="2596"/>
      <c r="D223" s="2596"/>
      <c r="E223" s="2596"/>
      <c r="F223" s="2596"/>
      <c r="G223" s="2596"/>
      <c r="I223" s="2597" t="s">
        <v>1608</v>
      </c>
      <c r="J223" s="2597"/>
      <c r="K223" s="2597"/>
      <c r="L223" s="1009"/>
      <c r="N223" s="2448" t="s">
        <v>1603</v>
      </c>
      <c r="O223" s="2448"/>
      <c r="P223" s="2448"/>
      <c r="Q223" s="2448"/>
      <c r="R223" s="2448"/>
      <c r="T223" s="2448" t="s">
        <v>1604</v>
      </c>
      <c r="U223" s="2448"/>
      <c r="V223" s="2448"/>
      <c r="W223" s="2448"/>
      <c r="X223" s="2448"/>
      <c r="Y223" s="2448"/>
      <c r="Z223" s="851"/>
      <c r="AA223" s="490"/>
      <c r="AB223" s="2463" t="s">
        <v>1605</v>
      </c>
      <c r="AC223" s="2463"/>
      <c r="AD223" s="2463"/>
      <c r="AE223" s="2463"/>
      <c r="AF223" s="2463"/>
      <c r="AG223" s="2463"/>
      <c r="AH223" s="828"/>
      <c r="AI223" s="828"/>
      <c r="AJ223" s="828"/>
      <c r="AK223" s="611"/>
    </row>
    <row r="224" spans="1:37">
      <c r="A224" s="606"/>
      <c r="B224" s="2464" t="s">
        <v>1184</v>
      </c>
      <c r="C224" s="2464"/>
      <c r="D224" s="2464"/>
      <c r="E224" s="2464"/>
      <c r="F224" s="2464"/>
      <c r="G224" s="2464"/>
      <c r="H224" s="853"/>
      <c r="I224" s="2417"/>
      <c r="J224" s="2417"/>
      <c r="K224" s="2417"/>
      <c r="L224" s="1009"/>
      <c r="N224" s="2415"/>
      <c r="O224" s="2415"/>
      <c r="P224" s="2415"/>
      <c r="Q224" s="2415"/>
      <c r="R224" s="2415"/>
      <c r="T224" s="2414"/>
      <c r="U224" s="2414"/>
      <c r="V224" s="2414"/>
      <c r="W224" s="2414"/>
      <c r="X224" s="2414"/>
      <c r="Y224" s="2414"/>
      <c r="Z224" s="852"/>
      <c r="AA224" s="852"/>
      <c r="AB224" s="2412">
        <f t="shared" ref="AB224:AB233" si="0">MAX(($T224-$N224)*$I224*12,0)</f>
        <v>0</v>
      </c>
      <c r="AC224" s="2412"/>
      <c r="AD224" s="2412"/>
      <c r="AE224" s="2412"/>
      <c r="AF224" s="2412"/>
      <c r="AG224" s="2412"/>
      <c r="AH224" s="828"/>
      <c r="AI224" s="828"/>
      <c r="AJ224" s="828"/>
      <c r="AK224" s="611"/>
    </row>
    <row r="225" spans="1:37">
      <c r="A225" s="606"/>
      <c r="B225" s="2464" t="s">
        <v>1184</v>
      </c>
      <c r="C225" s="2464"/>
      <c r="D225" s="2464"/>
      <c r="E225" s="2464"/>
      <c r="F225" s="2464"/>
      <c r="G225" s="2464"/>
      <c r="I225" s="2417"/>
      <c r="J225" s="2417"/>
      <c r="K225" s="2417"/>
      <c r="L225" s="1009"/>
      <c r="N225" s="2415"/>
      <c r="O225" s="2415"/>
      <c r="P225" s="2415"/>
      <c r="Q225" s="2415"/>
      <c r="R225" s="2415"/>
      <c r="T225" s="2414"/>
      <c r="U225" s="2414"/>
      <c r="V225" s="2414"/>
      <c r="W225" s="2414"/>
      <c r="X225" s="2414"/>
      <c r="Y225" s="2414"/>
      <c r="Z225" s="852"/>
      <c r="AA225" s="852"/>
      <c r="AB225" s="2412">
        <f t="shared" si="0"/>
        <v>0</v>
      </c>
      <c r="AC225" s="2412"/>
      <c r="AD225" s="2412"/>
      <c r="AE225" s="2412"/>
      <c r="AF225" s="2412"/>
      <c r="AG225" s="2412"/>
      <c r="AH225" s="828"/>
      <c r="AI225" s="828"/>
      <c r="AJ225" s="828"/>
      <c r="AK225" s="611"/>
    </row>
    <row r="226" spans="1:37">
      <c r="A226" s="606"/>
      <c r="B226" s="2464" t="s">
        <v>1184</v>
      </c>
      <c r="C226" s="2464"/>
      <c r="D226" s="2464"/>
      <c r="E226" s="2464"/>
      <c r="F226" s="2464"/>
      <c r="G226" s="2464"/>
      <c r="I226" s="2417"/>
      <c r="J226" s="2417"/>
      <c r="K226" s="2417"/>
      <c r="L226" s="1009"/>
      <c r="N226" s="2415"/>
      <c r="O226" s="2415"/>
      <c r="P226" s="2415"/>
      <c r="Q226" s="2415"/>
      <c r="R226" s="2415"/>
      <c r="T226" s="2414"/>
      <c r="U226" s="2414"/>
      <c r="V226" s="2414"/>
      <c r="W226" s="2414"/>
      <c r="X226" s="2414"/>
      <c r="Y226" s="2414"/>
      <c r="Z226" s="852"/>
      <c r="AA226" s="852"/>
      <c r="AB226" s="2412">
        <f t="shared" si="0"/>
        <v>0</v>
      </c>
      <c r="AC226" s="2412"/>
      <c r="AD226" s="2412"/>
      <c r="AE226" s="2412"/>
      <c r="AF226" s="2412"/>
      <c r="AG226" s="2412"/>
      <c r="AH226" s="828"/>
      <c r="AI226" s="828"/>
      <c r="AJ226" s="828"/>
      <c r="AK226" s="611"/>
    </row>
    <row r="227" spans="1:37">
      <c r="A227" s="606"/>
      <c r="B227" s="2464" t="s">
        <v>1184</v>
      </c>
      <c r="C227" s="2464"/>
      <c r="D227" s="2464"/>
      <c r="E227" s="2464"/>
      <c r="F227" s="2464"/>
      <c r="G227" s="2464"/>
      <c r="I227" s="2417"/>
      <c r="J227" s="2417"/>
      <c r="K227" s="2417"/>
      <c r="L227" s="1009"/>
      <c r="N227" s="2415"/>
      <c r="O227" s="2415"/>
      <c r="P227" s="2415"/>
      <c r="Q227" s="2415"/>
      <c r="R227" s="2415"/>
      <c r="T227" s="2414"/>
      <c r="U227" s="2414"/>
      <c r="V227" s="2414"/>
      <c r="W227" s="2414"/>
      <c r="X227" s="2414"/>
      <c r="Y227" s="2414"/>
      <c r="Z227" s="852"/>
      <c r="AA227" s="852"/>
      <c r="AB227" s="2412">
        <f t="shared" si="0"/>
        <v>0</v>
      </c>
      <c r="AC227" s="2412"/>
      <c r="AD227" s="2412"/>
      <c r="AE227" s="2412"/>
      <c r="AF227" s="2412"/>
      <c r="AG227" s="2412"/>
      <c r="AH227" s="828"/>
      <c r="AI227" s="828"/>
      <c r="AJ227" s="828"/>
      <c r="AK227" s="611"/>
    </row>
    <row r="228" spans="1:37">
      <c r="A228" s="606"/>
      <c r="B228" s="2464" t="s">
        <v>1184</v>
      </c>
      <c r="C228" s="2464"/>
      <c r="D228" s="2464"/>
      <c r="E228" s="2464"/>
      <c r="F228" s="2464"/>
      <c r="G228" s="2464"/>
      <c r="I228" s="2417"/>
      <c r="J228" s="2417"/>
      <c r="K228" s="2417"/>
      <c r="L228" s="1016"/>
      <c r="N228" s="2415"/>
      <c r="O228" s="2415"/>
      <c r="P228" s="2415"/>
      <c r="Q228" s="2415"/>
      <c r="R228" s="2415"/>
      <c r="T228" s="2414"/>
      <c r="U228" s="2414"/>
      <c r="V228" s="2414"/>
      <c r="W228" s="2414"/>
      <c r="X228" s="2414"/>
      <c r="Y228" s="2414"/>
      <c r="Z228" s="852"/>
      <c r="AA228" s="852"/>
      <c r="AB228" s="2412">
        <f t="shared" si="0"/>
        <v>0</v>
      </c>
      <c r="AC228" s="2412"/>
      <c r="AD228" s="2412"/>
      <c r="AE228" s="2412"/>
      <c r="AF228" s="2412"/>
      <c r="AG228" s="2412"/>
      <c r="AH228" s="828"/>
      <c r="AI228" s="828"/>
      <c r="AJ228" s="828"/>
      <c r="AK228" s="611"/>
    </row>
    <row r="229" spans="1:37">
      <c r="A229" s="606"/>
      <c r="B229" s="2464" t="s">
        <v>1184</v>
      </c>
      <c r="C229" s="2464"/>
      <c r="D229" s="2464"/>
      <c r="E229" s="2464"/>
      <c r="F229" s="2464"/>
      <c r="G229" s="2464"/>
      <c r="I229" s="2417"/>
      <c r="J229" s="2417"/>
      <c r="K229" s="2417"/>
      <c r="L229" s="1016"/>
      <c r="N229" s="2415"/>
      <c r="O229" s="2415"/>
      <c r="P229" s="2415"/>
      <c r="Q229" s="2415"/>
      <c r="R229" s="2415"/>
      <c r="T229" s="2414"/>
      <c r="U229" s="2414"/>
      <c r="V229" s="2414"/>
      <c r="W229" s="2414"/>
      <c r="X229" s="2414"/>
      <c r="Y229" s="2414"/>
      <c r="Z229" s="852"/>
      <c r="AA229" s="852"/>
      <c r="AB229" s="2412">
        <f t="shared" si="0"/>
        <v>0</v>
      </c>
      <c r="AC229" s="2412"/>
      <c r="AD229" s="2412"/>
      <c r="AE229" s="2412"/>
      <c r="AF229" s="2412"/>
      <c r="AG229" s="2412"/>
      <c r="AH229" s="828"/>
      <c r="AI229" s="828"/>
      <c r="AJ229" s="828"/>
      <c r="AK229" s="611"/>
    </row>
    <row r="230" spans="1:37">
      <c r="A230" s="606"/>
      <c r="B230" s="2464" t="s">
        <v>1184</v>
      </c>
      <c r="C230" s="2464"/>
      <c r="D230" s="2464"/>
      <c r="E230" s="2464"/>
      <c r="F230" s="2464"/>
      <c r="G230" s="2464"/>
      <c r="I230" s="2417"/>
      <c r="J230" s="2417"/>
      <c r="K230" s="2417"/>
      <c r="L230" s="1016"/>
      <c r="N230" s="2415"/>
      <c r="O230" s="2415"/>
      <c r="P230" s="2415"/>
      <c r="Q230" s="2415"/>
      <c r="R230" s="2415"/>
      <c r="T230" s="2414"/>
      <c r="U230" s="2414"/>
      <c r="V230" s="2414"/>
      <c r="W230" s="2414"/>
      <c r="X230" s="2414"/>
      <c r="Y230" s="2414"/>
      <c r="Z230" s="852"/>
      <c r="AA230" s="852"/>
      <c r="AB230" s="2412">
        <f t="shared" si="0"/>
        <v>0</v>
      </c>
      <c r="AC230" s="2412"/>
      <c r="AD230" s="2412"/>
      <c r="AE230" s="2412"/>
      <c r="AF230" s="2412"/>
      <c r="AG230" s="2412"/>
      <c r="AH230" s="828"/>
      <c r="AI230" s="828"/>
      <c r="AJ230" s="828"/>
      <c r="AK230" s="611"/>
    </row>
    <row r="231" spans="1:37">
      <c r="A231" s="606"/>
      <c r="B231" s="2464" t="s">
        <v>1184</v>
      </c>
      <c r="C231" s="2464"/>
      <c r="D231" s="2464"/>
      <c r="E231" s="2464"/>
      <c r="F231" s="2464"/>
      <c r="G231" s="2464"/>
      <c r="I231" s="2417"/>
      <c r="J231" s="2417"/>
      <c r="K231" s="2417"/>
      <c r="L231" s="1016"/>
      <c r="N231" s="2415"/>
      <c r="O231" s="2415"/>
      <c r="P231" s="2415"/>
      <c r="Q231" s="2415"/>
      <c r="R231" s="2415"/>
      <c r="T231" s="2414"/>
      <c r="U231" s="2414"/>
      <c r="V231" s="2414"/>
      <c r="W231" s="2414"/>
      <c r="X231" s="2414"/>
      <c r="Y231" s="2414"/>
      <c r="Z231" s="852"/>
      <c r="AA231" s="852"/>
      <c r="AB231" s="2412">
        <f t="shared" si="0"/>
        <v>0</v>
      </c>
      <c r="AC231" s="2412"/>
      <c r="AD231" s="2412"/>
      <c r="AE231" s="2412"/>
      <c r="AF231" s="2412"/>
      <c r="AG231" s="2412"/>
      <c r="AH231" s="828"/>
      <c r="AI231" s="828"/>
      <c r="AJ231" s="828"/>
      <c r="AK231" s="611"/>
    </row>
    <row r="232" spans="1:37">
      <c r="A232" s="606"/>
      <c r="B232" s="2464" t="s">
        <v>1184</v>
      </c>
      <c r="C232" s="2464"/>
      <c r="D232" s="2464"/>
      <c r="E232" s="2464"/>
      <c r="F232" s="2464"/>
      <c r="G232" s="2464"/>
      <c r="I232" s="2417"/>
      <c r="J232" s="2417"/>
      <c r="K232" s="2417"/>
      <c r="L232" s="1016"/>
      <c r="N232" s="2415"/>
      <c r="O232" s="2415"/>
      <c r="P232" s="2415"/>
      <c r="Q232" s="2415"/>
      <c r="R232" s="2415"/>
      <c r="T232" s="2414"/>
      <c r="U232" s="2414"/>
      <c r="V232" s="2414"/>
      <c r="W232" s="2414"/>
      <c r="X232" s="2414"/>
      <c r="Y232" s="2414"/>
      <c r="Z232" s="852"/>
      <c r="AA232" s="852"/>
      <c r="AB232" s="2412">
        <f t="shared" si="0"/>
        <v>0</v>
      </c>
      <c r="AC232" s="2412"/>
      <c r="AD232" s="2412"/>
      <c r="AE232" s="2412"/>
      <c r="AF232" s="2412"/>
      <c r="AG232" s="2412"/>
      <c r="AH232" s="828"/>
      <c r="AI232" s="828"/>
      <c r="AJ232" s="828"/>
      <c r="AK232" s="611"/>
    </row>
    <row r="233" spans="1:37">
      <c r="A233" s="606"/>
      <c r="B233" s="2464" t="s">
        <v>1184</v>
      </c>
      <c r="C233" s="2464"/>
      <c r="D233" s="2464"/>
      <c r="E233" s="2464"/>
      <c r="F233" s="2464"/>
      <c r="G233" s="2464"/>
      <c r="I233" s="2599"/>
      <c r="J233" s="2599"/>
      <c r="K233" s="2599"/>
      <c r="L233" s="1016"/>
      <c r="N233" s="2415"/>
      <c r="O233" s="2415"/>
      <c r="P233" s="2415"/>
      <c r="Q233" s="2415"/>
      <c r="R233" s="2415"/>
      <c r="T233" s="2414"/>
      <c r="U233" s="2414"/>
      <c r="V233" s="2414"/>
      <c r="W233" s="2414"/>
      <c r="X233" s="2414"/>
      <c r="Y233" s="2414"/>
      <c r="Z233" s="852"/>
      <c r="AA233" s="852"/>
      <c r="AB233" s="2418">
        <f t="shared" si="0"/>
        <v>0</v>
      </c>
      <c r="AC233" s="2418"/>
      <c r="AD233" s="2418"/>
      <c r="AE233" s="2418"/>
      <c r="AF233" s="2418"/>
      <c r="AG233" s="2418"/>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412">
        <f>SUM(AB224:AB233)</f>
        <v>0</v>
      </c>
      <c r="AC234" s="2412"/>
      <c r="AD234" s="2412"/>
      <c r="AE234" s="2412"/>
      <c r="AF234" s="2412"/>
      <c r="AG234" s="2412"/>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449"/>
      <c r="AC240" s="2449"/>
      <c r="AD240" s="2449"/>
      <c r="AE240" s="2449"/>
      <c r="AF240" s="2449"/>
      <c r="AG240" s="2449"/>
      <c r="AH240" s="611"/>
      <c r="AI240" s="611"/>
      <c r="AJ240" s="611"/>
      <c r="AK240" s="611"/>
    </row>
    <row r="241" spans="1:37" ht="13">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449"/>
      <c r="AC243" s="2449"/>
      <c r="AD243" s="2449"/>
      <c r="AE243" s="2449"/>
      <c r="AF243" s="2449"/>
      <c r="AG243" s="2449"/>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411"/>
      <c r="AC244" s="2411"/>
      <c r="AD244" s="2411"/>
      <c r="AE244" s="2411"/>
      <c r="AF244" s="2411"/>
      <c r="AG244" s="2411"/>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419">
        <f>IFERROR(AB243/AB244,0)</f>
        <v>0</v>
      </c>
      <c r="AC245" s="2419"/>
      <c r="AD245" s="2419"/>
      <c r="AE245" s="2419"/>
      <c r="AF245" s="2419"/>
      <c r="AG245" s="2419"/>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418">
        <f>MAX(AB240,AB245)</f>
        <v>0</v>
      </c>
      <c r="AC247" s="2418"/>
      <c r="AD247" s="2418"/>
      <c r="AE247" s="2418"/>
      <c r="AF247" s="2418"/>
      <c r="AG247" s="2418"/>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12">
        <f>AB234+AB247</f>
        <v>0</v>
      </c>
      <c r="AC250" s="2412"/>
      <c r="AD250" s="2412"/>
      <c r="AE250" s="2412"/>
      <c r="AF250" s="2412"/>
      <c r="AG250" s="2412"/>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83">
        <v>0.05</v>
      </c>
      <c r="AC251" s="2583"/>
      <c r="AD251" s="2583"/>
      <c r="AE251" s="2583"/>
      <c r="AF251" s="2583"/>
      <c r="AG251" s="2583"/>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84">
        <f>AB250-(AB250*AB251)</f>
        <v>0</v>
      </c>
      <c r="AC252" s="2584"/>
      <c r="AD252" s="2584"/>
      <c r="AE252" s="2584"/>
      <c r="AF252" s="2584"/>
      <c r="AG252" s="2584"/>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12">
        <f>AB252/AB258</f>
        <v>0</v>
      </c>
      <c r="AC254" s="2412"/>
      <c r="AD254" s="2412"/>
      <c r="AE254" s="2412"/>
      <c r="AF254" s="2412"/>
      <c r="AG254" s="2412"/>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95">
        <v>15</v>
      </c>
      <c r="AC256" s="2595"/>
      <c r="AD256" s="2595"/>
      <c r="AE256" s="2595"/>
      <c r="AF256" s="2595"/>
      <c r="AG256" s="2595"/>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86">
        <v>0.04</v>
      </c>
      <c r="AC257" s="2586"/>
      <c r="AD257" s="2586"/>
      <c r="AE257" s="2586"/>
      <c r="AF257" s="2586"/>
      <c r="AG257" s="2586"/>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87">
        <v>1.1499999999999999</v>
      </c>
      <c r="AC258" s="2587"/>
      <c r="AD258" s="2587"/>
      <c r="AE258" s="2587"/>
      <c r="AF258" s="2587"/>
      <c r="AG258" s="2587"/>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76">
        <f>PV(AB257/12,AB256*12,-AB254/12, ,0)</f>
        <v>0</v>
      </c>
      <c r="AC260" s="2577"/>
      <c r="AD260" s="2577"/>
      <c r="AE260" s="2577"/>
      <c r="AF260" s="2577"/>
      <c r="AG260" s="2578"/>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80">
        <f>IFERROR(('Sources and Uses Budget'!D105/'Sources and Uses Budget'!B105),0)</f>
        <v>0</v>
      </c>
      <c r="AC266" s="2581"/>
      <c r="AD266" s="2581"/>
      <c r="AE266" s="2581"/>
      <c r="AF266" s="2581"/>
      <c r="AG266" s="2582"/>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26">
        <f>AD211*(1-AB266)</f>
        <v>8898623</v>
      </c>
      <c r="AH268" s="2426"/>
      <c r="AI268" s="2426"/>
      <c r="AJ268" s="2426"/>
      <c r="AK268" s="2426"/>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26">
        <f>'Sources and Uses Budget'!C105</f>
        <v>109859539</v>
      </c>
      <c r="AH269" s="2426"/>
      <c r="AI269" s="2426"/>
      <c r="AJ269" s="2426"/>
      <c r="AK269" s="2426"/>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72">
        <f>ROUNDDOWN(IF(AND(C292="Yes",AK84=10),((AG268*2)/AG269),AG268/AG269),2)</f>
        <v>0.08</v>
      </c>
      <c r="AH270" s="2572"/>
      <c r="AI270" s="2572"/>
      <c r="AJ270" s="2572"/>
      <c r="AK270" s="2572"/>
    </row>
    <row r="271" spans="1:37" ht="13">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561">
        <f>IFERROR(IF(AG270=0,0,IF((AG270*100)&gt;8,8,(AG270*100))),0)</f>
        <v>8</v>
      </c>
      <c r="AL273" s="2561"/>
      <c r="AM273" s="2562"/>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43" t="s">
        <v>546</v>
      </c>
      <c r="D278" s="2443"/>
      <c r="E278" s="548"/>
      <c r="F278" s="2395" t="s">
        <v>2026</v>
      </c>
      <c r="G278" s="2396"/>
      <c r="H278" s="2396"/>
      <c r="I278" s="2396"/>
      <c r="J278" s="2396"/>
      <c r="K278" s="2396"/>
      <c r="L278" s="2396"/>
      <c r="M278" s="2396"/>
      <c r="N278" s="2396"/>
      <c r="O278" s="2396"/>
      <c r="P278" s="2396"/>
      <c r="Q278" s="2396"/>
      <c r="R278" s="2396"/>
      <c r="S278" s="2396"/>
      <c r="T278" s="2396"/>
      <c r="U278" s="2396"/>
      <c r="V278" s="2396"/>
      <c r="W278" s="2396"/>
      <c r="X278" s="2396"/>
      <c r="Y278" s="2396"/>
      <c r="Z278" s="2396"/>
      <c r="AA278" s="2396"/>
      <c r="AB278" s="2396"/>
      <c r="AC278" s="2396"/>
      <c r="AD278" s="2397"/>
      <c r="AE278" s="551"/>
      <c r="AF278" s="636"/>
      <c r="AG278" s="2570" t="s">
        <v>1363</v>
      </c>
      <c r="AH278" s="2570"/>
      <c r="AI278" s="2570"/>
      <c r="AJ278" s="2570"/>
      <c r="AK278" s="551"/>
      <c r="AL278" s="551"/>
      <c r="AM278" s="551"/>
      <c r="AO278" s="551"/>
    </row>
    <row r="279" spans="1:52" ht="13.75" customHeight="1">
      <c r="A279" s="551"/>
      <c r="B279" s="597"/>
      <c r="C279" s="637"/>
      <c r="D279" s="551"/>
      <c r="E279" s="548"/>
      <c r="F279" s="2398"/>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51"/>
      <c r="AF279" s="636"/>
      <c r="AG279" s="636"/>
      <c r="AH279" s="636"/>
      <c r="AI279" s="636"/>
      <c r="AJ279" s="551"/>
      <c r="AK279" s="551"/>
      <c r="AL279" s="551"/>
      <c r="AM279" s="551"/>
      <c r="AO279" s="551"/>
    </row>
    <row r="280" spans="1:52">
      <c r="A280" s="551"/>
      <c r="B280" s="597"/>
      <c r="C280" s="637"/>
      <c r="D280" s="551"/>
      <c r="E280" s="548"/>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51"/>
      <c r="AF280" s="636"/>
      <c r="AG280" s="636"/>
      <c r="AH280" s="636"/>
      <c r="AI280" s="636"/>
      <c r="AJ280" s="551"/>
      <c r="AK280" s="551"/>
      <c r="AL280" s="551"/>
      <c r="AM280" s="551"/>
      <c r="AO280" s="551"/>
      <c r="AP280" s="638"/>
    </row>
    <row r="281" spans="1:52">
      <c r="A281" s="551"/>
      <c r="B281" s="597"/>
      <c r="C281" s="637"/>
      <c r="D281" s="551"/>
      <c r="E281" s="548"/>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51"/>
      <c r="AF281" s="636"/>
      <c r="AG281" s="636"/>
      <c r="AH281" s="636"/>
      <c r="AI281" s="636"/>
      <c r="AJ281" s="551"/>
      <c r="AK281" s="551"/>
      <c r="AL281" s="551"/>
      <c r="AM281" s="551"/>
      <c r="AO281" s="551"/>
      <c r="AP281" s="638"/>
    </row>
    <row r="282" spans="1:52" ht="13.75" customHeight="1">
      <c r="A282" s="551"/>
      <c r="B282" s="597"/>
      <c r="C282" s="2571"/>
      <c r="D282" s="2571"/>
      <c r="E282" s="548"/>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51"/>
      <c r="AF282" s="636"/>
      <c r="AG282" s="2570"/>
      <c r="AH282" s="2570"/>
      <c r="AI282" s="2570"/>
      <c r="AJ282" s="2570"/>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561">
        <f>IF($C$278="yes",10,0)</f>
        <v>10</v>
      </c>
      <c r="AL285" s="2561"/>
      <c r="AM285" s="2562"/>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1380</v>
      </c>
      <c r="B288" s="539" t="s">
        <v>1854</v>
      </c>
      <c r="AH288" s="592" t="s">
        <v>1314</v>
      </c>
    </row>
    <row r="289" spans="1:49" ht="15" customHeight="1">
      <c r="B289" s="540"/>
    </row>
    <row r="290" spans="1:49" ht="15" customHeight="1">
      <c r="B290" s="540" t="s">
        <v>1728</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5" t="s">
        <v>1382</v>
      </c>
      <c r="B292" s="1635"/>
      <c r="C292" s="2394" t="s">
        <v>592</v>
      </c>
      <c r="D292" s="2443"/>
      <c r="E292" s="548"/>
      <c r="F292" s="2563" t="s">
        <v>1383</v>
      </c>
      <c r="G292" s="2564"/>
      <c r="H292" s="2564"/>
      <c r="I292" s="2564"/>
      <c r="J292" s="2564"/>
      <c r="K292" s="2564"/>
      <c r="L292" s="2564"/>
      <c r="M292" s="2564"/>
      <c r="N292" s="2564"/>
      <c r="O292" s="2564"/>
      <c r="P292" s="2564"/>
      <c r="Q292" s="2564"/>
      <c r="R292" s="2564"/>
      <c r="S292" s="2564"/>
      <c r="T292" s="2564"/>
      <c r="U292" s="2564"/>
      <c r="V292" s="2564"/>
      <c r="W292" s="2564"/>
      <c r="X292" s="2564"/>
      <c r="Y292" s="2564"/>
      <c r="Z292" s="2564"/>
      <c r="AA292" s="2564"/>
      <c r="AB292" s="2564"/>
      <c r="AC292" s="2564"/>
      <c r="AD292" s="2565"/>
      <c r="AE292" s="643"/>
      <c r="AF292" s="551"/>
      <c r="AG292" s="2566" t="s">
        <v>2019</v>
      </c>
      <c r="AH292" s="2566"/>
      <c r="AI292" s="2566"/>
      <c r="AJ292" s="2566"/>
      <c r="AK292" s="2566"/>
      <c r="AL292" s="551"/>
      <c r="AM292" s="551"/>
      <c r="AN292" s="73"/>
      <c r="AO292" s="14"/>
      <c r="AP292" s="30"/>
      <c r="AS292" s="571"/>
      <c r="AT292" s="571"/>
      <c r="AU292" s="571"/>
      <c r="AV292" s="32"/>
      <c r="AW292" s="32"/>
    </row>
    <row r="293" spans="1:49" ht="13">
      <c r="A293" s="641"/>
      <c r="B293" s="597"/>
      <c r="F293" s="2421"/>
      <c r="G293" s="2422"/>
      <c r="H293" s="2422"/>
      <c r="I293" s="2422"/>
      <c r="J293" s="2422"/>
      <c r="K293" s="2422"/>
      <c r="L293" s="2422"/>
      <c r="M293" s="2422"/>
      <c r="N293" s="2422"/>
      <c r="O293" s="2422"/>
      <c r="P293" s="2422"/>
      <c r="Q293" s="2422"/>
      <c r="R293" s="2422"/>
      <c r="S293" s="2422"/>
      <c r="T293" s="2422"/>
      <c r="U293" s="2422"/>
      <c r="V293" s="2422"/>
      <c r="W293" s="2422"/>
      <c r="X293" s="2422"/>
      <c r="Y293" s="2422"/>
      <c r="Z293" s="2422"/>
      <c r="AA293" s="2422"/>
      <c r="AB293" s="2422"/>
      <c r="AC293" s="2422"/>
      <c r="AD293" s="2423"/>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21"/>
      <c r="G294" s="2422"/>
      <c r="H294" s="2422"/>
      <c r="I294" s="2422"/>
      <c r="J294" s="2422"/>
      <c r="K294" s="2422"/>
      <c r="L294" s="2422"/>
      <c r="M294" s="2422"/>
      <c r="N294" s="2422"/>
      <c r="O294" s="2422"/>
      <c r="P294" s="2422"/>
      <c r="Q294" s="2422"/>
      <c r="R294" s="2422"/>
      <c r="S294" s="2422"/>
      <c r="T294" s="2422"/>
      <c r="U294" s="2422"/>
      <c r="V294" s="2422"/>
      <c r="W294" s="2422"/>
      <c r="X294" s="2422"/>
      <c r="Y294" s="2422"/>
      <c r="Z294" s="2422"/>
      <c r="AA294" s="2422"/>
      <c r="AB294" s="2422"/>
      <c r="AC294" s="2422"/>
      <c r="AD294" s="2423"/>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21" t="s">
        <v>2027</v>
      </c>
      <c r="G295" s="2422"/>
      <c r="H295" s="2422"/>
      <c r="I295" s="2422"/>
      <c r="J295" s="2422"/>
      <c r="K295" s="2422"/>
      <c r="L295" s="2422"/>
      <c r="M295" s="2422"/>
      <c r="N295" s="2422"/>
      <c r="O295" s="2422"/>
      <c r="P295" s="2422"/>
      <c r="Q295" s="2422"/>
      <c r="R295" s="2422"/>
      <c r="S295" s="2422"/>
      <c r="T295" s="2422"/>
      <c r="U295" s="2422"/>
      <c r="V295" s="2422"/>
      <c r="W295" s="2422"/>
      <c r="X295" s="2422"/>
      <c r="Y295" s="2422"/>
      <c r="Z295" s="2422"/>
      <c r="AA295" s="2422"/>
      <c r="AB295" s="2422"/>
      <c r="AC295" s="2422"/>
      <c r="AD295" s="2423"/>
      <c r="AE295" s="643"/>
      <c r="AF295" s="552"/>
      <c r="AH295" s="552"/>
      <c r="AI295" s="552"/>
      <c r="AJ295" s="551"/>
      <c r="AK295" s="551"/>
      <c r="AL295" s="551"/>
      <c r="AM295" s="551"/>
      <c r="AN295" s="73"/>
      <c r="AO295" s="14"/>
      <c r="AP295" s="612">
        <f>MAX(AP293,AP294)</f>
        <v>9</v>
      </c>
      <c r="AQ295" s="575" t="s">
        <v>1316</v>
      </c>
      <c r="AS295" s="571"/>
      <c r="AT295" s="571"/>
      <c r="AU295" s="571"/>
      <c r="AV295" s="32"/>
      <c r="AW295" s="32"/>
    </row>
    <row r="296" spans="1:49" ht="13">
      <c r="A296" s="641"/>
      <c r="B296" s="597"/>
      <c r="F296" s="2421"/>
      <c r="G296" s="2422"/>
      <c r="H296" s="2422"/>
      <c r="I296" s="2422"/>
      <c r="J296" s="2422"/>
      <c r="K296" s="2422"/>
      <c r="L296" s="2422"/>
      <c r="M296" s="2422"/>
      <c r="N296" s="2422"/>
      <c r="O296" s="2422"/>
      <c r="P296" s="2422"/>
      <c r="Q296" s="2422"/>
      <c r="R296" s="2422"/>
      <c r="S296" s="2422"/>
      <c r="T296" s="2422"/>
      <c r="U296" s="2422"/>
      <c r="V296" s="2422"/>
      <c r="W296" s="2422"/>
      <c r="X296" s="2422"/>
      <c r="Y296" s="2422"/>
      <c r="Z296" s="2422"/>
      <c r="AA296" s="2422"/>
      <c r="AB296" s="2422"/>
      <c r="AC296" s="2422"/>
      <c r="AD296" s="2423"/>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21" t="s">
        <v>1384</v>
      </c>
      <c r="G297" s="2422"/>
      <c r="H297" s="2422"/>
      <c r="I297" s="2422"/>
      <c r="J297" s="2422"/>
      <c r="K297" s="2422"/>
      <c r="L297" s="2422"/>
      <c r="M297" s="2422"/>
      <c r="N297" s="2422"/>
      <c r="O297" s="2422"/>
      <c r="P297" s="2422"/>
      <c r="Q297" s="2422"/>
      <c r="R297" s="2422"/>
      <c r="S297" s="2422"/>
      <c r="T297" s="2422"/>
      <c r="U297" s="2422"/>
      <c r="V297" s="2422"/>
      <c r="W297" s="2422"/>
      <c r="X297" s="2422"/>
      <c r="Y297" s="2422"/>
      <c r="Z297" s="2422"/>
      <c r="AA297" s="2422"/>
      <c r="AB297" s="2422"/>
      <c r="AC297" s="2422"/>
      <c r="AD297" s="2423"/>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21"/>
      <c r="G298" s="2422"/>
      <c r="H298" s="2422"/>
      <c r="I298" s="2422"/>
      <c r="J298" s="2422"/>
      <c r="K298" s="2422"/>
      <c r="L298" s="2422"/>
      <c r="M298" s="2422"/>
      <c r="N298" s="2422"/>
      <c r="O298" s="2422"/>
      <c r="P298" s="2422"/>
      <c r="Q298" s="2422"/>
      <c r="R298" s="2422"/>
      <c r="S298" s="2422"/>
      <c r="T298" s="2422"/>
      <c r="U298" s="2422"/>
      <c r="V298" s="2422"/>
      <c r="W298" s="2422"/>
      <c r="X298" s="2422"/>
      <c r="Y298" s="2422"/>
      <c r="Z298" s="2422"/>
      <c r="AA298" s="2422"/>
      <c r="AB298" s="2422"/>
      <c r="AC298" s="2422"/>
      <c r="AD298" s="2423"/>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21" t="s">
        <v>1385</v>
      </c>
      <c r="G299" s="2422"/>
      <c r="H299" s="2422"/>
      <c r="I299" s="2422"/>
      <c r="J299" s="2422"/>
      <c r="K299" s="2422"/>
      <c r="L299" s="2422"/>
      <c r="M299" s="2422"/>
      <c r="N299" s="2422"/>
      <c r="O299" s="2422"/>
      <c r="P299" s="2422"/>
      <c r="Q299" s="2422"/>
      <c r="R299" s="2422"/>
      <c r="S299" s="2422"/>
      <c r="T299" s="2422"/>
      <c r="U299" s="2422"/>
      <c r="V299" s="2422"/>
      <c r="W299" s="2422"/>
      <c r="X299" s="2422"/>
      <c r="Y299" s="2422"/>
      <c r="Z299" s="2422"/>
      <c r="AA299" s="2422"/>
      <c r="AB299" s="2422"/>
      <c r="AC299" s="2422"/>
      <c r="AD299" s="2423"/>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24"/>
      <c r="G300" s="2425"/>
      <c r="H300" s="2425"/>
      <c r="I300" s="2425"/>
      <c r="J300" s="2425"/>
      <c r="K300" s="2425"/>
      <c r="L300" s="2425"/>
      <c r="M300" s="2425"/>
      <c r="N300" s="2425"/>
      <c r="O300" s="2425"/>
      <c r="P300" s="2425"/>
      <c r="Q300" s="2425"/>
      <c r="R300" s="2425"/>
      <c r="S300" s="2425"/>
      <c r="T300" s="2425"/>
      <c r="U300" s="2425"/>
      <c r="V300" s="2425"/>
      <c r="W300" s="2425"/>
      <c r="X300" s="2425"/>
      <c r="Y300" s="2425"/>
      <c r="Z300" s="2425"/>
      <c r="AA300" s="2425"/>
      <c r="AB300" s="2425"/>
      <c r="AC300" s="2425"/>
      <c r="AD300" s="2560"/>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5" t="s">
        <v>1386</v>
      </c>
      <c r="B302" s="1635"/>
      <c r="C302" s="2443" t="s">
        <v>546</v>
      </c>
      <c r="D302" s="2443"/>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545" t="s">
        <v>2021</v>
      </c>
      <c r="G303" s="2546"/>
      <c r="H303" s="2546"/>
      <c r="I303" s="2546"/>
      <c r="J303" s="2546"/>
      <c r="K303" s="2546"/>
      <c r="L303" s="2546"/>
      <c r="M303" s="2546"/>
      <c r="N303" s="2546"/>
      <c r="O303" s="2546"/>
      <c r="P303" s="2546"/>
      <c r="Q303" s="2546"/>
      <c r="R303" s="2546"/>
      <c r="S303" s="2546"/>
      <c r="T303" s="2546"/>
      <c r="U303" s="2546"/>
      <c r="V303" s="2546"/>
      <c r="W303" s="2546"/>
      <c r="X303" s="2546"/>
      <c r="Y303" s="2546"/>
      <c r="Z303" s="2546"/>
      <c r="AA303" s="2546"/>
      <c r="AB303" s="2546"/>
      <c r="AC303" s="2546"/>
      <c r="AD303" s="2547"/>
      <c r="AE303" s="552"/>
      <c r="AF303" s="552"/>
      <c r="AG303" s="552"/>
      <c r="AH303" s="552"/>
      <c r="AI303" s="552"/>
      <c r="AJ303" s="551"/>
      <c r="AK303" s="551"/>
      <c r="AL303" s="551"/>
      <c r="AM303" s="551"/>
      <c r="AR303" s="649"/>
    </row>
    <row r="304" spans="1:49" ht="15" customHeight="1">
      <c r="A304" s="551"/>
      <c r="B304" s="552"/>
      <c r="C304" s="551"/>
      <c r="D304" s="552"/>
      <c r="E304" s="551"/>
      <c r="F304" s="2545"/>
      <c r="G304" s="2546"/>
      <c r="H304" s="2546"/>
      <c r="I304" s="2546"/>
      <c r="J304" s="2546"/>
      <c r="K304" s="2546"/>
      <c r="L304" s="2546"/>
      <c r="M304" s="2546"/>
      <c r="N304" s="2546"/>
      <c r="O304" s="2546"/>
      <c r="P304" s="2546"/>
      <c r="Q304" s="2546"/>
      <c r="R304" s="2546"/>
      <c r="S304" s="2546"/>
      <c r="T304" s="2546"/>
      <c r="U304" s="2546"/>
      <c r="V304" s="2546"/>
      <c r="W304" s="2546"/>
      <c r="X304" s="2546"/>
      <c r="Y304" s="2546"/>
      <c r="Z304" s="2546"/>
      <c r="AA304" s="2546"/>
      <c r="AB304" s="2546"/>
      <c r="AC304" s="2546"/>
      <c r="AD304" s="2547"/>
      <c r="AE304" s="552"/>
      <c r="AF304" s="552"/>
      <c r="AG304" s="552"/>
      <c r="AH304" s="552"/>
      <c r="AI304" s="552"/>
      <c r="AJ304" s="551"/>
      <c r="AK304" s="551"/>
      <c r="AL304" s="551"/>
      <c r="AM304" s="551"/>
      <c r="AR304" s="649"/>
    </row>
    <row r="305" spans="1:44">
      <c r="A305" s="551"/>
      <c r="B305" s="552"/>
      <c r="C305" s="551"/>
      <c r="D305" s="552"/>
      <c r="E305" s="551"/>
      <c r="F305" s="2545"/>
      <c r="G305" s="2546"/>
      <c r="H305" s="2546"/>
      <c r="I305" s="2546"/>
      <c r="J305" s="2546"/>
      <c r="K305" s="2546"/>
      <c r="L305" s="2546"/>
      <c r="M305" s="2546"/>
      <c r="N305" s="2546"/>
      <c r="O305" s="2546"/>
      <c r="P305" s="2546"/>
      <c r="Q305" s="2546"/>
      <c r="R305" s="2546"/>
      <c r="S305" s="2546"/>
      <c r="T305" s="2546"/>
      <c r="U305" s="2546"/>
      <c r="V305" s="2546"/>
      <c r="W305" s="2546"/>
      <c r="X305" s="2546"/>
      <c r="Y305" s="2546"/>
      <c r="Z305" s="2546"/>
      <c r="AA305" s="2546"/>
      <c r="AB305" s="2546"/>
      <c r="AC305" s="2546"/>
      <c r="AD305" s="2547"/>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67"/>
      <c r="G306" s="2568"/>
      <c r="H306" s="2568"/>
      <c r="I306" s="2568"/>
      <c r="J306" s="2568"/>
      <c r="K306" s="2568"/>
      <c r="L306" s="2568"/>
      <c r="M306" s="2568"/>
      <c r="N306" s="2568"/>
      <c r="O306" s="2568"/>
      <c r="P306" s="2568"/>
      <c r="Q306" s="2568"/>
      <c r="R306" s="2568"/>
      <c r="S306" s="2568"/>
      <c r="T306" s="2568"/>
      <c r="U306" s="2568"/>
      <c r="V306" s="2568"/>
      <c r="W306" s="2568"/>
      <c r="X306" s="2568"/>
      <c r="Y306" s="2568"/>
      <c r="Z306" s="2568"/>
      <c r="AA306" s="2568"/>
      <c r="AB306" s="2568"/>
      <c r="AC306" s="2568"/>
      <c r="AD306" s="2569"/>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35" t="s">
        <v>1389</v>
      </c>
      <c r="B310" s="1635"/>
      <c r="C310" s="2443" t="s">
        <v>592</v>
      </c>
      <c r="D310" s="2443"/>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t="13" hidden="1">
      <c r="A311" s="89"/>
      <c r="B311" s="89"/>
      <c r="C311" s="731"/>
      <c r="D311" s="731"/>
      <c r="E311" s="548"/>
      <c r="F311" s="2421" t="s">
        <v>2028</v>
      </c>
      <c r="G311" s="2422"/>
      <c r="H311" s="2422"/>
      <c r="I311" s="2422"/>
      <c r="J311" s="2422"/>
      <c r="K311" s="2422"/>
      <c r="L311" s="2422"/>
      <c r="M311" s="2422"/>
      <c r="N311" s="2422"/>
      <c r="O311" s="2422"/>
      <c r="P311" s="2422"/>
      <c r="Q311" s="2422"/>
      <c r="R311" s="2422"/>
      <c r="S311" s="2422"/>
      <c r="T311" s="2422"/>
      <c r="U311" s="2422"/>
      <c r="V311" s="2422"/>
      <c r="W311" s="2422"/>
      <c r="X311" s="2422"/>
      <c r="Y311" s="2422"/>
      <c r="Z311" s="2422"/>
      <c r="AA311" s="2422"/>
      <c r="AB311" s="2422"/>
      <c r="AC311" s="2422"/>
      <c r="AD311" s="2423"/>
      <c r="AE311" s="552"/>
      <c r="AF311" s="552"/>
      <c r="AG311" s="540"/>
      <c r="AH311" s="552"/>
      <c r="AI311" s="552"/>
      <c r="AJ311" s="551"/>
      <c r="AK311" s="551"/>
      <c r="AL311" s="551"/>
      <c r="AM311" s="551"/>
      <c r="AN311" s="73"/>
      <c r="AO311" s="14"/>
      <c r="AP311" s="558" t="s">
        <v>1184</v>
      </c>
    </row>
    <row r="312" spans="1:44" hidden="1">
      <c r="F312" s="2421"/>
      <c r="G312" s="2422"/>
      <c r="H312" s="2422"/>
      <c r="I312" s="2422"/>
      <c r="J312" s="2422"/>
      <c r="K312" s="2422"/>
      <c r="L312" s="2422"/>
      <c r="M312" s="2422"/>
      <c r="N312" s="2422"/>
      <c r="O312" s="2422"/>
      <c r="P312" s="2422"/>
      <c r="Q312" s="2422"/>
      <c r="R312" s="2422"/>
      <c r="S312" s="2422"/>
      <c r="T312" s="2422"/>
      <c r="U312" s="2422"/>
      <c r="V312" s="2422"/>
      <c r="W312" s="2422"/>
      <c r="X312" s="2422"/>
      <c r="Y312" s="2422"/>
      <c r="Z312" s="2422"/>
      <c r="AA312" s="2422"/>
      <c r="AB312" s="2422"/>
      <c r="AC312" s="2422"/>
      <c r="AD312" s="2423"/>
      <c r="AE312" s="552"/>
      <c r="AF312" s="552"/>
      <c r="AH312" s="552"/>
      <c r="AI312" s="552"/>
      <c r="AJ312" s="551"/>
      <c r="AK312" s="551"/>
      <c r="AL312" s="551"/>
      <c r="AM312" s="551"/>
      <c r="AN312" s="73"/>
      <c r="AO312" s="14"/>
      <c r="AP312" s="558" t="s">
        <v>1730</v>
      </c>
    </row>
    <row r="313" spans="1:44" ht="13"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48" t="s">
        <v>1184</v>
      </c>
      <c r="G316" s="2549"/>
      <c r="H316" s="2549"/>
      <c r="I316" s="2549"/>
      <c r="J316" s="2549"/>
      <c r="K316" s="2549"/>
      <c r="L316" s="2549"/>
      <c r="M316" s="2549"/>
      <c r="N316" s="2549"/>
      <c r="O316" s="2549"/>
      <c r="P316" s="2549"/>
      <c r="Q316" s="2549"/>
      <c r="R316" s="2549"/>
      <c r="S316" s="2549"/>
      <c r="T316" s="2549"/>
      <c r="U316" s="2549"/>
      <c r="V316" s="2549"/>
      <c r="W316" s="2549"/>
      <c r="X316" s="2549"/>
      <c r="Y316" s="2549"/>
      <c r="Z316" s="2549"/>
      <c r="AA316" s="2549"/>
      <c r="AB316" s="2549"/>
      <c r="AC316" s="2549"/>
      <c r="AD316" s="2550"/>
      <c r="AE316" s="643"/>
      <c r="AF316" s="643"/>
      <c r="AG316" s="643"/>
      <c r="AH316" s="643"/>
      <c r="AI316" s="643"/>
      <c r="AJ316" s="643"/>
      <c r="AK316" s="643"/>
      <c r="AL316" s="551"/>
      <c r="AM316" s="551"/>
      <c r="AN316" s="73"/>
      <c r="AO316" s="14"/>
      <c r="AP316" s="30"/>
    </row>
    <row r="317" spans="1:44" ht="13" hidden="1">
      <c r="A317" s="551"/>
      <c r="B317" s="552"/>
      <c r="C317" s="731"/>
      <c r="D317" s="731"/>
      <c r="E317" s="548"/>
      <c r="F317" s="2548"/>
      <c r="G317" s="2549"/>
      <c r="H317" s="2549"/>
      <c r="I317" s="2549"/>
      <c r="J317" s="2549"/>
      <c r="K317" s="2549"/>
      <c r="L317" s="2549"/>
      <c r="M317" s="2549"/>
      <c r="N317" s="2549"/>
      <c r="O317" s="2549"/>
      <c r="P317" s="2549"/>
      <c r="Q317" s="2549"/>
      <c r="R317" s="2549"/>
      <c r="S317" s="2549"/>
      <c r="T317" s="2549"/>
      <c r="U317" s="2549"/>
      <c r="V317" s="2549"/>
      <c r="W317" s="2549"/>
      <c r="X317" s="2549"/>
      <c r="Y317" s="2549"/>
      <c r="Z317" s="2549"/>
      <c r="AA317" s="2549"/>
      <c r="AB317" s="2549"/>
      <c r="AC317" s="2549"/>
      <c r="AD317" s="2550"/>
      <c r="AE317" s="552"/>
      <c r="AF317" s="552"/>
      <c r="AG317" s="540"/>
      <c r="AH317" s="552"/>
      <c r="AI317" s="552"/>
      <c r="AJ317" s="551"/>
      <c r="AK317" s="551"/>
      <c r="AL317" s="551"/>
      <c r="AM317" s="551"/>
      <c r="AN317" s="73"/>
      <c r="AO317" s="14"/>
      <c r="AP317" s="30"/>
    </row>
    <row r="318" spans="1:44" ht="13" hidden="1">
      <c r="A318" s="551"/>
      <c r="B318" s="552"/>
      <c r="C318" s="731"/>
      <c r="D318" s="731"/>
      <c r="E318" s="548"/>
      <c r="F318" s="2548"/>
      <c r="G318" s="2549"/>
      <c r="H318" s="2549"/>
      <c r="I318" s="2549"/>
      <c r="J318" s="2549"/>
      <c r="K318" s="2549"/>
      <c r="L318" s="2549"/>
      <c r="M318" s="2549"/>
      <c r="N318" s="2549"/>
      <c r="O318" s="2549"/>
      <c r="P318" s="2549"/>
      <c r="Q318" s="2549"/>
      <c r="R318" s="2549"/>
      <c r="S318" s="2549"/>
      <c r="T318" s="2549"/>
      <c r="U318" s="2549"/>
      <c r="V318" s="2549"/>
      <c r="W318" s="2549"/>
      <c r="X318" s="2549"/>
      <c r="Y318" s="2549"/>
      <c r="Z318" s="2549"/>
      <c r="AA318" s="2549"/>
      <c r="AB318" s="2549"/>
      <c r="AC318" s="2549"/>
      <c r="AD318" s="2550"/>
      <c r="AE318" s="552"/>
      <c r="AF318" s="552"/>
      <c r="AG318" s="540"/>
      <c r="AH318" s="552"/>
      <c r="AI318" s="552"/>
      <c r="AJ318" s="551"/>
      <c r="AK318" s="551"/>
      <c r="AL318" s="551"/>
      <c r="AM318" s="551"/>
      <c r="AN318" s="73"/>
      <c r="AO318" s="14"/>
      <c r="AP318" s="30"/>
    </row>
    <row r="319" spans="1:44" ht="13" hidden="1">
      <c r="A319" s="551"/>
      <c r="B319" s="552"/>
      <c r="C319" s="731"/>
      <c r="D319" s="731"/>
      <c r="E319" s="548"/>
      <c r="F319" s="2548"/>
      <c r="G319" s="2549"/>
      <c r="H319" s="2549"/>
      <c r="I319" s="2549"/>
      <c r="J319" s="2549"/>
      <c r="K319" s="2549"/>
      <c r="L319" s="2549"/>
      <c r="M319" s="2549"/>
      <c r="N319" s="2549"/>
      <c r="O319" s="2549"/>
      <c r="P319" s="2549"/>
      <c r="Q319" s="2549"/>
      <c r="R319" s="2549"/>
      <c r="S319" s="2549"/>
      <c r="T319" s="2549"/>
      <c r="U319" s="2549"/>
      <c r="V319" s="2549"/>
      <c r="W319" s="2549"/>
      <c r="X319" s="2549"/>
      <c r="Y319" s="2549"/>
      <c r="Z319" s="2549"/>
      <c r="AA319" s="2549"/>
      <c r="AB319" s="2549"/>
      <c r="AC319" s="2549"/>
      <c r="AD319" s="2550"/>
      <c r="AE319" s="552"/>
      <c r="AF319" s="552"/>
      <c r="AG319" s="540"/>
      <c r="AH319" s="552"/>
      <c r="AI319" s="552"/>
      <c r="AJ319" s="551"/>
      <c r="AK319" s="551"/>
      <c r="AL319" s="551"/>
      <c r="AM319" s="551"/>
      <c r="AN319" s="73"/>
      <c r="AO319" s="14"/>
      <c r="AP319" s="30"/>
    </row>
    <row r="320" spans="1:44" ht="13" hidden="1">
      <c r="A320" s="551"/>
      <c r="B320" s="552"/>
      <c r="C320" s="731"/>
      <c r="D320" s="731"/>
      <c r="E320" s="548"/>
      <c r="F320" s="2551"/>
      <c r="G320" s="2552"/>
      <c r="H320" s="2552"/>
      <c r="I320" s="2552"/>
      <c r="J320" s="2552"/>
      <c r="K320" s="2552"/>
      <c r="L320" s="2552"/>
      <c r="M320" s="2552"/>
      <c r="N320" s="2552"/>
      <c r="O320" s="2552"/>
      <c r="P320" s="2552"/>
      <c r="Q320" s="2552"/>
      <c r="R320" s="2552"/>
      <c r="S320" s="2552"/>
      <c r="T320" s="2552"/>
      <c r="U320" s="2552"/>
      <c r="V320" s="2552"/>
      <c r="W320" s="2552"/>
      <c r="X320" s="2552"/>
      <c r="Y320" s="2552"/>
      <c r="Z320" s="2552"/>
      <c r="AA320" s="2552"/>
      <c r="AB320" s="2552"/>
      <c r="AC320" s="2552"/>
      <c r="AD320" s="2553"/>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688</v>
      </c>
      <c r="H324" s="576"/>
      <c r="I324" s="2554" t="s">
        <v>1184</v>
      </c>
      <c r="J324" s="2554"/>
      <c r="K324" s="2554"/>
      <c r="L324" s="2554"/>
      <c r="M324" s="2554"/>
      <c r="N324" s="2554"/>
      <c r="O324" s="2554"/>
      <c r="P324" s="2554"/>
      <c r="Q324" s="2554"/>
      <c r="R324" s="2554"/>
      <c r="S324" s="2554"/>
      <c r="T324" s="2554"/>
      <c r="U324" s="2554"/>
      <c r="V324" s="2554"/>
      <c r="W324" s="2554"/>
      <c r="X324" s="2554"/>
      <c r="Y324" s="2554"/>
      <c r="Z324" s="2554"/>
      <c r="AA324" s="2554"/>
      <c r="AB324" s="2554"/>
      <c r="AC324" s="2554"/>
      <c r="AD324" s="2555"/>
      <c r="AE324" s="552"/>
      <c r="AF324" s="552"/>
      <c r="AG324" s="540"/>
      <c r="AH324" s="552"/>
      <c r="AI324" s="552"/>
      <c r="AJ324" s="551"/>
      <c r="AK324" s="551"/>
      <c r="AL324" s="551"/>
      <c r="AM324" s="551"/>
      <c r="AN324" s="73"/>
      <c r="AO324" s="14"/>
      <c r="AP324" s="558" t="s">
        <v>1637</v>
      </c>
    </row>
    <row r="325" spans="1:42" ht="13" hidden="1">
      <c r="A325" s="551"/>
      <c r="B325" s="552"/>
      <c r="C325" s="731"/>
      <c r="D325" s="731"/>
      <c r="E325" s="548"/>
      <c r="F325" s="657"/>
      <c r="G325" s="576"/>
      <c r="H325" s="576"/>
      <c r="I325" s="2554"/>
      <c r="J325" s="2554"/>
      <c r="K325" s="2554"/>
      <c r="L325" s="2554"/>
      <c r="M325" s="2554"/>
      <c r="N325" s="2554"/>
      <c r="O325" s="2554"/>
      <c r="P325" s="2554"/>
      <c r="Q325" s="2554"/>
      <c r="R325" s="2554"/>
      <c r="S325" s="2554"/>
      <c r="T325" s="2554"/>
      <c r="U325" s="2554"/>
      <c r="V325" s="2554"/>
      <c r="W325" s="2554"/>
      <c r="X325" s="2554"/>
      <c r="Y325" s="2554"/>
      <c r="Z325" s="2554"/>
      <c r="AA325" s="2554"/>
      <c r="AB325" s="2554"/>
      <c r="AC325" s="2554"/>
      <c r="AD325" s="2555"/>
      <c r="AE325" s="552"/>
      <c r="AF325" s="552"/>
      <c r="AG325" s="540"/>
      <c r="AH325" s="552"/>
      <c r="AI325" s="552"/>
      <c r="AJ325" s="551"/>
      <c r="AK325" s="551"/>
      <c r="AL325" s="551"/>
      <c r="AM325" s="551"/>
      <c r="AN325" s="73"/>
      <c r="AO325" s="14"/>
      <c r="AP325" s="558" t="s">
        <v>1733</v>
      </c>
    </row>
    <row r="326" spans="1:42" ht="13" hidden="1">
      <c r="A326" s="551"/>
      <c r="B326" s="552"/>
      <c r="C326" s="652"/>
      <c r="D326" s="652"/>
      <c r="E326" s="548"/>
      <c r="F326" s="657"/>
      <c r="G326" s="576"/>
      <c r="H326" s="576"/>
      <c r="I326" s="2554"/>
      <c r="J326" s="2554"/>
      <c r="K326" s="2554"/>
      <c r="L326" s="2554"/>
      <c r="M326" s="2554"/>
      <c r="N326" s="2554"/>
      <c r="O326" s="2554"/>
      <c r="P326" s="2554"/>
      <c r="Q326" s="2554"/>
      <c r="R326" s="2554"/>
      <c r="S326" s="2554"/>
      <c r="T326" s="2554"/>
      <c r="U326" s="2554"/>
      <c r="V326" s="2554"/>
      <c r="W326" s="2554"/>
      <c r="X326" s="2554"/>
      <c r="Y326" s="2554"/>
      <c r="Z326" s="2554"/>
      <c r="AA326" s="2554"/>
      <c r="AB326" s="2554"/>
      <c r="AC326" s="2554"/>
      <c r="AD326" s="2555"/>
      <c r="AE326" s="552"/>
      <c r="AF326" s="552"/>
      <c r="AG326" s="540"/>
      <c r="AH326" s="552"/>
      <c r="AI326" s="552"/>
      <c r="AJ326" s="551"/>
      <c r="AK326" s="551"/>
      <c r="AL326" s="551"/>
      <c r="AM326" s="551"/>
      <c r="AN326" s="73"/>
      <c r="AO326" s="14"/>
      <c r="AP326" s="558" t="s">
        <v>1735</v>
      </c>
    </row>
    <row r="327" spans="1:42" ht="13" hidden="1">
      <c r="A327" s="551"/>
      <c r="B327" s="552"/>
      <c r="C327" s="652"/>
      <c r="D327" s="652"/>
      <c r="E327" s="548"/>
      <c r="F327" s="655"/>
      <c r="G327" s="552"/>
      <c r="H327" s="552"/>
      <c r="I327" s="2556"/>
      <c r="J327" s="2556"/>
      <c r="K327" s="2556"/>
      <c r="L327" s="2556"/>
      <c r="M327" s="2556"/>
      <c r="N327" s="2556"/>
      <c r="O327" s="2556"/>
      <c r="P327" s="2556"/>
      <c r="Q327" s="2556"/>
      <c r="R327" s="2556"/>
      <c r="S327" s="2556"/>
      <c r="T327" s="2556"/>
      <c r="U327" s="2556"/>
      <c r="V327" s="2556"/>
      <c r="W327" s="2556"/>
      <c r="X327" s="2556"/>
      <c r="Y327" s="2556"/>
      <c r="Z327" s="2556"/>
      <c r="AA327" s="2556"/>
      <c r="AB327" s="2556"/>
      <c r="AC327" s="2556"/>
      <c r="AD327" s="2557"/>
      <c r="AE327" s="552"/>
      <c r="AF327" s="552"/>
      <c r="AG327" s="540"/>
      <c r="AH327" s="552"/>
      <c r="AI327" s="552"/>
      <c r="AJ327" s="551"/>
      <c r="AK327" s="551"/>
      <c r="AL327" s="551"/>
      <c r="AM327" s="551"/>
      <c r="AN327" s="73"/>
      <c r="AO327" s="14"/>
      <c r="AP327" s="558" t="s">
        <v>1734</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510</v>
      </c>
      <c r="H329" s="552"/>
      <c r="I329" s="2554" t="s">
        <v>1184</v>
      </c>
      <c r="J329" s="2554"/>
      <c r="K329" s="2554"/>
      <c r="L329" s="2554"/>
      <c r="M329" s="2554"/>
      <c r="N329" s="2554"/>
      <c r="O329" s="2554"/>
      <c r="P329" s="2554"/>
      <c r="Q329" s="2554"/>
      <c r="R329" s="2554"/>
      <c r="S329" s="2554"/>
      <c r="T329" s="2554"/>
      <c r="U329" s="2554"/>
      <c r="V329" s="2554"/>
      <c r="W329" s="2554"/>
      <c r="X329" s="2554"/>
      <c r="Y329" s="2554"/>
      <c r="Z329" s="2554"/>
      <c r="AA329" s="2554"/>
      <c r="AB329" s="2554"/>
      <c r="AC329" s="2554"/>
      <c r="AD329" s="2555"/>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554"/>
      <c r="J330" s="2554"/>
      <c r="K330" s="2554"/>
      <c r="L330" s="2554"/>
      <c r="M330" s="2554"/>
      <c r="N330" s="2554"/>
      <c r="O330" s="2554"/>
      <c r="P330" s="2554"/>
      <c r="Q330" s="2554"/>
      <c r="R330" s="2554"/>
      <c r="S330" s="2554"/>
      <c r="T330" s="2554"/>
      <c r="U330" s="2554"/>
      <c r="V330" s="2554"/>
      <c r="W330" s="2554"/>
      <c r="X330" s="2554"/>
      <c r="Y330" s="2554"/>
      <c r="Z330" s="2554"/>
      <c r="AA330" s="2554"/>
      <c r="AB330" s="2554"/>
      <c r="AC330" s="2554"/>
      <c r="AD330" s="2555"/>
      <c r="AE330" s="552"/>
      <c r="AF330" s="552"/>
      <c r="AG330" s="540"/>
      <c r="AH330" s="552"/>
      <c r="AI330" s="552"/>
      <c r="AJ330" s="551"/>
      <c r="AK330" s="551"/>
      <c r="AL330" s="551"/>
      <c r="AM330" s="551"/>
      <c r="AN330" s="73"/>
      <c r="AO330" s="14"/>
      <c r="AP330" s="558" t="s">
        <v>1184</v>
      </c>
    </row>
    <row r="331" spans="1:42" ht="13" hidden="1">
      <c r="A331" s="551"/>
      <c r="B331" s="552"/>
      <c r="C331" s="652"/>
      <c r="D331" s="652"/>
      <c r="E331" s="548"/>
      <c r="F331" s="658"/>
      <c r="G331" s="659"/>
      <c r="H331" s="659"/>
      <c r="I331" s="2556"/>
      <c r="J331" s="2556"/>
      <c r="K331" s="2556"/>
      <c r="L331" s="2556"/>
      <c r="M331" s="2556"/>
      <c r="N331" s="2556"/>
      <c r="O331" s="2556"/>
      <c r="P331" s="2556"/>
      <c r="Q331" s="2556"/>
      <c r="R331" s="2556"/>
      <c r="S331" s="2556"/>
      <c r="T331" s="2556"/>
      <c r="U331" s="2556"/>
      <c r="V331" s="2556"/>
      <c r="W331" s="2556"/>
      <c r="X331" s="2556"/>
      <c r="Y331" s="2556"/>
      <c r="Z331" s="2556"/>
      <c r="AA331" s="2556"/>
      <c r="AB331" s="2556"/>
      <c r="AC331" s="2556"/>
      <c r="AD331" s="2557"/>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35" t="s">
        <v>1392</v>
      </c>
      <c r="B333" s="1635"/>
      <c r="C333" s="2443" t="s">
        <v>592</v>
      </c>
      <c r="D333" s="2443"/>
      <c r="E333" s="548"/>
      <c r="F333" s="2542" t="s">
        <v>2029</v>
      </c>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545"/>
      <c r="G334" s="2546"/>
      <c r="H334" s="2546"/>
      <c r="I334" s="2546"/>
      <c r="J334" s="2546"/>
      <c r="K334" s="2546"/>
      <c r="L334" s="2546"/>
      <c r="M334" s="2546"/>
      <c r="N334" s="2546"/>
      <c r="O334" s="2546"/>
      <c r="P334" s="2546"/>
      <c r="Q334" s="2546"/>
      <c r="R334" s="2546"/>
      <c r="S334" s="2546"/>
      <c r="T334" s="2546"/>
      <c r="U334" s="2546"/>
      <c r="V334" s="2546"/>
      <c r="W334" s="2546"/>
      <c r="X334" s="2546"/>
      <c r="Y334" s="2546"/>
      <c r="Z334" s="2546"/>
      <c r="AA334" s="2546"/>
      <c r="AB334" s="2546"/>
      <c r="AC334" s="2546"/>
      <c r="AD334" s="2547"/>
      <c r="AE334" s="552"/>
      <c r="AF334" s="552"/>
      <c r="AG334" s="552"/>
      <c r="AH334" s="552"/>
      <c r="AI334" s="552"/>
      <c r="AJ334" s="551"/>
      <c r="AK334" s="551"/>
      <c r="AL334" s="551"/>
      <c r="AM334" s="551"/>
      <c r="AN334" s="73"/>
      <c r="AO334" s="14"/>
    </row>
    <row r="335" spans="1:42" ht="15" hidden="1" customHeight="1">
      <c r="A335" s="551"/>
      <c r="B335" s="552"/>
      <c r="C335" s="552"/>
      <c r="D335" s="552"/>
      <c r="E335" s="552"/>
      <c r="F335" s="2545"/>
      <c r="G335" s="2546"/>
      <c r="H335" s="2546"/>
      <c r="I335" s="2546"/>
      <c r="J335" s="2546"/>
      <c r="K335" s="2546"/>
      <c r="L335" s="2546"/>
      <c r="M335" s="2546"/>
      <c r="N335" s="2546"/>
      <c r="O335" s="2546"/>
      <c r="P335" s="2546"/>
      <c r="Q335" s="2546"/>
      <c r="R335" s="2546"/>
      <c r="S335" s="2546"/>
      <c r="T335" s="2546"/>
      <c r="U335" s="2546"/>
      <c r="V335" s="2546"/>
      <c r="W335" s="2546"/>
      <c r="X335" s="2546"/>
      <c r="Y335" s="2546"/>
      <c r="Z335" s="2546"/>
      <c r="AA335" s="2546"/>
      <c r="AB335" s="2546"/>
      <c r="AC335" s="2546"/>
      <c r="AD335" s="2547"/>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429">
        <f>IF(NOT(OR(Application!M355="Yes",Application!M356="Yes")),0,AP295)</f>
        <v>9</v>
      </c>
      <c r="AL338" s="2430"/>
      <c r="AM338" s="2431"/>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846</v>
      </c>
      <c r="C341" s="537"/>
      <c r="AC341" s="540"/>
      <c r="AE341" s="2462" t="s">
        <v>1314</v>
      </c>
      <c r="AF341" s="2462"/>
      <c r="AG341" s="2462"/>
      <c r="AH341" s="2462"/>
      <c r="AI341" s="2462"/>
      <c r="AJ341" s="2462"/>
      <c r="AK341" s="2462"/>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38" t="s">
        <v>1454</v>
      </c>
      <c r="D343" s="2438"/>
      <c r="E343" s="2438"/>
      <c r="F343" s="2438"/>
      <c r="G343" s="2438"/>
      <c r="H343" s="2438"/>
      <c r="I343" s="2438"/>
      <c r="J343" s="2438"/>
      <c r="K343" s="2438"/>
      <c r="L343" s="2438"/>
      <c r="M343" s="2438"/>
      <c r="N343" s="2438"/>
      <c r="O343" s="2438"/>
      <c r="P343" s="2438"/>
      <c r="Q343" s="2438"/>
      <c r="R343" s="2438"/>
      <c r="S343" s="2438"/>
      <c r="T343" s="2438"/>
      <c r="U343" s="2438"/>
      <c r="V343" s="2438"/>
      <c r="W343" s="2438"/>
      <c r="X343" s="2438"/>
      <c r="Y343" s="2438"/>
      <c r="Z343" s="2438"/>
      <c r="AA343" s="2438"/>
      <c r="AB343" s="2438"/>
      <c r="AC343" s="2438"/>
      <c r="AD343" s="2438"/>
      <c r="AE343" s="2438"/>
      <c r="AF343" s="2438"/>
      <c r="AG343" s="2438"/>
      <c r="AH343" s="2438"/>
      <c r="AI343" s="2438"/>
      <c r="AJ343" s="2438"/>
      <c r="AK343" s="604"/>
      <c r="AL343" s="604"/>
      <c r="AM343" s="604"/>
      <c r="AN343" s="598"/>
    </row>
    <row r="344" spans="1:44" s="551" customFormat="1" ht="12.75" customHeight="1">
      <c r="A344" s="604"/>
      <c r="B344" s="612"/>
      <c r="C344" s="2438"/>
      <c r="D344" s="2438"/>
      <c r="E344" s="2438"/>
      <c r="F344" s="2438"/>
      <c r="G344" s="2438"/>
      <c r="H344" s="2438"/>
      <c r="I344" s="2438"/>
      <c r="J344" s="2438"/>
      <c r="K344" s="2438"/>
      <c r="L344" s="2438"/>
      <c r="M344" s="2438"/>
      <c r="N344" s="2438"/>
      <c r="O344" s="2438"/>
      <c r="P344" s="2438"/>
      <c r="Q344" s="2438"/>
      <c r="R344" s="2438"/>
      <c r="S344" s="2438"/>
      <c r="T344" s="2438"/>
      <c r="U344" s="2438"/>
      <c r="V344" s="2438"/>
      <c r="W344" s="2438"/>
      <c r="X344" s="2438"/>
      <c r="Y344" s="2438"/>
      <c r="Z344" s="2438"/>
      <c r="AA344" s="2438"/>
      <c r="AB344" s="2438"/>
      <c r="AC344" s="2438"/>
      <c r="AD344" s="2438"/>
      <c r="AE344" s="2438"/>
      <c r="AF344" s="2438"/>
      <c r="AG344" s="2438"/>
      <c r="AH344" s="2438"/>
      <c r="AI344" s="2438"/>
      <c r="AJ344" s="2438"/>
      <c r="AK344" s="604"/>
      <c r="AL344" s="604"/>
      <c r="AM344" s="604"/>
      <c r="AN344" s="598"/>
    </row>
    <row r="345" spans="1:44" s="551" customFormat="1" ht="12.75" customHeight="1">
      <c r="A345" s="604"/>
      <c r="B345" s="612"/>
      <c r="C345" s="2438"/>
      <c r="D345" s="2438"/>
      <c r="E345" s="2438"/>
      <c r="F345" s="2438"/>
      <c r="G345" s="2438"/>
      <c r="H345" s="2438"/>
      <c r="I345" s="2438"/>
      <c r="J345" s="2438"/>
      <c r="K345" s="2438"/>
      <c r="L345" s="2438"/>
      <c r="M345" s="2438"/>
      <c r="N345" s="2438"/>
      <c r="O345" s="2438"/>
      <c r="P345" s="2438"/>
      <c r="Q345" s="2438"/>
      <c r="R345" s="2438"/>
      <c r="S345" s="2438"/>
      <c r="T345" s="2438"/>
      <c r="U345" s="2438"/>
      <c r="V345" s="2438"/>
      <c r="W345" s="2438"/>
      <c r="X345" s="2438"/>
      <c r="Y345" s="2438"/>
      <c r="Z345" s="2438"/>
      <c r="AA345" s="2438"/>
      <c r="AB345" s="2438"/>
      <c r="AC345" s="2438"/>
      <c r="AD345" s="2438"/>
      <c r="AE345" s="2438"/>
      <c r="AF345" s="2438"/>
      <c r="AG345" s="2438"/>
      <c r="AH345" s="2438"/>
      <c r="AI345" s="2438"/>
      <c r="AJ345" s="2438"/>
      <c r="AK345" s="604"/>
      <c r="AL345" s="604"/>
      <c r="AM345" s="604"/>
      <c r="AN345" s="598"/>
      <c r="AQ345" s="571"/>
    </row>
    <row r="346" spans="1:44" s="551" customFormat="1" ht="12.75" customHeight="1">
      <c r="A346" s="604"/>
      <c r="B346" s="612"/>
      <c r="C346" s="2438"/>
      <c r="D346" s="2438"/>
      <c r="E346" s="2438"/>
      <c r="F346" s="2438"/>
      <c r="G346" s="2438"/>
      <c r="H346" s="2438"/>
      <c r="I346" s="2438"/>
      <c r="J346" s="2438"/>
      <c r="K346" s="2438"/>
      <c r="L346" s="2438"/>
      <c r="M346" s="2438"/>
      <c r="N346" s="2438"/>
      <c r="O346" s="2438"/>
      <c r="P346" s="2438"/>
      <c r="Q346" s="2438"/>
      <c r="R346" s="2438"/>
      <c r="S346" s="2438"/>
      <c r="T346" s="2438"/>
      <c r="U346" s="2438"/>
      <c r="V346" s="2438"/>
      <c r="W346" s="2438"/>
      <c r="X346" s="2438"/>
      <c r="Y346" s="2438"/>
      <c r="Z346" s="2438"/>
      <c r="AA346" s="2438"/>
      <c r="AB346" s="2438"/>
      <c r="AC346" s="2438"/>
      <c r="AD346" s="2438"/>
      <c r="AE346" s="2438"/>
      <c r="AF346" s="2438"/>
      <c r="AG346" s="2438"/>
      <c r="AH346" s="2438"/>
      <c r="AI346" s="2438"/>
      <c r="AJ346" s="2438"/>
      <c r="AK346" s="604"/>
      <c r="AL346" s="604"/>
      <c r="AM346" s="604"/>
      <c r="AN346" s="598"/>
      <c r="AQ346" s="571"/>
    </row>
    <row r="347" spans="1:44" s="551" customFormat="1" ht="12.4" customHeight="1">
      <c r="A347" s="604"/>
      <c r="B347" s="612"/>
      <c r="C347" s="2438"/>
      <c r="D347" s="2438"/>
      <c r="E347" s="2438"/>
      <c r="F347" s="2438"/>
      <c r="G347" s="2438"/>
      <c r="H347" s="2438"/>
      <c r="I347" s="2438"/>
      <c r="J347" s="2438"/>
      <c r="K347" s="2438"/>
      <c r="L347" s="2438"/>
      <c r="M347" s="2438"/>
      <c r="N347" s="2438"/>
      <c r="O347" s="2438"/>
      <c r="P347" s="2438"/>
      <c r="Q347" s="2438"/>
      <c r="R347" s="2438"/>
      <c r="S347" s="2438"/>
      <c r="T347" s="2438"/>
      <c r="U347" s="2438"/>
      <c r="V347" s="2438"/>
      <c r="W347" s="2438"/>
      <c r="X347" s="2438"/>
      <c r="Y347" s="2438"/>
      <c r="Z347" s="2438"/>
      <c r="AA347" s="2438"/>
      <c r="AB347" s="2438"/>
      <c r="AC347" s="2438"/>
      <c r="AD347" s="2438"/>
      <c r="AE347" s="2438"/>
      <c r="AF347" s="2438"/>
      <c r="AG347" s="2438"/>
      <c r="AH347" s="2438"/>
      <c r="AI347" s="2438"/>
      <c r="AJ347" s="2438"/>
      <c r="AK347" s="604"/>
      <c r="AL347" s="604"/>
      <c r="AM347" s="604"/>
      <c r="AN347" s="598"/>
      <c r="AQ347" s="571"/>
      <c r="AR347" s="571"/>
    </row>
    <row r="348" spans="1:44" s="551" customFormat="1" ht="45.75" customHeight="1">
      <c r="A348" s="604"/>
      <c r="B348" s="612"/>
      <c r="C348" s="2438" t="s">
        <v>2094</v>
      </c>
      <c r="D348" s="2438"/>
      <c r="E348" s="2438"/>
      <c r="F348" s="2438"/>
      <c r="G348" s="2438"/>
      <c r="H348" s="2438"/>
      <c r="I348" s="2438"/>
      <c r="J348" s="2438"/>
      <c r="K348" s="2438"/>
      <c r="L348" s="2438"/>
      <c r="M348" s="2438"/>
      <c r="N348" s="2438"/>
      <c r="O348" s="2438"/>
      <c r="P348" s="2438"/>
      <c r="Q348" s="2438"/>
      <c r="R348" s="2438"/>
      <c r="S348" s="2438"/>
      <c r="T348" s="2438"/>
      <c r="U348" s="2438"/>
      <c r="V348" s="2438"/>
      <c r="W348" s="2438"/>
      <c r="X348" s="2438"/>
      <c r="Y348" s="2438"/>
      <c r="Z348" s="2438"/>
      <c r="AA348" s="2438"/>
      <c r="AB348" s="2438"/>
      <c r="AC348" s="2438"/>
      <c r="AD348" s="2438"/>
      <c r="AE348" s="2438"/>
      <c r="AF348" s="2438"/>
      <c r="AG348" s="2438"/>
      <c r="AH348" s="2438"/>
      <c r="AI348" s="2438"/>
      <c r="AJ348" s="2438"/>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38" t="s">
        <v>2209</v>
      </c>
      <c r="D350" s="2438"/>
      <c r="E350" s="2438"/>
      <c r="F350" s="2438"/>
      <c r="G350" s="2438"/>
      <c r="H350" s="2438"/>
      <c r="I350" s="2438"/>
      <c r="J350" s="2438"/>
      <c r="K350" s="2438"/>
      <c r="L350" s="2438"/>
      <c r="M350" s="2438"/>
      <c r="N350" s="2438"/>
      <c r="O350" s="2438"/>
      <c r="P350" s="2438"/>
      <c r="Q350" s="2438"/>
      <c r="R350" s="2438"/>
      <c r="S350" s="2438"/>
      <c r="T350" s="2438"/>
      <c r="U350" s="2438"/>
      <c r="V350" s="2438"/>
      <c r="W350" s="2438"/>
      <c r="X350" s="2438"/>
      <c r="Y350" s="2438"/>
      <c r="Z350" s="2438"/>
      <c r="AA350" s="2438"/>
      <c r="AB350" s="2438"/>
      <c r="AC350" s="2438"/>
      <c r="AD350" s="2438"/>
      <c r="AE350" s="2438"/>
      <c r="AF350" s="2438"/>
      <c r="AG350" s="2438"/>
      <c r="AH350" s="2438"/>
      <c r="AI350" s="2438"/>
      <c r="AJ350" s="2438"/>
      <c r="AK350" s="604"/>
      <c r="AL350" s="604"/>
      <c r="AM350" s="604"/>
      <c r="AN350" s="598"/>
      <c r="AQ350" s="571"/>
      <c r="AR350" s="571"/>
    </row>
    <row r="351" spans="1:44" s="551" customFormat="1" ht="30" customHeight="1">
      <c r="A351" s="604"/>
      <c r="B351" s="612"/>
      <c r="C351" s="2438"/>
      <c r="D351" s="2438"/>
      <c r="E351" s="2438"/>
      <c r="F351" s="2438"/>
      <c r="G351" s="2438"/>
      <c r="H351" s="2438"/>
      <c r="I351" s="2438"/>
      <c r="J351" s="2438"/>
      <c r="K351" s="2438"/>
      <c r="L351" s="2438"/>
      <c r="M351" s="2438"/>
      <c r="N351" s="2438"/>
      <c r="O351" s="2438"/>
      <c r="P351" s="2438"/>
      <c r="Q351" s="2438"/>
      <c r="R351" s="2438"/>
      <c r="S351" s="2438"/>
      <c r="T351" s="2438"/>
      <c r="U351" s="2438"/>
      <c r="V351" s="2438"/>
      <c r="W351" s="2438"/>
      <c r="X351" s="2438"/>
      <c r="Y351" s="2438"/>
      <c r="Z351" s="2438"/>
      <c r="AA351" s="2438"/>
      <c r="AB351" s="2438"/>
      <c r="AC351" s="2438"/>
      <c r="AD351" s="2438"/>
      <c r="AE351" s="2438"/>
      <c r="AF351" s="2438"/>
      <c r="AG351" s="2438"/>
      <c r="AH351" s="2438"/>
      <c r="AI351" s="2438"/>
      <c r="AJ351" s="2438"/>
      <c r="AK351" s="604"/>
      <c r="AL351" s="604"/>
      <c r="AM351" s="604"/>
      <c r="AN351" s="598"/>
      <c r="AR351" s="571"/>
    </row>
    <row r="352" spans="1:44" s="551" customFormat="1" ht="12.75" customHeight="1">
      <c r="A352" s="604"/>
      <c r="B352" s="612"/>
      <c r="C352" s="2438"/>
      <c r="D352" s="2438"/>
      <c r="E352" s="2438"/>
      <c r="F352" s="2438"/>
      <c r="G352" s="2438"/>
      <c r="H352" s="2438"/>
      <c r="I352" s="2438"/>
      <c r="J352" s="2438"/>
      <c r="K352" s="2438"/>
      <c r="L352" s="2438"/>
      <c r="M352" s="2438"/>
      <c r="N352" s="2438"/>
      <c r="O352" s="2438"/>
      <c r="P352" s="2438"/>
      <c r="Q352" s="2438"/>
      <c r="R352" s="2438"/>
      <c r="S352" s="2438"/>
      <c r="T352" s="2438"/>
      <c r="U352" s="2438"/>
      <c r="V352" s="2438"/>
      <c r="W352" s="2438"/>
      <c r="X352" s="2438"/>
      <c r="Y352" s="2438"/>
      <c r="Z352" s="2438"/>
      <c r="AA352" s="2438"/>
      <c r="AB352" s="2438"/>
      <c r="AC352" s="2438"/>
      <c r="AD352" s="2438"/>
      <c r="AE352" s="2438"/>
      <c r="AF352" s="2438"/>
      <c r="AG352" s="2438"/>
      <c r="AH352" s="2438"/>
      <c r="AI352" s="2438"/>
      <c r="AJ352" s="2438"/>
      <c r="AK352" s="604"/>
      <c r="AL352" s="604"/>
      <c r="AM352" s="604"/>
      <c r="AN352" s="598"/>
      <c r="AR352" s="571"/>
    </row>
    <row r="353" spans="1:46" s="551" customFormat="1" ht="12.75" customHeight="1">
      <c r="A353" s="604"/>
      <c r="B353" s="612"/>
      <c r="C353" s="2438" t="s">
        <v>1455</v>
      </c>
      <c r="D353" s="2438"/>
      <c r="E353" s="2438"/>
      <c r="F353" s="2438"/>
      <c r="G353" s="2438"/>
      <c r="H353" s="2438"/>
      <c r="I353" s="2438"/>
      <c r="J353" s="2438"/>
      <c r="K353" s="2438"/>
      <c r="L353" s="2438"/>
      <c r="M353" s="2438"/>
      <c r="N353" s="2438"/>
      <c r="O353" s="2438"/>
      <c r="P353" s="2438"/>
      <c r="Q353" s="2438"/>
      <c r="R353" s="2438"/>
      <c r="S353" s="2438"/>
      <c r="T353" s="2438"/>
      <c r="U353" s="2438"/>
      <c r="V353" s="2438"/>
      <c r="W353" s="2438"/>
      <c r="X353" s="2438"/>
      <c r="Y353" s="2438"/>
      <c r="Z353" s="2438"/>
      <c r="AA353" s="2438"/>
      <c r="AB353" s="2438"/>
      <c r="AC353" s="2438"/>
      <c r="AD353" s="2438"/>
      <c r="AE353" s="2438"/>
      <c r="AF353" s="2438"/>
      <c r="AG353" s="2438"/>
      <c r="AH353" s="2438"/>
      <c r="AI353" s="2438"/>
      <c r="AJ353" s="2438"/>
      <c r="AK353" s="604"/>
      <c r="AL353" s="604"/>
      <c r="AM353" s="604"/>
      <c r="AN353" s="598"/>
      <c r="AQ353" s="571"/>
      <c r="AR353" s="571"/>
    </row>
    <row r="354" spans="1:46" s="551" customFormat="1" ht="12.75" customHeight="1">
      <c r="A354" s="604"/>
      <c r="B354" s="612"/>
      <c r="C354" s="2438"/>
      <c r="D354" s="2438"/>
      <c r="E354" s="2438"/>
      <c r="F354" s="2438"/>
      <c r="G354" s="2438"/>
      <c r="H354" s="2438"/>
      <c r="I354" s="2438"/>
      <c r="J354" s="2438"/>
      <c r="K354" s="2438"/>
      <c r="L354" s="2438"/>
      <c r="M354" s="2438"/>
      <c r="N354" s="2438"/>
      <c r="O354" s="2438"/>
      <c r="P354" s="2438"/>
      <c r="Q354" s="2438"/>
      <c r="R354" s="2438"/>
      <c r="S354" s="2438"/>
      <c r="T354" s="2438"/>
      <c r="U354" s="2438"/>
      <c r="V354" s="2438"/>
      <c r="W354" s="2438"/>
      <c r="X354" s="2438"/>
      <c r="Y354" s="2438"/>
      <c r="Z354" s="2438"/>
      <c r="AA354" s="2438"/>
      <c r="AB354" s="2438"/>
      <c r="AC354" s="2438"/>
      <c r="AD354" s="2438"/>
      <c r="AE354" s="2438"/>
      <c r="AF354" s="2438"/>
      <c r="AG354" s="2438"/>
      <c r="AH354" s="2438"/>
      <c r="AI354" s="2438"/>
      <c r="AJ354" s="2438"/>
      <c r="AK354" s="604"/>
      <c r="AL354" s="604"/>
      <c r="AM354" s="604"/>
      <c r="AN354" s="598"/>
      <c r="AQ354" s="571"/>
      <c r="AR354" s="571"/>
    </row>
    <row r="355" spans="1:46" s="551" customFormat="1" ht="13.15" customHeight="1">
      <c r="A355" s="604"/>
      <c r="B355" s="612"/>
      <c r="C355" s="2438"/>
      <c r="D355" s="2438"/>
      <c r="E355" s="2438"/>
      <c r="F355" s="2438"/>
      <c r="G355" s="2438"/>
      <c r="H355" s="2438"/>
      <c r="I355" s="2438"/>
      <c r="J355" s="2438"/>
      <c r="K355" s="2438"/>
      <c r="L355" s="2438"/>
      <c r="M355" s="2438"/>
      <c r="N355" s="2438"/>
      <c r="O355" s="2438"/>
      <c r="P355" s="2438"/>
      <c r="Q355" s="2438"/>
      <c r="R355" s="2438"/>
      <c r="S355" s="2438"/>
      <c r="T355" s="2438"/>
      <c r="U355" s="2438"/>
      <c r="V355" s="2438"/>
      <c r="W355" s="2438"/>
      <c r="X355" s="2438"/>
      <c r="Y355" s="2438"/>
      <c r="Z355" s="2438"/>
      <c r="AA355" s="2438"/>
      <c r="AB355" s="2438"/>
      <c r="AC355" s="2438"/>
      <c r="AD355" s="2438"/>
      <c r="AE355" s="2438"/>
      <c r="AF355" s="2438"/>
      <c r="AG355" s="2438"/>
      <c r="AH355" s="2438"/>
      <c r="AI355" s="2438"/>
      <c r="AJ355" s="2438"/>
      <c r="AK355" s="604"/>
      <c r="AL355" s="604"/>
      <c r="AM355" s="604"/>
      <c r="AN355" s="598"/>
      <c r="AQ355" s="571"/>
      <c r="AR355" s="571"/>
    </row>
    <row r="356" spans="1:46" s="551" customFormat="1" ht="12.75" customHeight="1">
      <c r="A356" s="604"/>
      <c r="B356" s="612"/>
      <c r="C356" s="2438"/>
      <c r="D356" s="2438"/>
      <c r="E356" s="2438"/>
      <c r="F356" s="2438"/>
      <c r="G356" s="2438"/>
      <c r="H356" s="2438"/>
      <c r="I356" s="2438"/>
      <c r="J356" s="2438"/>
      <c r="K356" s="2438"/>
      <c r="L356" s="2438"/>
      <c r="M356" s="2438"/>
      <c r="N356" s="2438"/>
      <c r="O356" s="2438"/>
      <c r="P356" s="2438"/>
      <c r="Q356" s="2438"/>
      <c r="R356" s="2438"/>
      <c r="S356" s="2438"/>
      <c r="T356" s="2438"/>
      <c r="U356" s="2438"/>
      <c r="V356" s="2438"/>
      <c r="W356" s="2438"/>
      <c r="X356" s="2438"/>
      <c r="Y356" s="2438"/>
      <c r="Z356" s="2438"/>
      <c r="AA356" s="2438"/>
      <c r="AB356" s="2438"/>
      <c r="AC356" s="2438"/>
      <c r="AD356" s="2438"/>
      <c r="AE356" s="2438"/>
      <c r="AF356" s="2438"/>
      <c r="AG356" s="2438"/>
      <c r="AH356" s="2438"/>
      <c r="AI356" s="2438"/>
      <c r="AJ356" s="2438"/>
      <c r="AK356" s="604"/>
      <c r="AL356" s="604"/>
      <c r="AM356" s="604"/>
      <c r="AN356" s="598"/>
      <c r="AO356" s="695"/>
      <c r="AP356" s="695"/>
      <c r="AQ356" s="571"/>
    </row>
    <row r="357" spans="1:46" s="551" customFormat="1" ht="11.9" customHeight="1">
      <c r="A357" s="604"/>
      <c r="B357" s="612"/>
      <c r="C357" s="2438"/>
      <c r="D357" s="2438"/>
      <c r="E357" s="2438"/>
      <c r="F357" s="2438"/>
      <c r="G357" s="2438"/>
      <c r="H357" s="2438"/>
      <c r="I357" s="2438"/>
      <c r="J357" s="2438"/>
      <c r="K357" s="2438"/>
      <c r="L357" s="2438"/>
      <c r="M357" s="2438"/>
      <c r="N357" s="2438"/>
      <c r="O357" s="2438"/>
      <c r="P357" s="2438"/>
      <c r="Q357" s="2438"/>
      <c r="R357" s="2438"/>
      <c r="S357" s="2438"/>
      <c r="T357" s="2438"/>
      <c r="U357" s="2438"/>
      <c r="V357" s="2438"/>
      <c r="W357" s="2438"/>
      <c r="X357" s="2438"/>
      <c r="Y357" s="2438"/>
      <c r="Z357" s="2438"/>
      <c r="AA357" s="2438"/>
      <c r="AB357" s="2438"/>
      <c r="AC357" s="2438"/>
      <c r="AD357" s="2438"/>
      <c r="AE357" s="2438"/>
      <c r="AF357" s="2438"/>
      <c r="AG357" s="2438"/>
      <c r="AH357" s="2438"/>
      <c r="AI357" s="2438"/>
      <c r="AJ357" s="2438"/>
      <c r="AK357" s="604"/>
      <c r="AL357" s="604"/>
      <c r="AM357" s="604"/>
      <c r="AN357" s="598"/>
      <c r="AO357" s="696" t="s">
        <v>112</v>
      </c>
      <c r="AP357" s="697">
        <f>IF(C381="Yes",5,0)</f>
        <v>0</v>
      </c>
      <c r="AS357" s="540" t="s">
        <v>1456</v>
      </c>
    </row>
    <row r="358" spans="1:46" s="551" customFormat="1" ht="12.75" customHeight="1">
      <c r="A358" s="604"/>
      <c r="B358" s="612"/>
      <c r="C358" s="2438"/>
      <c r="D358" s="2438"/>
      <c r="E358" s="2438"/>
      <c r="F358" s="2438"/>
      <c r="G358" s="2438"/>
      <c r="H358" s="2438"/>
      <c r="I358" s="2438"/>
      <c r="J358" s="2438"/>
      <c r="K358" s="2438"/>
      <c r="L358" s="2438"/>
      <c r="M358" s="2438"/>
      <c r="N358" s="2438"/>
      <c r="O358" s="2438"/>
      <c r="P358" s="2438"/>
      <c r="Q358" s="2438"/>
      <c r="R358" s="2438"/>
      <c r="S358" s="2438"/>
      <c r="T358" s="2438"/>
      <c r="U358" s="2438"/>
      <c r="V358" s="2438"/>
      <c r="W358" s="2438"/>
      <c r="X358" s="2438"/>
      <c r="Y358" s="2438"/>
      <c r="Z358" s="2438"/>
      <c r="AA358" s="2438"/>
      <c r="AB358" s="2438"/>
      <c r="AC358" s="2438"/>
      <c r="AD358" s="2438"/>
      <c r="AE358" s="2438"/>
      <c r="AF358" s="2438"/>
      <c r="AG358" s="2438"/>
      <c r="AH358" s="2438"/>
      <c r="AI358" s="2438"/>
      <c r="AJ358" s="2438"/>
      <c r="AK358" s="604"/>
      <c r="AL358" s="604"/>
      <c r="AM358" s="604"/>
      <c r="AN358" s="598"/>
      <c r="AO358" s="696" t="s">
        <v>113</v>
      </c>
      <c r="AP358" s="697">
        <f>IF(C389="Yes",5,0)</f>
        <v>0</v>
      </c>
      <c r="AS358" s="2404">
        <f>IF(Application!D211="Non-Targeted",(SUM(AQ366+AQ375)),AS362)</f>
        <v>10</v>
      </c>
      <c r="AT358" s="2404"/>
    </row>
    <row r="359" spans="1:46" s="551" customFormat="1" ht="12.75" customHeight="1">
      <c r="A359" s="604"/>
      <c r="B359" s="612"/>
      <c r="C359" s="2438"/>
      <c r="D359" s="2438"/>
      <c r="E359" s="2438"/>
      <c r="F359" s="2438"/>
      <c r="G359" s="2438"/>
      <c r="H359" s="2438"/>
      <c r="I359" s="2438"/>
      <c r="J359" s="2438"/>
      <c r="K359" s="2438"/>
      <c r="L359" s="2438"/>
      <c r="M359" s="2438"/>
      <c r="N359" s="2438"/>
      <c r="O359" s="2438"/>
      <c r="P359" s="2438"/>
      <c r="Q359" s="2438"/>
      <c r="R359" s="2438"/>
      <c r="S359" s="2438"/>
      <c r="T359" s="2438"/>
      <c r="U359" s="2438"/>
      <c r="V359" s="2438"/>
      <c r="W359" s="2438"/>
      <c r="X359" s="2438"/>
      <c r="Y359" s="2438"/>
      <c r="Z359" s="2438"/>
      <c r="AA359" s="2438"/>
      <c r="AB359" s="2438"/>
      <c r="AC359" s="2438"/>
      <c r="AD359" s="2438"/>
      <c r="AE359" s="2438"/>
      <c r="AF359" s="2438"/>
      <c r="AG359" s="2438"/>
      <c r="AH359" s="2438"/>
      <c r="AI359" s="2438"/>
      <c r="AJ359" s="2438"/>
      <c r="AK359" s="604"/>
      <c r="AL359" s="604"/>
      <c r="AM359" s="604"/>
      <c r="AN359" s="598"/>
      <c r="AO359" s="696" t="s">
        <v>119</v>
      </c>
      <c r="AP359" s="697">
        <f>IF(C397="Yes",7,0)</f>
        <v>7</v>
      </c>
      <c r="AS359" s="540" t="s">
        <v>1457</v>
      </c>
    </row>
    <row r="360" spans="1:46" s="551" customFormat="1" ht="12.75" customHeight="1">
      <c r="A360" s="604"/>
      <c r="B360" s="612"/>
      <c r="C360" s="2438"/>
      <c r="D360" s="2438"/>
      <c r="E360" s="2438"/>
      <c r="F360" s="2438"/>
      <c r="G360" s="2438"/>
      <c r="H360" s="2438"/>
      <c r="I360" s="2438"/>
      <c r="J360" s="2438"/>
      <c r="K360" s="2438"/>
      <c r="L360" s="2438"/>
      <c r="M360" s="2438"/>
      <c r="N360" s="2438"/>
      <c r="O360" s="2438"/>
      <c r="P360" s="2438"/>
      <c r="Q360" s="2438"/>
      <c r="R360" s="2438"/>
      <c r="S360" s="2438"/>
      <c r="T360" s="2438"/>
      <c r="U360" s="2438"/>
      <c r="V360" s="2438"/>
      <c r="W360" s="2438"/>
      <c r="X360" s="2438"/>
      <c r="Y360" s="2438"/>
      <c r="Z360" s="2438"/>
      <c r="AA360" s="2438"/>
      <c r="AB360" s="2438"/>
      <c r="AC360" s="2438"/>
      <c r="AD360" s="2438"/>
      <c r="AE360" s="2438"/>
      <c r="AF360" s="2438"/>
      <c r="AG360" s="2438"/>
      <c r="AH360" s="2438"/>
      <c r="AI360" s="2438"/>
      <c r="AJ360" s="2438"/>
      <c r="AK360" s="604"/>
      <c r="AL360" s="604"/>
      <c r="AM360" s="604"/>
      <c r="AN360" s="598"/>
      <c r="AO360" s="598"/>
      <c r="AP360" s="697">
        <f>IF(C399="Yes",5,0)</f>
        <v>0</v>
      </c>
      <c r="AS360" s="2404">
        <f>IF(AND(AQ366&gt;0,AQ375&gt;0),(AQ366+AQ375)/2,0)</f>
        <v>0</v>
      </c>
      <c r="AT360" s="2404"/>
    </row>
    <row r="361" spans="1:46" s="551" customFormat="1" ht="12.75" customHeight="1">
      <c r="A361" s="604"/>
      <c r="B361" s="612"/>
      <c r="C361" s="2438"/>
      <c r="D361" s="2438"/>
      <c r="E361" s="2438"/>
      <c r="F361" s="2438"/>
      <c r="G361" s="2438"/>
      <c r="H361" s="2438"/>
      <c r="I361" s="2438"/>
      <c r="J361" s="2438"/>
      <c r="K361" s="2438"/>
      <c r="L361" s="2438"/>
      <c r="M361" s="2438"/>
      <c r="N361" s="2438"/>
      <c r="O361" s="2438"/>
      <c r="P361" s="2438"/>
      <c r="Q361" s="2438"/>
      <c r="R361" s="2438"/>
      <c r="S361" s="2438"/>
      <c r="T361" s="2438"/>
      <c r="U361" s="2438"/>
      <c r="V361" s="2438"/>
      <c r="W361" s="2438"/>
      <c r="X361" s="2438"/>
      <c r="Y361" s="2438"/>
      <c r="Z361" s="2438"/>
      <c r="AA361" s="2438"/>
      <c r="AB361" s="2438"/>
      <c r="AC361" s="2438"/>
      <c r="AD361" s="2438"/>
      <c r="AE361" s="2438"/>
      <c r="AF361" s="2438"/>
      <c r="AG361" s="2438"/>
      <c r="AH361" s="2438"/>
      <c r="AI361" s="2438"/>
      <c r="AJ361" s="2438"/>
      <c r="AK361" s="604"/>
      <c r="AL361" s="604"/>
      <c r="AM361" s="604"/>
      <c r="AN361" s="598"/>
      <c r="AO361" s="696" t="s">
        <v>582</v>
      </c>
      <c r="AP361" s="697">
        <f>IF(C407="Yes",5,0)</f>
        <v>0</v>
      </c>
      <c r="AS361" s="540" t="s">
        <v>1879</v>
      </c>
    </row>
    <row r="362" spans="1:46" s="551" customFormat="1" ht="12.75" customHeight="1">
      <c r="A362" s="604"/>
      <c r="B362" s="612"/>
      <c r="C362" s="2532" t="s">
        <v>2235</v>
      </c>
      <c r="D362" s="2532"/>
      <c r="E362" s="2532"/>
      <c r="F362" s="2532"/>
      <c r="G362" s="2532"/>
      <c r="H362" s="2532"/>
      <c r="I362" s="2532"/>
      <c r="J362" s="2532"/>
      <c r="K362" s="2532"/>
      <c r="L362" s="2532"/>
      <c r="M362" s="2532"/>
      <c r="N362" s="2532"/>
      <c r="O362" s="2532"/>
      <c r="P362" s="2532"/>
      <c r="Q362" s="2532"/>
      <c r="R362" s="2532"/>
      <c r="S362" s="2532"/>
      <c r="T362" s="2532"/>
      <c r="U362" s="2532"/>
      <c r="V362" s="2532"/>
      <c r="W362" s="2532"/>
      <c r="X362" s="2532"/>
      <c r="Y362" s="2532"/>
      <c r="Z362" s="2532"/>
      <c r="AA362" s="2532"/>
      <c r="AB362" s="2532"/>
      <c r="AC362" s="2532"/>
      <c r="AD362" s="2532"/>
      <c r="AE362" s="2532"/>
      <c r="AF362" s="2532"/>
      <c r="AG362" s="2532"/>
      <c r="AH362" s="2532"/>
      <c r="AI362" s="2532"/>
      <c r="AJ362" s="2532"/>
      <c r="AK362" s="604"/>
      <c r="AL362" s="604"/>
      <c r="AM362" s="604"/>
      <c r="AN362" s="598"/>
      <c r="AO362" s="598"/>
      <c r="AP362" s="697">
        <f>IF(C409="Yes",3,0)</f>
        <v>3</v>
      </c>
      <c r="AS362" s="2404">
        <f>IF(AQ366=0,AQ375,AQ366)</f>
        <v>10</v>
      </c>
      <c r="AT362" s="2404"/>
    </row>
    <row r="363" spans="1:46" s="551" customFormat="1" ht="12.75" customHeight="1">
      <c r="A363" s="604"/>
      <c r="B363" s="612"/>
      <c r="C363" s="2532"/>
      <c r="D363" s="2532"/>
      <c r="E363" s="2532"/>
      <c r="F363" s="2532"/>
      <c r="G363" s="2532"/>
      <c r="H363" s="2532"/>
      <c r="I363" s="2532"/>
      <c r="J363" s="2532"/>
      <c r="K363" s="2532"/>
      <c r="L363" s="2532"/>
      <c r="M363" s="2532"/>
      <c r="N363" s="2532"/>
      <c r="O363" s="2532"/>
      <c r="P363" s="2532"/>
      <c r="Q363" s="2532"/>
      <c r="R363" s="2532"/>
      <c r="S363" s="2532"/>
      <c r="T363" s="2532"/>
      <c r="U363" s="2532"/>
      <c r="V363" s="2532"/>
      <c r="W363" s="2532"/>
      <c r="X363" s="2532"/>
      <c r="Y363" s="2532"/>
      <c r="Z363" s="2532"/>
      <c r="AA363" s="2532"/>
      <c r="AB363" s="2532"/>
      <c r="AC363" s="2532"/>
      <c r="AD363" s="2532"/>
      <c r="AE363" s="2532"/>
      <c r="AF363" s="2532"/>
      <c r="AG363" s="2532"/>
      <c r="AH363" s="2532"/>
      <c r="AI363" s="2532"/>
      <c r="AJ363" s="2532"/>
      <c r="AK363" s="604"/>
      <c r="AL363" s="604"/>
      <c r="AM363" s="604"/>
      <c r="AN363" s="598"/>
      <c r="AO363" s="696" t="s">
        <v>764</v>
      </c>
      <c r="AP363" s="697">
        <f>IF(C412="Yes",5,0)</f>
        <v>0</v>
      </c>
    </row>
    <row r="364" spans="1:46" s="551" customFormat="1" ht="12.75" customHeight="1">
      <c r="A364" s="604"/>
      <c r="B364" s="612"/>
      <c r="C364" s="2532"/>
      <c r="D364" s="2532"/>
      <c r="E364" s="2532"/>
      <c r="F364" s="2532"/>
      <c r="G364" s="2532"/>
      <c r="H364" s="2532"/>
      <c r="I364" s="2532"/>
      <c r="J364" s="2532"/>
      <c r="K364" s="2532"/>
      <c r="L364" s="2532"/>
      <c r="M364" s="2532"/>
      <c r="N364" s="2532"/>
      <c r="O364" s="2532"/>
      <c r="P364" s="2532"/>
      <c r="Q364" s="2532"/>
      <c r="R364" s="2532"/>
      <c r="S364" s="2532"/>
      <c r="T364" s="2532"/>
      <c r="U364" s="2532"/>
      <c r="V364" s="2532"/>
      <c r="W364" s="2532"/>
      <c r="X364" s="2532"/>
      <c r="Y364" s="2532"/>
      <c r="Z364" s="2532"/>
      <c r="AA364" s="2532"/>
      <c r="AB364" s="2532"/>
      <c r="AC364" s="2532"/>
      <c r="AD364" s="2532"/>
      <c r="AE364" s="2532"/>
      <c r="AF364" s="2532"/>
      <c r="AG364" s="2532"/>
      <c r="AH364" s="2532"/>
      <c r="AI364" s="2532"/>
      <c r="AJ364" s="2532"/>
      <c r="AK364" s="604"/>
      <c r="AL364" s="604"/>
      <c r="AM364" s="604"/>
      <c r="AN364" s="598"/>
      <c r="AO364" s="696" t="s">
        <v>585</v>
      </c>
      <c r="AP364" s="697">
        <f>IF(C421="Yes",5,0)</f>
        <v>0</v>
      </c>
    </row>
    <row r="365" spans="1:46" s="551" customFormat="1" ht="11.9" customHeight="1">
      <c r="A365" s="604"/>
      <c r="B365" s="612"/>
      <c r="C365" s="2532"/>
      <c r="D365" s="2532"/>
      <c r="E365" s="2532"/>
      <c r="F365" s="2532"/>
      <c r="G365" s="2532"/>
      <c r="H365" s="2532"/>
      <c r="I365" s="2532"/>
      <c r="J365" s="2532"/>
      <c r="K365" s="2532"/>
      <c r="L365" s="2532"/>
      <c r="M365" s="2532"/>
      <c r="N365" s="2532"/>
      <c r="O365" s="2532"/>
      <c r="P365" s="2532"/>
      <c r="Q365" s="2532"/>
      <c r="R365" s="2532"/>
      <c r="S365" s="2532"/>
      <c r="T365" s="2532"/>
      <c r="U365" s="2532"/>
      <c r="V365" s="2532"/>
      <c r="W365" s="2532"/>
      <c r="X365" s="2532"/>
      <c r="Y365" s="2532"/>
      <c r="Z365" s="2532"/>
      <c r="AA365" s="2532"/>
      <c r="AB365" s="2532"/>
      <c r="AC365" s="2532"/>
      <c r="AD365" s="2532"/>
      <c r="AE365" s="2532"/>
      <c r="AF365" s="2532"/>
      <c r="AG365" s="2532"/>
      <c r="AH365" s="2532"/>
      <c r="AI365" s="2532"/>
      <c r="AJ365" s="2532"/>
      <c r="AK365" s="604"/>
      <c r="AL365" s="604"/>
      <c r="AM365" s="604"/>
      <c r="AN365" s="598"/>
      <c r="AO365" s="698"/>
      <c r="AP365" s="699">
        <f>IF(C423="Yes",3,0)</f>
        <v>0</v>
      </c>
    </row>
    <row r="366" spans="1:46" s="551" customFormat="1" ht="12.4" customHeight="1">
      <c r="A366" s="604"/>
      <c r="B366" s="612"/>
      <c r="C366" s="2532"/>
      <c r="D366" s="2532"/>
      <c r="E366" s="2532"/>
      <c r="F366" s="2532"/>
      <c r="G366" s="2532"/>
      <c r="H366" s="2532"/>
      <c r="I366" s="2532"/>
      <c r="J366" s="2532"/>
      <c r="K366" s="2532"/>
      <c r="L366" s="2532"/>
      <c r="M366" s="2532"/>
      <c r="N366" s="2532"/>
      <c r="O366" s="2532"/>
      <c r="P366" s="2532"/>
      <c r="Q366" s="2532"/>
      <c r="R366" s="2532"/>
      <c r="S366" s="2532"/>
      <c r="T366" s="2532"/>
      <c r="U366" s="2532"/>
      <c r="V366" s="2532"/>
      <c r="W366" s="2532"/>
      <c r="X366" s="2532"/>
      <c r="Y366" s="2532"/>
      <c r="Z366" s="2532"/>
      <c r="AA366" s="2532"/>
      <c r="AB366" s="2532"/>
      <c r="AC366" s="2532"/>
      <c r="AD366" s="2532"/>
      <c r="AE366" s="2532"/>
      <c r="AF366" s="2532"/>
      <c r="AG366" s="2532"/>
      <c r="AH366" s="2532"/>
      <c r="AI366" s="2532"/>
      <c r="AJ366" s="2532"/>
      <c r="AK366" s="604"/>
      <c r="AL366" s="604"/>
      <c r="AM366" s="604"/>
      <c r="AN366" s="598"/>
      <c r="AO366" s="700" t="s">
        <v>227</v>
      </c>
      <c r="AP366" s="701">
        <f>SUM(AP357:AP365)</f>
        <v>10</v>
      </c>
      <c r="AQ366" s="2441">
        <f>IF(AP366&gt;0,AP366,0)</f>
        <v>10</v>
      </c>
      <c r="AR366" s="2441"/>
    </row>
    <row r="367" spans="1:46" s="551" customFormat="1" ht="12.75" customHeight="1">
      <c r="A367" s="604"/>
      <c r="B367" s="612"/>
      <c r="C367" s="2532"/>
      <c r="D367" s="2532"/>
      <c r="E367" s="2532"/>
      <c r="F367" s="2532"/>
      <c r="G367" s="2532"/>
      <c r="H367" s="2532"/>
      <c r="I367" s="2532"/>
      <c r="J367" s="2532"/>
      <c r="K367" s="2532"/>
      <c r="L367" s="2532"/>
      <c r="M367" s="2532"/>
      <c r="N367" s="2532"/>
      <c r="O367" s="2532"/>
      <c r="P367" s="2532"/>
      <c r="Q367" s="2532"/>
      <c r="R367" s="2532"/>
      <c r="S367" s="2532"/>
      <c r="T367" s="2532"/>
      <c r="U367" s="2532"/>
      <c r="V367" s="2532"/>
      <c r="W367" s="2532"/>
      <c r="X367" s="2532"/>
      <c r="Y367" s="2532"/>
      <c r="Z367" s="2532"/>
      <c r="AA367" s="2532"/>
      <c r="AB367" s="2532"/>
      <c r="AC367" s="2532"/>
      <c r="AD367" s="2532"/>
      <c r="AE367" s="2532"/>
      <c r="AF367" s="2532"/>
      <c r="AG367" s="2532"/>
      <c r="AH367" s="2532"/>
      <c r="AI367" s="2532"/>
      <c r="AJ367" s="2532"/>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438" t="s">
        <v>1458</v>
      </c>
      <c r="D369" s="2438"/>
      <c r="E369" s="2438"/>
      <c r="F369" s="2438"/>
      <c r="G369" s="2438"/>
      <c r="H369" s="2438"/>
      <c r="I369" s="2438"/>
      <c r="J369" s="2438"/>
      <c r="K369" s="2438"/>
      <c r="L369" s="2438"/>
      <c r="M369" s="2438"/>
      <c r="N369" s="2438"/>
      <c r="O369" s="2438"/>
      <c r="P369" s="2438"/>
      <c r="Q369" s="2438"/>
      <c r="R369" s="2438"/>
      <c r="S369" s="2438"/>
      <c r="T369" s="2438"/>
      <c r="U369" s="2438"/>
      <c r="V369" s="2438"/>
      <c r="W369" s="2438"/>
      <c r="X369" s="2438"/>
      <c r="Y369" s="2438"/>
      <c r="Z369" s="2438"/>
      <c r="AA369" s="2438"/>
      <c r="AB369" s="2438"/>
      <c r="AC369" s="2438"/>
      <c r="AD369" s="2438"/>
      <c r="AE369" s="2438"/>
      <c r="AF369" s="2438"/>
      <c r="AG369" s="2438"/>
      <c r="AH369" s="2438"/>
      <c r="AI369" s="2438"/>
      <c r="AJ369" s="2438"/>
      <c r="AK369" s="604"/>
      <c r="AL369" s="604"/>
      <c r="AM369" s="604"/>
      <c r="AN369" s="598"/>
      <c r="AO369" s="696" t="s">
        <v>457</v>
      </c>
      <c r="AP369" s="697">
        <f>IF(C442="Yes",5,0)</f>
        <v>0</v>
      </c>
    </row>
    <row r="370" spans="1:81" s="551" customFormat="1" ht="12.75" customHeight="1">
      <c r="A370" s="604"/>
      <c r="B370" s="612"/>
      <c r="C370" s="2438"/>
      <c r="D370" s="2438"/>
      <c r="E370" s="2438"/>
      <c r="F370" s="2438"/>
      <c r="G370" s="2438"/>
      <c r="H370" s="2438"/>
      <c r="I370" s="2438"/>
      <c r="J370" s="2438"/>
      <c r="K370" s="2438"/>
      <c r="L370" s="2438"/>
      <c r="M370" s="2438"/>
      <c r="N370" s="2438"/>
      <c r="O370" s="2438"/>
      <c r="P370" s="2438"/>
      <c r="Q370" s="2438"/>
      <c r="R370" s="2438"/>
      <c r="S370" s="2438"/>
      <c r="T370" s="2438"/>
      <c r="U370" s="2438"/>
      <c r="V370" s="2438"/>
      <c r="W370" s="2438"/>
      <c r="X370" s="2438"/>
      <c r="Y370" s="2438"/>
      <c r="Z370" s="2438"/>
      <c r="AA370" s="2438"/>
      <c r="AB370" s="2438"/>
      <c r="AC370" s="2438"/>
      <c r="AD370" s="2438"/>
      <c r="AE370" s="2438"/>
      <c r="AF370" s="2438"/>
      <c r="AG370" s="2438"/>
      <c r="AH370" s="2438"/>
      <c r="AI370" s="2438"/>
      <c r="AJ370" s="2438"/>
      <c r="AK370" s="604"/>
      <c r="AL370" s="604"/>
      <c r="AM370" s="604"/>
      <c r="AN370" s="598"/>
      <c r="AO370" s="696" t="s">
        <v>462</v>
      </c>
      <c r="AP370" s="697">
        <f>IF(C449="Yes",5,0)</f>
        <v>0</v>
      </c>
    </row>
    <row r="371" spans="1:81" s="551" customFormat="1" ht="68.150000000000006" customHeight="1">
      <c r="A371" s="604"/>
      <c r="B371" s="612"/>
      <c r="C371" s="2438"/>
      <c r="D371" s="2438"/>
      <c r="E371" s="2438"/>
      <c r="F371" s="2438"/>
      <c r="G371" s="2438"/>
      <c r="H371" s="2438"/>
      <c r="I371" s="2438"/>
      <c r="J371" s="2438"/>
      <c r="K371" s="2438"/>
      <c r="L371" s="2438"/>
      <c r="M371" s="2438"/>
      <c r="N371" s="2438"/>
      <c r="O371" s="2438"/>
      <c r="P371" s="2438"/>
      <c r="Q371" s="2438"/>
      <c r="R371" s="2438"/>
      <c r="S371" s="2438"/>
      <c r="T371" s="2438"/>
      <c r="U371" s="2438"/>
      <c r="V371" s="2438"/>
      <c r="W371" s="2438"/>
      <c r="X371" s="2438"/>
      <c r="Y371" s="2438"/>
      <c r="Z371" s="2438"/>
      <c r="AA371" s="2438"/>
      <c r="AB371" s="2438"/>
      <c r="AC371" s="2438"/>
      <c r="AD371" s="2438"/>
      <c r="AE371" s="2438"/>
      <c r="AF371" s="2438"/>
      <c r="AG371" s="2438"/>
      <c r="AH371" s="2438"/>
      <c r="AI371" s="2438"/>
      <c r="AJ371" s="2438"/>
      <c r="AK371" s="604"/>
      <c r="AL371" s="604"/>
      <c r="AM371" s="604"/>
      <c r="AN371" s="598"/>
      <c r="AO371" s="696" t="s">
        <v>647</v>
      </c>
      <c r="AP371" s="702">
        <f>IF(C453="Yes",5,0)</f>
        <v>0</v>
      </c>
    </row>
    <row r="372" spans="1:81" s="551" customFormat="1" ht="12.4" customHeight="1">
      <c r="A372" s="604"/>
      <c r="B372" s="612"/>
      <c r="C372" s="551" t="s">
        <v>1459</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439">
        <f>Application!DU802-U374</f>
        <v>372</v>
      </c>
      <c r="V373" s="2439"/>
      <c r="W373" s="2439"/>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440">
        <f>IF(Application!D211="SRO",Application!DU755,Application!AG756)</f>
        <v>0</v>
      </c>
      <c r="V374" s="2440"/>
      <c r="W374" s="2440"/>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41">
        <f>IF(AP375&gt;0,AP375,0)</f>
        <v>0</v>
      </c>
      <c r="AR375" s="2441"/>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432" t="s">
        <v>1460</v>
      </c>
      <c r="G377" s="2432"/>
      <c r="H377" s="2432"/>
      <c r="I377" s="2432"/>
      <c r="J377" s="2432"/>
      <c r="K377" s="2432"/>
      <c r="L377" s="2432"/>
      <c r="M377" s="2432"/>
      <c r="N377" s="2432"/>
      <c r="O377" s="2432"/>
      <c r="P377" s="2432"/>
      <c r="Q377" s="2432"/>
      <c r="R377" s="2432"/>
      <c r="S377" s="2432"/>
      <c r="T377" s="2432"/>
      <c r="U377" s="2432"/>
      <c r="V377" s="2432"/>
      <c r="W377" s="2432"/>
      <c r="X377" s="2432"/>
      <c r="Y377" s="2432"/>
      <c r="Z377" s="2432"/>
      <c r="AA377" s="2432"/>
      <c r="AB377" s="2432"/>
      <c r="AC377" s="2432"/>
      <c r="AD377" s="2432"/>
      <c r="AE377" s="2432"/>
      <c r="AF377" s="2432"/>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33"/>
      <c r="G378" s="2433"/>
      <c r="H378" s="2433"/>
      <c r="I378" s="2433"/>
      <c r="J378" s="2433"/>
      <c r="K378" s="2433"/>
      <c r="L378" s="2433"/>
      <c r="M378" s="2433"/>
      <c r="N378" s="2433"/>
      <c r="O378" s="2433"/>
      <c r="P378" s="2433"/>
      <c r="Q378" s="2433"/>
      <c r="R378" s="2433"/>
      <c r="S378" s="2433"/>
      <c r="T378" s="2433"/>
      <c r="U378" s="2433"/>
      <c r="V378" s="2433"/>
      <c r="W378" s="2433"/>
      <c r="X378" s="2433"/>
      <c r="Y378" s="2433"/>
      <c r="Z378" s="2433"/>
      <c r="AA378" s="2433"/>
      <c r="AB378" s="2433"/>
      <c r="AC378" s="2433"/>
      <c r="AD378" s="2433"/>
      <c r="AE378" s="2433"/>
      <c r="AF378" s="2433"/>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33"/>
      <c r="G379" s="2433"/>
      <c r="H379" s="2433"/>
      <c r="I379" s="2433"/>
      <c r="J379" s="2433"/>
      <c r="K379" s="2433"/>
      <c r="L379" s="2433"/>
      <c r="M379" s="2433"/>
      <c r="N379" s="2433"/>
      <c r="O379" s="2433"/>
      <c r="P379" s="2433"/>
      <c r="Q379" s="2433"/>
      <c r="R379" s="2433"/>
      <c r="S379" s="2433"/>
      <c r="T379" s="2433"/>
      <c r="U379" s="2433"/>
      <c r="V379" s="2433"/>
      <c r="W379" s="2433"/>
      <c r="X379" s="2433"/>
      <c r="Y379" s="2433"/>
      <c r="Z379" s="2433"/>
      <c r="AA379" s="2433"/>
      <c r="AB379" s="2433"/>
      <c r="AC379" s="2433"/>
      <c r="AD379" s="2433"/>
      <c r="AE379" s="2433"/>
      <c r="AF379" s="2433"/>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33"/>
      <c r="G380" s="2433"/>
      <c r="H380" s="2433"/>
      <c r="I380" s="2433"/>
      <c r="J380" s="2433"/>
      <c r="K380" s="2433"/>
      <c r="L380" s="2433"/>
      <c r="M380" s="2433"/>
      <c r="N380" s="2433"/>
      <c r="O380" s="2433"/>
      <c r="P380" s="2433"/>
      <c r="Q380" s="2433"/>
      <c r="R380" s="2433"/>
      <c r="S380" s="2433"/>
      <c r="T380" s="2433"/>
      <c r="U380" s="2433"/>
      <c r="V380" s="2433"/>
      <c r="W380" s="2433"/>
      <c r="X380" s="2433"/>
      <c r="Y380" s="2433"/>
      <c r="Z380" s="2433"/>
      <c r="AA380" s="2433"/>
      <c r="AB380" s="2433"/>
      <c r="AC380" s="2433"/>
      <c r="AD380" s="2433"/>
      <c r="AE380" s="2433"/>
      <c r="AF380" s="2433"/>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42" t="s">
        <v>592</v>
      </c>
      <c r="D381" s="2443"/>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44" t="s">
        <v>1462</v>
      </c>
      <c r="AG381" s="2444"/>
      <c r="AH381" s="2444"/>
      <c r="AI381" s="2444"/>
      <c r="AJ381" s="2444"/>
      <c r="AK381" s="2444"/>
      <c r="AL381" s="2445"/>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432" t="s">
        <v>1463</v>
      </c>
      <c r="G384" s="2432"/>
      <c r="H384" s="2432"/>
      <c r="I384" s="2432"/>
      <c r="J384" s="2432"/>
      <c r="K384" s="2432"/>
      <c r="L384" s="2432"/>
      <c r="M384" s="2432"/>
      <c r="N384" s="2432"/>
      <c r="O384" s="2432"/>
      <c r="P384" s="2432"/>
      <c r="Q384" s="2432"/>
      <c r="R384" s="2432"/>
      <c r="S384" s="2432"/>
      <c r="T384" s="2432"/>
      <c r="U384" s="2432"/>
      <c r="V384" s="2432"/>
      <c r="W384" s="2432"/>
      <c r="X384" s="2432"/>
      <c r="Y384" s="2432"/>
      <c r="Z384" s="2432"/>
      <c r="AA384" s="2432"/>
      <c r="AB384" s="2432"/>
      <c r="AC384" s="2432"/>
      <c r="AD384" s="2432"/>
      <c r="AE384" s="2432"/>
      <c r="AF384" s="2432"/>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33"/>
      <c r="G385" s="2433"/>
      <c r="H385" s="2433"/>
      <c r="I385" s="2433"/>
      <c r="J385" s="2433"/>
      <c r="K385" s="2433"/>
      <c r="L385" s="2433"/>
      <c r="M385" s="2433"/>
      <c r="N385" s="2433"/>
      <c r="O385" s="2433"/>
      <c r="P385" s="2433"/>
      <c r="Q385" s="2433"/>
      <c r="R385" s="2433"/>
      <c r="S385" s="2433"/>
      <c r="T385" s="2433"/>
      <c r="U385" s="2433"/>
      <c r="V385" s="2433"/>
      <c r="W385" s="2433"/>
      <c r="X385" s="2433"/>
      <c r="Y385" s="2433"/>
      <c r="Z385" s="2433"/>
      <c r="AA385" s="2433"/>
      <c r="AB385" s="2433"/>
      <c r="AC385" s="2433"/>
      <c r="AD385" s="2433"/>
      <c r="AE385" s="2433"/>
      <c r="AF385" s="2433"/>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33"/>
      <c r="G386" s="2433"/>
      <c r="H386" s="2433"/>
      <c r="I386" s="2433"/>
      <c r="J386" s="2433"/>
      <c r="K386" s="2433"/>
      <c r="L386" s="2433"/>
      <c r="M386" s="2433"/>
      <c r="N386" s="2433"/>
      <c r="O386" s="2433"/>
      <c r="P386" s="2433"/>
      <c r="Q386" s="2433"/>
      <c r="R386" s="2433"/>
      <c r="S386" s="2433"/>
      <c r="T386" s="2433"/>
      <c r="U386" s="2433"/>
      <c r="V386" s="2433"/>
      <c r="W386" s="2433"/>
      <c r="X386" s="2433"/>
      <c r="Y386" s="2433"/>
      <c r="Z386" s="2433"/>
      <c r="AA386" s="2433"/>
      <c r="AB386" s="2433"/>
      <c r="AC386" s="2433"/>
      <c r="AD386" s="2433"/>
      <c r="AE386" s="2433"/>
      <c r="AF386" s="2433"/>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33"/>
      <c r="G387" s="2433"/>
      <c r="H387" s="2433"/>
      <c r="I387" s="2433"/>
      <c r="J387" s="2433"/>
      <c r="K387" s="2433"/>
      <c r="L387" s="2433"/>
      <c r="M387" s="2433"/>
      <c r="N387" s="2433"/>
      <c r="O387" s="2433"/>
      <c r="P387" s="2433"/>
      <c r="Q387" s="2433"/>
      <c r="R387" s="2433"/>
      <c r="S387" s="2433"/>
      <c r="T387" s="2433"/>
      <c r="U387" s="2433"/>
      <c r="V387" s="2433"/>
      <c r="W387" s="2433"/>
      <c r="X387" s="2433"/>
      <c r="Y387" s="2433"/>
      <c r="Z387" s="2433"/>
      <c r="AA387" s="2433"/>
      <c r="AB387" s="2433"/>
      <c r="AC387" s="2433"/>
      <c r="AD387" s="2433"/>
      <c r="AE387" s="2433"/>
      <c r="AF387" s="2433"/>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33"/>
      <c r="G388" s="2433"/>
      <c r="H388" s="2433"/>
      <c r="I388" s="2433"/>
      <c r="J388" s="2433"/>
      <c r="K388" s="2433"/>
      <c r="L388" s="2433"/>
      <c r="M388" s="2433"/>
      <c r="N388" s="2433"/>
      <c r="O388" s="2433"/>
      <c r="P388" s="2433"/>
      <c r="Q388" s="2433"/>
      <c r="R388" s="2433"/>
      <c r="S388" s="2433"/>
      <c r="T388" s="2433"/>
      <c r="U388" s="2433"/>
      <c r="V388" s="2433"/>
      <c r="W388" s="2433"/>
      <c r="X388" s="2433"/>
      <c r="Y388" s="2433"/>
      <c r="Z388" s="2433"/>
      <c r="AA388" s="2433"/>
      <c r="AB388" s="2433"/>
      <c r="AC388" s="2433"/>
      <c r="AD388" s="2433"/>
      <c r="AE388" s="2433"/>
      <c r="AF388" s="2433"/>
      <c r="AL388" s="733"/>
      <c r="AN388" s="598"/>
      <c r="BS388" s="30"/>
      <c r="BT388" s="30"/>
      <c r="BU388" s="14"/>
      <c r="BV388" s="14"/>
      <c r="BW388" s="14"/>
      <c r="BX388" s="14"/>
      <c r="BY388" s="14"/>
      <c r="BZ388" s="14"/>
      <c r="CA388" s="14"/>
      <c r="CB388" s="14"/>
      <c r="CC388" s="14"/>
    </row>
    <row r="389" spans="1:81" s="551" customFormat="1" ht="12.75" customHeight="1">
      <c r="A389" s="537"/>
      <c r="B389" s="14"/>
      <c r="C389" s="2442" t="s">
        <v>592</v>
      </c>
      <c r="D389" s="2443"/>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44" t="s">
        <v>1462</v>
      </c>
      <c r="AG389" s="2444"/>
      <c r="AH389" s="2444"/>
      <c r="AI389" s="2444"/>
      <c r="AJ389" s="2444"/>
      <c r="AK389" s="2444"/>
      <c r="AL389" s="2445"/>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432" t="s">
        <v>1465</v>
      </c>
      <c r="G392" s="2432"/>
      <c r="H392" s="2432"/>
      <c r="I392" s="2432"/>
      <c r="J392" s="2432"/>
      <c r="K392" s="2432"/>
      <c r="L392" s="2432"/>
      <c r="M392" s="2432"/>
      <c r="N392" s="2432"/>
      <c r="O392" s="2432"/>
      <c r="P392" s="2432"/>
      <c r="Q392" s="2432"/>
      <c r="R392" s="2432"/>
      <c r="S392" s="2432"/>
      <c r="T392" s="2432"/>
      <c r="U392" s="2432"/>
      <c r="V392" s="2432"/>
      <c r="W392" s="2432"/>
      <c r="X392" s="2432"/>
      <c r="Y392" s="2432"/>
      <c r="Z392" s="2432"/>
      <c r="AA392" s="2432"/>
      <c r="AB392" s="2432"/>
      <c r="AC392" s="2432"/>
      <c r="AD392" s="2432"/>
      <c r="AE392" s="2432"/>
      <c r="AF392" s="2432"/>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33"/>
      <c r="G393" s="2433"/>
      <c r="H393" s="2433"/>
      <c r="I393" s="2433"/>
      <c r="J393" s="2433"/>
      <c r="K393" s="2433"/>
      <c r="L393" s="2433"/>
      <c r="M393" s="2433"/>
      <c r="N393" s="2433"/>
      <c r="O393" s="2433"/>
      <c r="P393" s="2433"/>
      <c r="Q393" s="2433"/>
      <c r="R393" s="2433"/>
      <c r="S393" s="2433"/>
      <c r="T393" s="2433"/>
      <c r="U393" s="2433"/>
      <c r="V393" s="2433"/>
      <c r="W393" s="2433"/>
      <c r="X393" s="2433"/>
      <c r="Y393" s="2433"/>
      <c r="Z393" s="2433"/>
      <c r="AA393" s="2433"/>
      <c r="AB393" s="2433"/>
      <c r="AC393" s="2433"/>
      <c r="AD393" s="2433"/>
      <c r="AE393" s="2433"/>
      <c r="AF393" s="2433"/>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33"/>
      <c r="G394" s="2433"/>
      <c r="H394" s="2433"/>
      <c r="I394" s="2433"/>
      <c r="J394" s="2433"/>
      <c r="K394" s="2433"/>
      <c r="L394" s="2433"/>
      <c r="M394" s="2433"/>
      <c r="N394" s="2433"/>
      <c r="O394" s="2433"/>
      <c r="P394" s="2433"/>
      <c r="Q394" s="2433"/>
      <c r="R394" s="2433"/>
      <c r="S394" s="2433"/>
      <c r="T394" s="2433"/>
      <c r="U394" s="2433"/>
      <c r="V394" s="2433"/>
      <c r="W394" s="2433"/>
      <c r="X394" s="2433"/>
      <c r="Y394" s="2433"/>
      <c r="Z394" s="2433"/>
      <c r="AA394" s="2433"/>
      <c r="AB394" s="2433"/>
      <c r="AC394" s="2433"/>
      <c r="AD394" s="2433"/>
      <c r="AE394" s="2433"/>
      <c r="AF394" s="2433"/>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33"/>
      <c r="G395" s="2433"/>
      <c r="H395" s="2433"/>
      <c r="I395" s="2433"/>
      <c r="J395" s="2433"/>
      <c r="K395" s="2433"/>
      <c r="L395" s="2433"/>
      <c r="M395" s="2433"/>
      <c r="N395" s="2433"/>
      <c r="O395" s="2433"/>
      <c r="P395" s="2433"/>
      <c r="Q395" s="2433"/>
      <c r="R395" s="2433"/>
      <c r="S395" s="2433"/>
      <c r="T395" s="2433"/>
      <c r="U395" s="2433"/>
      <c r="V395" s="2433"/>
      <c r="W395" s="2433"/>
      <c r="X395" s="2433"/>
      <c r="Y395" s="2433"/>
      <c r="Z395" s="2433"/>
      <c r="AA395" s="2433"/>
      <c r="AB395" s="2433"/>
      <c r="AC395" s="2433"/>
      <c r="AD395" s="2433"/>
      <c r="AE395" s="2433"/>
      <c r="AF395" s="2433"/>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33"/>
      <c r="G396" s="2433"/>
      <c r="H396" s="2433"/>
      <c r="I396" s="2433"/>
      <c r="J396" s="2433"/>
      <c r="K396" s="2433"/>
      <c r="L396" s="2433"/>
      <c r="M396" s="2433"/>
      <c r="N396" s="2433"/>
      <c r="O396" s="2433"/>
      <c r="P396" s="2433"/>
      <c r="Q396" s="2433"/>
      <c r="R396" s="2433"/>
      <c r="S396" s="2433"/>
      <c r="T396" s="2433"/>
      <c r="U396" s="2433"/>
      <c r="V396" s="2433"/>
      <c r="W396" s="2433"/>
      <c r="X396" s="2433"/>
      <c r="Y396" s="2433"/>
      <c r="Z396" s="2433"/>
      <c r="AA396" s="2433"/>
      <c r="AB396" s="2433"/>
      <c r="AC396" s="2433"/>
      <c r="AD396" s="2433"/>
      <c r="AE396" s="2433"/>
      <c r="AF396" s="2433"/>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42" t="s">
        <v>546</v>
      </c>
      <c r="D397" s="2443"/>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44" t="s">
        <v>1467</v>
      </c>
      <c r="AG397" s="2444"/>
      <c r="AH397" s="2444"/>
      <c r="AI397" s="2444"/>
      <c r="AJ397" s="2444"/>
      <c r="AK397" s="2444"/>
      <c r="AL397" s="2445"/>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42" t="s">
        <v>592</v>
      </c>
      <c r="D399" s="2443"/>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44" t="s">
        <v>1462</v>
      </c>
      <c r="AG399" s="2444"/>
      <c r="AH399" s="2444"/>
      <c r="AI399" s="2444"/>
      <c r="AJ399" s="2444"/>
      <c r="AK399" s="2444"/>
      <c r="AL399" s="2445"/>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432" t="s">
        <v>1471</v>
      </c>
      <c r="G403" s="2432"/>
      <c r="H403" s="2432"/>
      <c r="I403" s="2432"/>
      <c r="J403" s="2432"/>
      <c r="K403" s="2432"/>
      <c r="L403" s="2432"/>
      <c r="M403" s="2432"/>
      <c r="N403" s="2432"/>
      <c r="O403" s="2432"/>
      <c r="P403" s="2432"/>
      <c r="Q403" s="2432"/>
      <c r="R403" s="2432"/>
      <c r="S403" s="2432"/>
      <c r="T403" s="2432"/>
      <c r="U403" s="2432"/>
      <c r="V403" s="2432"/>
      <c r="W403" s="2432"/>
      <c r="X403" s="2432"/>
      <c r="Y403" s="2432"/>
      <c r="Z403" s="2432"/>
      <c r="AA403" s="2432"/>
      <c r="AB403" s="2432"/>
      <c r="AC403" s="2432"/>
      <c r="AD403" s="2432"/>
      <c r="AE403" s="2432"/>
      <c r="AF403" s="2432"/>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33"/>
      <c r="G404" s="2433"/>
      <c r="H404" s="2433"/>
      <c r="I404" s="2433"/>
      <c r="J404" s="2433"/>
      <c r="K404" s="2433"/>
      <c r="L404" s="2433"/>
      <c r="M404" s="2433"/>
      <c r="N404" s="2433"/>
      <c r="O404" s="2433"/>
      <c r="P404" s="2433"/>
      <c r="Q404" s="2433"/>
      <c r="R404" s="2433"/>
      <c r="S404" s="2433"/>
      <c r="T404" s="2433"/>
      <c r="U404" s="2433"/>
      <c r="V404" s="2433"/>
      <c r="W404" s="2433"/>
      <c r="X404" s="2433"/>
      <c r="Y404" s="2433"/>
      <c r="Z404" s="2433"/>
      <c r="AA404" s="2433"/>
      <c r="AB404" s="2433"/>
      <c r="AC404" s="2433"/>
      <c r="AD404" s="2433"/>
      <c r="AE404" s="2433"/>
      <c r="AF404" s="2433"/>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433"/>
      <c r="G405" s="2433"/>
      <c r="H405" s="2433"/>
      <c r="I405" s="2433"/>
      <c r="J405" s="2433"/>
      <c r="K405" s="2433"/>
      <c r="L405" s="2433"/>
      <c r="M405" s="2433"/>
      <c r="N405" s="2433"/>
      <c r="O405" s="2433"/>
      <c r="P405" s="2433"/>
      <c r="Q405" s="2433"/>
      <c r="R405" s="2433"/>
      <c r="S405" s="2433"/>
      <c r="T405" s="2433"/>
      <c r="U405" s="2433"/>
      <c r="V405" s="2433"/>
      <c r="W405" s="2433"/>
      <c r="X405" s="2433"/>
      <c r="Y405" s="2433"/>
      <c r="Z405" s="2433"/>
      <c r="AA405" s="2433"/>
      <c r="AB405" s="2433"/>
      <c r="AC405" s="2433"/>
      <c r="AD405" s="2433"/>
      <c r="AE405" s="2433"/>
      <c r="AF405" s="2433"/>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33"/>
      <c r="G406" s="2433"/>
      <c r="H406" s="2433"/>
      <c r="I406" s="2433"/>
      <c r="J406" s="2433"/>
      <c r="K406" s="2433"/>
      <c r="L406" s="2433"/>
      <c r="M406" s="2433"/>
      <c r="N406" s="2433"/>
      <c r="O406" s="2433"/>
      <c r="P406" s="2433"/>
      <c r="Q406" s="2433"/>
      <c r="R406" s="2433"/>
      <c r="S406" s="2433"/>
      <c r="T406" s="2433"/>
      <c r="U406" s="2433"/>
      <c r="V406" s="2433"/>
      <c r="W406" s="2433"/>
      <c r="X406" s="2433"/>
      <c r="Y406" s="2433"/>
      <c r="Z406" s="2433"/>
      <c r="AA406" s="2433"/>
      <c r="AB406" s="2433"/>
      <c r="AC406" s="2433"/>
      <c r="AD406" s="2433"/>
      <c r="AE406" s="2433"/>
      <c r="AF406" s="2433"/>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42" t="s">
        <v>592</v>
      </c>
      <c r="D407" s="2443"/>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44" t="s">
        <v>1462</v>
      </c>
      <c r="AG407" s="2444"/>
      <c r="AH407" s="2444"/>
      <c r="AI407" s="2444"/>
      <c r="AJ407" s="2444"/>
      <c r="AK407" s="2444"/>
      <c r="AL407" s="2445"/>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42" t="s">
        <v>546</v>
      </c>
      <c r="D409" s="2443"/>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44" t="s">
        <v>1474</v>
      </c>
      <c r="AG409" s="2444"/>
      <c r="AH409" s="2444"/>
      <c r="AI409" s="2444"/>
      <c r="AJ409" s="2444"/>
      <c r="AK409" s="2444"/>
      <c r="AL409" s="2445"/>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42" t="s">
        <v>592</v>
      </c>
      <c r="D412" s="2443"/>
      <c r="E412" s="716" t="s">
        <v>1475</v>
      </c>
      <c r="F412" s="2432" t="s">
        <v>1476</v>
      </c>
      <c r="G412" s="2432"/>
      <c r="H412" s="2432"/>
      <c r="I412" s="2432"/>
      <c r="J412" s="2432"/>
      <c r="K412" s="2432"/>
      <c r="L412" s="2432"/>
      <c r="M412" s="2432"/>
      <c r="N412" s="2432"/>
      <c r="O412" s="2432"/>
      <c r="P412" s="2432"/>
      <c r="Q412" s="2432"/>
      <c r="R412" s="2432"/>
      <c r="S412" s="2432"/>
      <c r="T412" s="2432"/>
      <c r="U412" s="2432"/>
      <c r="V412" s="2432"/>
      <c r="W412" s="2432"/>
      <c r="X412" s="2432"/>
      <c r="Y412" s="2432"/>
      <c r="Z412" s="2432"/>
      <c r="AA412" s="2432"/>
      <c r="AB412" s="2432"/>
      <c r="AC412" s="2432"/>
      <c r="AD412" s="2432"/>
      <c r="AE412" s="2432"/>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33"/>
      <c r="G413" s="2433"/>
      <c r="H413" s="2433"/>
      <c r="I413" s="2433"/>
      <c r="J413" s="2433"/>
      <c r="K413" s="2433"/>
      <c r="L413" s="2433"/>
      <c r="M413" s="2433"/>
      <c r="N413" s="2433"/>
      <c r="O413" s="2433"/>
      <c r="P413" s="2433"/>
      <c r="Q413" s="2433"/>
      <c r="R413" s="2433"/>
      <c r="S413" s="2433"/>
      <c r="T413" s="2433"/>
      <c r="U413" s="2433"/>
      <c r="V413" s="2433"/>
      <c r="W413" s="2433"/>
      <c r="X413" s="2433"/>
      <c r="Y413" s="2433"/>
      <c r="Z413" s="2433"/>
      <c r="AA413" s="2433"/>
      <c r="AB413" s="2433"/>
      <c r="AC413" s="2433"/>
      <c r="AD413" s="2433"/>
      <c r="AE413" s="2433"/>
      <c r="AF413" s="2522" t="s">
        <v>1462</v>
      </c>
      <c r="AG413" s="2522"/>
      <c r="AH413" s="2522"/>
      <c r="AI413" s="2522"/>
      <c r="AJ413" s="2522"/>
      <c r="AK413" s="2522"/>
      <c r="AL413" s="2531"/>
      <c r="AM413" s="571"/>
      <c r="AN413" s="598"/>
      <c r="BS413" s="571"/>
      <c r="BT413" s="571"/>
      <c r="BY413" s="571"/>
      <c r="BZ413" s="571"/>
      <c r="CA413" s="571"/>
      <c r="CB413" s="571"/>
      <c r="CC413" s="571"/>
    </row>
    <row r="414" spans="1:81" s="551" customFormat="1" ht="12.75" customHeight="1">
      <c r="A414" s="537"/>
      <c r="B414" s="14"/>
      <c r="C414" s="732"/>
      <c r="D414" s="14"/>
      <c r="E414" s="692"/>
      <c r="F414" s="2433"/>
      <c r="G414" s="2433"/>
      <c r="H414" s="2433"/>
      <c r="I414" s="2433"/>
      <c r="J414" s="2433"/>
      <c r="K414" s="2433"/>
      <c r="L414" s="2433"/>
      <c r="M414" s="2433"/>
      <c r="N414" s="2433"/>
      <c r="O414" s="2433"/>
      <c r="P414" s="2433"/>
      <c r="Q414" s="2433"/>
      <c r="R414" s="2433"/>
      <c r="S414" s="2433"/>
      <c r="T414" s="2433"/>
      <c r="U414" s="2433"/>
      <c r="V414" s="2433"/>
      <c r="W414" s="2433"/>
      <c r="X414" s="2433"/>
      <c r="Y414" s="2433"/>
      <c r="Z414" s="2433"/>
      <c r="AA414" s="2433"/>
      <c r="AB414" s="2433"/>
      <c r="AC414" s="2433"/>
      <c r="AD414" s="2433"/>
      <c r="AE414" s="2433"/>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34"/>
      <c r="G415" s="2434"/>
      <c r="H415" s="2434"/>
      <c r="I415" s="2434"/>
      <c r="J415" s="2434"/>
      <c r="K415" s="2434"/>
      <c r="L415" s="2434"/>
      <c r="M415" s="2434"/>
      <c r="N415" s="2434"/>
      <c r="O415" s="2434"/>
      <c r="P415" s="2434"/>
      <c r="Q415" s="2434"/>
      <c r="R415" s="2434"/>
      <c r="S415" s="2434"/>
      <c r="T415" s="2434"/>
      <c r="U415" s="2434"/>
      <c r="V415" s="2434"/>
      <c r="W415" s="2434"/>
      <c r="X415" s="2434"/>
      <c r="Y415" s="2434"/>
      <c r="Z415" s="2434"/>
      <c r="AA415" s="2434"/>
      <c r="AB415" s="2434"/>
      <c r="AC415" s="2434"/>
      <c r="AD415" s="2434"/>
      <c r="AE415" s="2434"/>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432" t="s">
        <v>1478</v>
      </c>
      <c r="G417" s="2432"/>
      <c r="H417" s="2432"/>
      <c r="I417" s="2432"/>
      <c r="J417" s="2432"/>
      <c r="K417" s="2432"/>
      <c r="L417" s="2432"/>
      <c r="M417" s="2432"/>
      <c r="N417" s="2432"/>
      <c r="O417" s="2432"/>
      <c r="P417" s="2432"/>
      <c r="Q417" s="2432"/>
      <c r="R417" s="2432"/>
      <c r="S417" s="2432"/>
      <c r="T417" s="2432"/>
      <c r="U417" s="2432"/>
      <c r="V417" s="2432"/>
      <c r="W417" s="2432"/>
      <c r="X417" s="2432"/>
      <c r="Y417" s="2432"/>
      <c r="Z417" s="2432"/>
      <c r="AA417" s="2432"/>
      <c r="AB417" s="2432"/>
      <c r="AC417" s="2432"/>
      <c r="AD417" s="2432"/>
      <c r="AE417" s="2432"/>
      <c r="AF417" s="748"/>
      <c r="AG417" s="748"/>
      <c r="AH417" s="748"/>
      <c r="AI417" s="748"/>
      <c r="AJ417" s="748"/>
      <c r="AK417" s="748"/>
      <c r="AL417" s="749"/>
      <c r="AM417" s="571"/>
    </row>
    <row r="418" spans="1:55" ht="13">
      <c r="A418" s="537"/>
      <c r="C418" s="732"/>
      <c r="E418" s="692"/>
      <c r="F418" s="2433"/>
      <c r="G418" s="2433"/>
      <c r="H418" s="2433"/>
      <c r="I418" s="2433"/>
      <c r="J418" s="2433"/>
      <c r="K418" s="2433"/>
      <c r="L418" s="2433"/>
      <c r="M418" s="2433"/>
      <c r="N418" s="2433"/>
      <c r="O418" s="2433"/>
      <c r="P418" s="2433"/>
      <c r="Q418" s="2433"/>
      <c r="R418" s="2433"/>
      <c r="S418" s="2433"/>
      <c r="T418" s="2433"/>
      <c r="U418" s="2433"/>
      <c r="V418" s="2433"/>
      <c r="W418" s="2433"/>
      <c r="X418" s="2433"/>
      <c r="Y418" s="2433"/>
      <c r="Z418" s="2433"/>
      <c r="AA418" s="2433"/>
      <c r="AB418" s="2433"/>
      <c r="AC418" s="2433"/>
      <c r="AD418" s="2433"/>
      <c r="AE418" s="2433"/>
      <c r="AF418" s="540"/>
      <c r="AG418" s="537"/>
      <c r="AH418" s="551"/>
      <c r="AI418" s="551"/>
      <c r="AJ418" s="551"/>
      <c r="AK418" s="551"/>
      <c r="AL418" s="733"/>
      <c r="AM418" s="571"/>
    </row>
    <row r="419" spans="1:55" s="551" customFormat="1" ht="12.75" customHeight="1">
      <c r="A419" s="537"/>
      <c r="B419" s="14"/>
      <c r="C419" s="732"/>
      <c r="D419" s="14"/>
      <c r="E419" s="692"/>
      <c r="F419" s="2433"/>
      <c r="G419" s="2433"/>
      <c r="H419" s="2433"/>
      <c r="I419" s="2433"/>
      <c r="J419" s="2433"/>
      <c r="K419" s="2433"/>
      <c r="L419" s="2433"/>
      <c r="M419" s="2433"/>
      <c r="N419" s="2433"/>
      <c r="O419" s="2433"/>
      <c r="P419" s="2433"/>
      <c r="Q419" s="2433"/>
      <c r="R419" s="2433"/>
      <c r="S419" s="2433"/>
      <c r="T419" s="2433"/>
      <c r="U419" s="2433"/>
      <c r="V419" s="2433"/>
      <c r="W419" s="2433"/>
      <c r="X419" s="2433"/>
      <c r="Y419" s="2433"/>
      <c r="Z419" s="2433"/>
      <c r="AA419" s="2433"/>
      <c r="AB419" s="2433"/>
      <c r="AC419" s="2433"/>
      <c r="AD419" s="2433"/>
      <c r="AE419" s="2433"/>
      <c r="AL419" s="733"/>
      <c r="AM419" s="571"/>
      <c r="AN419" s="598"/>
    </row>
    <row r="420" spans="1:55" s="551" customFormat="1" ht="12.75" customHeight="1">
      <c r="A420" s="537"/>
      <c r="B420" s="14"/>
      <c r="C420" s="740"/>
      <c r="F420" s="2433"/>
      <c r="G420" s="2433"/>
      <c r="H420" s="2433"/>
      <c r="I420" s="2433"/>
      <c r="J420" s="2433"/>
      <c r="K420" s="2433"/>
      <c r="L420" s="2433"/>
      <c r="M420" s="2433"/>
      <c r="N420" s="2433"/>
      <c r="O420" s="2433"/>
      <c r="P420" s="2433"/>
      <c r="Q420" s="2433"/>
      <c r="R420" s="2433"/>
      <c r="S420" s="2433"/>
      <c r="T420" s="2433"/>
      <c r="U420" s="2433"/>
      <c r="V420" s="2433"/>
      <c r="W420" s="2433"/>
      <c r="X420" s="2433"/>
      <c r="Y420" s="2433"/>
      <c r="Z420" s="2433"/>
      <c r="AA420" s="2433"/>
      <c r="AB420" s="2433"/>
      <c r="AC420" s="2433"/>
      <c r="AD420" s="2433"/>
      <c r="AE420" s="2433"/>
      <c r="AL420" s="733"/>
      <c r="AM420" s="571"/>
      <c r="AN420" s="598"/>
    </row>
    <row r="421" spans="1:55" s="551" customFormat="1" ht="12.75" customHeight="1">
      <c r="A421" s="537"/>
      <c r="B421" s="14"/>
      <c r="C421" s="2442" t="s">
        <v>592</v>
      </c>
      <c r="D421" s="2443"/>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22" t="s">
        <v>1462</v>
      </c>
      <c r="AG421" s="2522"/>
      <c r="AH421" s="2522"/>
      <c r="AI421" s="2522"/>
      <c r="AJ421" s="2522"/>
      <c r="AK421" s="2522"/>
      <c r="AL421" s="2531"/>
      <c r="AM421" s="571"/>
      <c r="AN421" s="598"/>
    </row>
    <row r="422" spans="1:55" s="551" customFormat="1" ht="12.75" customHeight="1">
      <c r="A422" s="537"/>
      <c r="B422" s="14"/>
      <c r="C422" s="740"/>
      <c r="AL422" s="733"/>
      <c r="AM422" s="571"/>
      <c r="AN422" s="598"/>
    </row>
    <row r="423" spans="1:55" s="551" customFormat="1" ht="12.75" customHeight="1">
      <c r="A423" s="537"/>
      <c r="B423" s="14"/>
      <c r="C423" s="2442" t="s">
        <v>592</v>
      </c>
      <c r="D423" s="2443"/>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22" t="s">
        <v>1474</v>
      </c>
      <c r="AG423" s="2522"/>
      <c r="AH423" s="2522"/>
      <c r="AI423" s="2522"/>
      <c r="AJ423" s="2522"/>
      <c r="AK423" s="2522"/>
      <c r="AL423" s="2531"/>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432" t="s">
        <v>1482</v>
      </c>
      <c r="G427" s="2432"/>
      <c r="H427" s="2432"/>
      <c r="I427" s="2432"/>
      <c r="J427" s="2432"/>
      <c r="K427" s="2432"/>
      <c r="L427" s="2432"/>
      <c r="M427" s="2432"/>
      <c r="N427" s="2432"/>
      <c r="O427" s="2432"/>
      <c r="P427" s="2432"/>
      <c r="Q427" s="2432"/>
      <c r="R427" s="2432"/>
      <c r="S427" s="2432"/>
      <c r="T427" s="2432"/>
      <c r="U427" s="2432"/>
      <c r="V427" s="2432"/>
      <c r="W427" s="2432"/>
      <c r="X427" s="2432"/>
      <c r="Y427" s="2432"/>
      <c r="Z427" s="2432"/>
      <c r="AA427" s="2432"/>
      <c r="AB427" s="2432"/>
      <c r="AC427" s="2432"/>
      <c r="AD427" s="2432"/>
      <c r="AE427" s="2432"/>
      <c r="AF427" s="715"/>
      <c r="AG427" s="715"/>
      <c r="AH427" s="715"/>
      <c r="AI427" s="715"/>
      <c r="AJ427" s="715"/>
      <c r="AK427" s="715"/>
      <c r="AL427" s="746"/>
      <c r="AM427" s="571"/>
      <c r="AN427" s="598"/>
    </row>
    <row r="428" spans="1:55" s="551" customFormat="1" ht="12.75" customHeight="1">
      <c r="A428" s="537"/>
      <c r="B428" s="14"/>
      <c r="C428" s="732"/>
      <c r="D428" s="14"/>
      <c r="E428" s="692"/>
      <c r="F428" s="2433"/>
      <c r="G428" s="2433"/>
      <c r="H428" s="2433"/>
      <c r="I428" s="2433"/>
      <c r="J428" s="2433"/>
      <c r="K428" s="2433"/>
      <c r="L428" s="2433"/>
      <c r="M428" s="2433"/>
      <c r="N428" s="2433"/>
      <c r="O428" s="2433"/>
      <c r="P428" s="2433"/>
      <c r="Q428" s="2433"/>
      <c r="R428" s="2433"/>
      <c r="S428" s="2433"/>
      <c r="T428" s="2433"/>
      <c r="U428" s="2433"/>
      <c r="V428" s="2433"/>
      <c r="W428" s="2433"/>
      <c r="X428" s="2433"/>
      <c r="Y428" s="2433"/>
      <c r="Z428" s="2433"/>
      <c r="AA428" s="2433"/>
      <c r="AB428" s="2433"/>
      <c r="AC428" s="2433"/>
      <c r="AD428" s="2433"/>
      <c r="AE428" s="2433"/>
      <c r="AF428" s="540"/>
      <c r="AG428" s="537"/>
      <c r="AL428" s="733"/>
      <c r="AM428" s="571"/>
      <c r="AN428" s="598"/>
    </row>
    <row r="429" spans="1:55" s="551" customFormat="1" ht="12.4" customHeight="1">
      <c r="A429" s="537"/>
      <c r="B429" s="14"/>
      <c r="C429" s="732"/>
      <c r="D429" s="14"/>
      <c r="E429" s="692"/>
      <c r="F429" s="2433"/>
      <c r="G429" s="2433"/>
      <c r="H429" s="2433"/>
      <c r="I429" s="2433"/>
      <c r="J429" s="2433"/>
      <c r="K429" s="2433"/>
      <c r="L429" s="2433"/>
      <c r="M429" s="2433"/>
      <c r="N429" s="2433"/>
      <c r="O429" s="2433"/>
      <c r="P429" s="2433"/>
      <c r="Q429" s="2433"/>
      <c r="R429" s="2433"/>
      <c r="S429" s="2433"/>
      <c r="T429" s="2433"/>
      <c r="U429" s="2433"/>
      <c r="V429" s="2433"/>
      <c r="W429" s="2433"/>
      <c r="X429" s="2433"/>
      <c r="Y429" s="2433"/>
      <c r="Z429" s="2433"/>
      <c r="AA429" s="2433"/>
      <c r="AB429" s="2433"/>
      <c r="AC429" s="2433"/>
      <c r="AD429" s="2433"/>
      <c r="AE429" s="2433"/>
      <c r="AL429" s="733"/>
      <c r="AM429" s="571"/>
      <c r="AN429" s="598"/>
    </row>
    <row r="430" spans="1:55" s="551" customFormat="1" ht="12.75" customHeight="1">
      <c r="A430" s="537"/>
      <c r="B430" s="14"/>
      <c r="C430" s="2442" t="s">
        <v>592</v>
      </c>
      <c r="D430" s="2443"/>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22" t="s">
        <v>1462</v>
      </c>
      <c r="AG430" s="2522"/>
      <c r="AH430" s="2522"/>
      <c r="AI430" s="2522"/>
      <c r="AJ430" s="2522"/>
      <c r="AK430" s="2522"/>
      <c r="AL430" s="2531"/>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1484</v>
      </c>
      <c r="F433" s="2432" t="s">
        <v>1485</v>
      </c>
      <c r="G433" s="2432"/>
      <c r="H433" s="2432"/>
      <c r="I433" s="2432"/>
      <c r="J433" s="2432"/>
      <c r="K433" s="2432"/>
      <c r="L433" s="2432"/>
      <c r="M433" s="2432"/>
      <c r="N433" s="2432"/>
      <c r="O433" s="2432"/>
      <c r="P433" s="2432"/>
      <c r="Q433" s="2432"/>
      <c r="R433" s="2432"/>
      <c r="S433" s="2432"/>
      <c r="T433" s="2432"/>
      <c r="U433" s="2432"/>
      <c r="V433" s="2432"/>
      <c r="W433" s="2432"/>
      <c r="X433" s="2432"/>
      <c r="Y433" s="2432"/>
      <c r="Z433" s="2432"/>
      <c r="AA433" s="2432"/>
      <c r="AB433" s="2432"/>
      <c r="AC433" s="2432"/>
      <c r="AD433" s="2432"/>
      <c r="AE433" s="2432"/>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433"/>
      <c r="G434" s="2433"/>
      <c r="H434" s="2433"/>
      <c r="I434" s="2433"/>
      <c r="J434" s="2433"/>
      <c r="K434" s="2433"/>
      <c r="L434" s="2433"/>
      <c r="M434" s="2433"/>
      <c r="N434" s="2433"/>
      <c r="O434" s="2433"/>
      <c r="P434" s="2433"/>
      <c r="Q434" s="2433"/>
      <c r="R434" s="2433"/>
      <c r="S434" s="2433"/>
      <c r="T434" s="2433"/>
      <c r="U434" s="2433"/>
      <c r="V434" s="2433"/>
      <c r="W434" s="2433"/>
      <c r="X434" s="2433"/>
      <c r="Y434" s="2433"/>
      <c r="Z434" s="2433"/>
      <c r="AA434" s="2433"/>
      <c r="AB434" s="2433"/>
      <c r="AC434" s="2433"/>
      <c r="AD434" s="2433"/>
      <c r="AE434" s="2433"/>
      <c r="AF434" s="595"/>
      <c r="AG434" s="595"/>
      <c r="AH434" s="595"/>
      <c r="AI434" s="595"/>
      <c r="AJ434" s="595"/>
      <c r="AK434" s="595"/>
      <c r="AL434" s="751"/>
      <c r="AM434" s="571"/>
      <c r="AO434" s="551"/>
      <c r="AP434" s="551"/>
    </row>
    <row r="435" spans="1:60" s="551" customFormat="1" ht="12.75" customHeight="1">
      <c r="A435" s="537"/>
      <c r="B435" s="14"/>
      <c r="C435" s="732"/>
      <c r="D435" s="14"/>
      <c r="E435" s="692"/>
      <c r="F435" s="2433"/>
      <c r="G435" s="2433"/>
      <c r="H435" s="2433"/>
      <c r="I435" s="2433"/>
      <c r="J435" s="2433"/>
      <c r="K435" s="2433"/>
      <c r="L435" s="2433"/>
      <c r="M435" s="2433"/>
      <c r="N435" s="2433"/>
      <c r="O435" s="2433"/>
      <c r="P435" s="2433"/>
      <c r="Q435" s="2433"/>
      <c r="R435" s="2433"/>
      <c r="S435" s="2433"/>
      <c r="T435" s="2433"/>
      <c r="U435" s="2433"/>
      <c r="V435" s="2433"/>
      <c r="W435" s="2433"/>
      <c r="X435" s="2433"/>
      <c r="Y435" s="2433"/>
      <c r="Z435" s="2433"/>
      <c r="AA435" s="2433"/>
      <c r="AB435" s="2433"/>
      <c r="AC435" s="2433"/>
      <c r="AD435" s="2433"/>
      <c r="AE435" s="2433"/>
      <c r="AF435" s="595"/>
      <c r="AG435" s="595"/>
      <c r="AH435" s="595"/>
      <c r="AI435" s="595"/>
      <c r="AJ435" s="595"/>
      <c r="AK435" s="595"/>
      <c r="AL435" s="751"/>
      <c r="AM435" s="571"/>
      <c r="AN435" s="598"/>
    </row>
    <row r="436" spans="1:60" s="551" customFormat="1" ht="12.75" customHeight="1">
      <c r="A436" s="537"/>
      <c r="B436" s="14"/>
      <c r="C436" s="752"/>
      <c r="D436" s="731"/>
      <c r="E436" s="720"/>
      <c r="F436" s="2433"/>
      <c r="G436" s="2433"/>
      <c r="H436" s="2433"/>
      <c r="I436" s="2433"/>
      <c r="J436" s="2433"/>
      <c r="K436" s="2433"/>
      <c r="L436" s="2433"/>
      <c r="M436" s="2433"/>
      <c r="N436" s="2433"/>
      <c r="O436" s="2433"/>
      <c r="P436" s="2433"/>
      <c r="Q436" s="2433"/>
      <c r="R436" s="2433"/>
      <c r="S436" s="2433"/>
      <c r="T436" s="2433"/>
      <c r="U436" s="2433"/>
      <c r="V436" s="2433"/>
      <c r="W436" s="2433"/>
      <c r="X436" s="2433"/>
      <c r="Y436" s="2433"/>
      <c r="Z436" s="2433"/>
      <c r="AA436" s="2433"/>
      <c r="AB436" s="2433"/>
      <c r="AC436" s="2433"/>
      <c r="AD436" s="2433"/>
      <c r="AE436" s="2433"/>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33"/>
      <c r="G437" s="2433"/>
      <c r="H437" s="2433"/>
      <c r="I437" s="2433"/>
      <c r="J437" s="2433"/>
      <c r="K437" s="2433"/>
      <c r="L437" s="2433"/>
      <c r="M437" s="2433"/>
      <c r="N437" s="2433"/>
      <c r="O437" s="2433"/>
      <c r="P437" s="2433"/>
      <c r="Q437" s="2433"/>
      <c r="R437" s="2433"/>
      <c r="S437" s="2433"/>
      <c r="T437" s="2433"/>
      <c r="U437" s="2433"/>
      <c r="V437" s="2433"/>
      <c r="W437" s="2433"/>
      <c r="X437" s="2433"/>
      <c r="Y437" s="2433"/>
      <c r="Z437" s="2433"/>
      <c r="AA437" s="2433"/>
      <c r="AB437" s="2433"/>
      <c r="AC437" s="2433"/>
      <c r="AD437" s="2433"/>
      <c r="AE437" s="2433"/>
      <c r="AF437" s="595"/>
      <c r="AG437" s="595"/>
      <c r="AH437" s="595"/>
      <c r="AI437" s="595"/>
      <c r="AJ437" s="595"/>
      <c r="AK437" s="595"/>
      <c r="AL437" s="751"/>
      <c r="AM437" s="571"/>
      <c r="AN437" s="598"/>
    </row>
    <row r="438" spans="1:60" s="551" customFormat="1" ht="12.75" customHeight="1">
      <c r="A438" s="537"/>
      <c r="B438" s="14"/>
      <c r="C438" s="752"/>
      <c r="D438" s="731"/>
      <c r="E438" s="720"/>
      <c r="F438" s="2433"/>
      <c r="G438" s="2433"/>
      <c r="H438" s="2433"/>
      <c r="I438" s="2433"/>
      <c r="J438" s="2433"/>
      <c r="K438" s="2433"/>
      <c r="L438" s="2433"/>
      <c r="M438" s="2433"/>
      <c r="N438" s="2433"/>
      <c r="O438" s="2433"/>
      <c r="P438" s="2433"/>
      <c r="Q438" s="2433"/>
      <c r="R438" s="2433"/>
      <c r="S438" s="2433"/>
      <c r="T438" s="2433"/>
      <c r="U438" s="2433"/>
      <c r="V438" s="2433"/>
      <c r="W438" s="2433"/>
      <c r="X438" s="2433"/>
      <c r="Y438" s="2433"/>
      <c r="Z438" s="2433"/>
      <c r="AA438" s="2433"/>
      <c r="AB438" s="2433"/>
      <c r="AC438" s="2433"/>
      <c r="AD438" s="2433"/>
      <c r="AE438" s="2433"/>
      <c r="AF438" s="595"/>
      <c r="AG438" s="595"/>
      <c r="AH438" s="595"/>
      <c r="AI438" s="595"/>
      <c r="AJ438" s="595"/>
      <c r="AK438" s="595"/>
      <c r="AL438" s="751"/>
      <c r="AM438" s="571"/>
      <c r="AN438" s="598"/>
    </row>
    <row r="439" spans="1:60" s="551" customFormat="1" ht="12.75" customHeight="1">
      <c r="A439" s="537"/>
      <c r="B439" s="14"/>
      <c r="C439" s="752"/>
      <c r="D439" s="731"/>
      <c r="E439" s="720"/>
      <c r="F439" s="2433"/>
      <c r="G439" s="2433"/>
      <c r="H439" s="2433"/>
      <c r="I439" s="2433"/>
      <c r="J439" s="2433"/>
      <c r="K439" s="2433"/>
      <c r="L439" s="2433"/>
      <c r="M439" s="2433"/>
      <c r="N439" s="2433"/>
      <c r="O439" s="2433"/>
      <c r="P439" s="2433"/>
      <c r="Q439" s="2433"/>
      <c r="R439" s="2433"/>
      <c r="S439" s="2433"/>
      <c r="T439" s="2433"/>
      <c r="U439" s="2433"/>
      <c r="V439" s="2433"/>
      <c r="W439" s="2433"/>
      <c r="X439" s="2433"/>
      <c r="Y439" s="2433"/>
      <c r="Z439" s="2433"/>
      <c r="AA439" s="2433"/>
      <c r="AB439" s="2433"/>
      <c r="AC439" s="2433"/>
      <c r="AD439" s="2433"/>
      <c r="AE439" s="2433"/>
      <c r="AF439" s="595"/>
      <c r="AG439" s="595"/>
      <c r="AH439" s="595"/>
      <c r="AI439" s="595"/>
      <c r="AJ439" s="595"/>
      <c r="AK439" s="595"/>
      <c r="AL439" s="751"/>
      <c r="AM439" s="571"/>
      <c r="AN439" s="598"/>
    </row>
    <row r="440" spans="1:60" s="551" customFormat="1" ht="12.75" customHeight="1">
      <c r="A440" s="537"/>
      <c r="B440" s="14"/>
      <c r="C440" s="752"/>
      <c r="D440" s="731"/>
      <c r="E440" s="720"/>
      <c r="F440" s="2433"/>
      <c r="G440" s="2433"/>
      <c r="H440" s="2433"/>
      <c r="I440" s="2433"/>
      <c r="J440" s="2433"/>
      <c r="K440" s="2433"/>
      <c r="L440" s="2433"/>
      <c r="M440" s="2433"/>
      <c r="N440" s="2433"/>
      <c r="O440" s="2433"/>
      <c r="P440" s="2433"/>
      <c r="Q440" s="2433"/>
      <c r="R440" s="2433"/>
      <c r="S440" s="2433"/>
      <c r="T440" s="2433"/>
      <c r="U440" s="2433"/>
      <c r="V440" s="2433"/>
      <c r="W440" s="2433"/>
      <c r="X440" s="2433"/>
      <c r="Y440" s="2433"/>
      <c r="Z440" s="2433"/>
      <c r="AA440" s="2433"/>
      <c r="AB440" s="2433"/>
      <c r="AC440" s="2433"/>
      <c r="AD440" s="2433"/>
      <c r="AE440" s="2433"/>
      <c r="AF440" s="595"/>
      <c r="AG440" s="595"/>
      <c r="AH440" s="595"/>
      <c r="AI440" s="595"/>
      <c r="AJ440" s="595"/>
      <c r="AK440" s="595"/>
      <c r="AL440" s="751"/>
      <c r="AM440" s="571"/>
      <c r="AN440" s="598"/>
    </row>
    <row r="441" spans="1:60" s="551" customFormat="1" ht="17.25" customHeight="1">
      <c r="A441" s="537"/>
      <c r="B441" s="14"/>
      <c r="C441" s="752"/>
      <c r="D441" s="731"/>
      <c r="E441" s="720"/>
      <c r="F441" s="2433"/>
      <c r="G441" s="2433"/>
      <c r="H441" s="2433"/>
      <c r="I441" s="2433"/>
      <c r="J441" s="2433"/>
      <c r="K441" s="2433"/>
      <c r="L441" s="2433"/>
      <c r="M441" s="2433"/>
      <c r="N441" s="2433"/>
      <c r="O441" s="2433"/>
      <c r="P441" s="2433"/>
      <c r="Q441" s="2433"/>
      <c r="R441" s="2433"/>
      <c r="S441" s="2433"/>
      <c r="T441" s="2433"/>
      <c r="U441" s="2433"/>
      <c r="V441" s="2433"/>
      <c r="W441" s="2433"/>
      <c r="X441" s="2433"/>
      <c r="Y441" s="2433"/>
      <c r="Z441" s="2433"/>
      <c r="AA441" s="2433"/>
      <c r="AB441" s="2433"/>
      <c r="AC441" s="2433"/>
      <c r="AD441" s="2433"/>
      <c r="AE441" s="2433"/>
      <c r="AL441" s="733"/>
      <c r="AM441" s="571"/>
      <c r="AN441" s="598"/>
    </row>
    <row r="442" spans="1:60" s="551" customFormat="1" ht="12.75" customHeight="1">
      <c r="A442" s="537"/>
      <c r="B442" s="14"/>
      <c r="C442" s="2442" t="s">
        <v>592</v>
      </c>
      <c r="D442" s="2443"/>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22" t="s">
        <v>1462</v>
      </c>
      <c r="AG442" s="2522"/>
      <c r="AH442" s="2522"/>
      <c r="AI442" s="2522"/>
      <c r="AJ442" s="2522"/>
      <c r="AK442" s="2522"/>
      <c r="AL442" s="2531"/>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432" t="s">
        <v>1488</v>
      </c>
      <c r="G445" s="2432"/>
      <c r="H445" s="2432"/>
      <c r="I445" s="2432"/>
      <c r="J445" s="2432"/>
      <c r="K445" s="2432"/>
      <c r="L445" s="2432"/>
      <c r="M445" s="2432"/>
      <c r="N445" s="2432"/>
      <c r="O445" s="2432"/>
      <c r="P445" s="2432"/>
      <c r="Q445" s="2432"/>
      <c r="R445" s="2432"/>
      <c r="S445" s="2432"/>
      <c r="T445" s="2432"/>
      <c r="U445" s="2432"/>
      <c r="V445" s="2432"/>
      <c r="W445" s="2432"/>
      <c r="X445" s="2432"/>
      <c r="Y445" s="2432"/>
      <c r="Z445" s="2432"/>
      <c r="AA445" s="2432"/>
      <c r="AB445" s="2432"/>
      <c r="AC445" s="2432"/>
      <c r="AD445" s="2432"/>
      <c r="AE445" s="2432"/>
      <c r="AF445" s="715"/>
      <c r="AG445" s="715"/>
      <c r="AH445" s="715"/>
      <c r="AI445" s="715"/>
      <c r="AJ445" s="715"/>
      <c r="AK445" s="715"/>
      <c r="AL445" s="746"/>
      <c r="AM445" s="571"/>
      <c r="AN445" s="598"/>
    </row>
    <row r="446" spans="1:60" s="551" customFormat="1" ht="12.75" customHeight="1">
      <c r="A446" s="537"/>
      <c r="B446" s="14"/>
      <c r="C446" s="752"/>
      <c r="D446" s="731"/>
      <c r="E446" s="720"/>
      <c r="F446" s="2433"/>
      <c r="G446" s="2433"/>
      <c r="H446" s="2433"/>
      <c r="I446" s="2433"/>
      <c r="J446" s="2433"/>
      <c r="K446" s="2433"/>
      <c r="L446" s="2433"/>
      <c r="M446" s="2433"/>
      <c r="N446" s="2433"/>
      <c r="O446" s="2433"/>
      <c r="P446" s="2433"/>
      <c r="Q446" s="2433"/>
      <c r="R446" s="2433"/>
      <c r="S446" s="2433"/>
      <c r="T446" s="2433"/>
      <c r="U446" s="2433"/>
      <c r="V446" s="2433"/>
      <c r="W446" s="2433"/>
      <c r="X446" s="2433"/>
      <c r="Y446" s="2433"/>
      <c r="Z446" s="2433"/>
      <c r="AA446" s="2433"/>
      <c r="AB446" s="2433"/>
      <c r="AC446" s="2433"/>
      <c r="AD446" s="2433"/>
      <c r="AE446" s="2433"/>
      <c r="AF446" s="592"/>
      <c r="AG446" s="592"/>
      <c r="AH446" s="592"/>
      <c r="AI446" s="592"/>
      <c r="AJ446" s="592"/>
      <c r="AK446" s="592"/>
      <c r="AL446" s="721"/>
      <c r="AM446" s="571"/>
      <c r="AN446" s="598"/>
    </row>
    <row r="447" spans="1:60" s="551" customFormat="1" ht="12.75" customHeight="1">
      <c r="A447" s="537"/>
      <c r="B447" s="14"/>
      <c r="C447" s="752"/>
      <c r="D447" s="731"/>
      <c r="E447" s="720"/>
      <c r="F447" s="2433"/>
      <c r="G447" s="2433"/>
      <c r="H447" s="2433"/>
      <c r="I447" s="2433"/>
      <c r="J447" s="2433"/>
      <c r="K447" s="2433"/>
      <c r="L447" s="2433"/>
      <c r="M447" s="2433"/>
      <c r="N447" s="2433"/>
      <c r="O447" s="2433"/>
      <c r="P447" s="2433"/>
      <c r="Q447" s="2433"/>
      <c r="R447" s="2433"/>
      <c r="S447" s="2433"/>
      <c r="T447" s="2433"/>
      <c r="U447" s="2433"/>
      <c r="V447" s="2433"/>
      <c r="W447" s="2433"/>
      <c r="X447" s="2433"/>
      <c r="Y447" s="2433"/>
      <c r="Z447" s="2433"/>
      <c r="AA447" s="2433"/>
      <c r="AB447" s="2433"/>
      <c r="AC447" s="2433"/>
      <c r="AD447" s="2433"/>
      <c r="AE447" s="2433"/>
      <c r="AF447" s="592"/>
      <c r="AG447" s="592"/>
      <c r="AH447" s="592"/>
      <c r="AI447" s="592"/>
      <c r="AJ447" s="592"/>
      <c r="AK447" s="592"/>
      <c r="AL447" s="721"/>
      <c r="AM447" s="571"/>
      <c r="AN447" s="598"/>
    </row>
    <row r="448" spans="1:60" s="551" customFormat="1" ht="12.75" customHeight="1">
      <c r="A448" s="537"/>
      <c r="B448" s="14"/>
      <c r="C448" s="752"/>
      <c r="D448" s="731"/>
      <c r="E448" s="720"/>
      <c r="F448" s="2433"/>
      <c r="G448" s="2433"/>
      <c r="H448" s="2433"/>
      <c r="I448" s="2433"/>
      <c r="J448" s="2433"/>
      <c r="K448" s="2433"/>
      <c r="L448" s="2433"/>
      <c r="M448" s="2433"/>
      <c r="N448" s="2433"/>
      <c r="O448" s="2433"/>
      <c r="P448" s="2433"/>
      <c r="Q448" s="2433"/>
      <c r="R448" s="2433"/>
      <c r="S448" s="2433"/>
      <c r="T448" s="2433"/>
      <c r="U448" s="2433"/>
      <c r="V448" s="2433"/>
      <c r="W448" s="2433"/>
      <c r="X448" s="2433"/>
      <c r="Y448" s="2433"/>
      <c r="Z448" s="2433"/>
      <c r="AA448" s="2433"/>
      <c r="AB448" s="2433"/>
      <c r="AC448" s="2433"/>
      <c r="AD448" s="2433"/>
      <c r="AE448" s="2433"/>
      <c r="AL448" s="733"/>
      <c r="AM448" s="571"/>
      <c r="AN448" s="598"/>
    </row>
    <row r="449" spans="1:40" s="551" customFormat="1" ht="12.75" customHeight="1">
      <c r="A449" s="537"/>
      <c r="B449" s="14"/>
      <c r="C449" s="2442" t="s">
        <v>592</v>
      </c>
      <c r="D449" s="2443"/>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22" t="s">
        <v>1462</v>
      </c>
      <c r="AG449" s="2522"/>
      <c r="AH449" s="2522"/>
      <c r="AI449" s="2522"/>
      <c r="AJ449" s="2522"/>
      <c r="AK449" s="2522"/>
      <c r="AL449" s="2531"/>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58" t="s">
        <v>592</v>
      </c>
      <c r="D453" s="2559"/>
      <c r="E453" s="716" t="s">
        <v>1497</v>
      </c>
      <c r="F453" s="2432" t="s">
        <v>1498</v>
      </c>
      <c r="G453" s="2432"/>
      <c r="H453" s="2432"/>
      <c r="I453" s="2432"/>
      <c r="J453" s="2432"/>
      <c r="K453" s="2432"/>
      <c r="L453" s="2432"/>
      <c r="M453" s="2432"/>
      <c r="N453" s="2432"/>
      <c r="O453" s="2432"/>
      <c r="P453" s="2432"/>
      <c r="Q453" s="2432"/>
      <c r="R453" s="2432"/>
      <c r="S453" s="2432"/>
      <c r="T453" s="2432"/>
      <c r="U453" s="2432"/>
      <c r="V453" s="2432"/>
      <c r="W453" s="2432"/>
      <c r="X453" s="2432"/>
      <c r="Y453" s="2432"/>
      <c r="Z453" s="2432"/>
      <c r="AA453" s="2432"/>
      <c r="AB453" s="2432"/>
      <c r="AC453" s="2432"/>
      <c r="AD453" s="2432"/>
      <c r="AE453" s="2432"/>
      <c r="AF453" s="2460" t="s">
        <v>1462</v>
      </c>
      <c r="AG453" s="2460"/>
      <c r="AH453" s="2460"/>
      <c r="AI453" s="2460"/>
      <c r="AJ453" s="2460"/>
      <c r="AK453" s="2460"/>
      <c r="AL453" s="2461"/>
      <c r="AM453" s="571"/>
      <c r="AN453" s="754"/>
    </row>
    <row r="454" spans="1:40" s="551" customFormat="1" ht="12.75" customHeight="1">
      <c r="A454" s="537"/>
      <c r="B454" s="14"/>
      <c r="C454" s="752"/>
      <c r="D454" s="731"/>
      <c r="E454" s="720"/>
      <c r="F454" s="2433"/>
      <c r="G454" s="2433"/>
      <c r="H454" s="2433"/>
      <c r="I454" s="2433"/>
      <c r="J454" s="2433"/>
      <c r="K454" s="2433"/>
      <c r="L454" s="2433"/>
      <c r="M454" s="2433"/>
      <c r="N454" s="2433"/>
      <c r="O454" s="2433"/>
      <c r="P454" s="2433"/>
      <c r="Q454" s="2433"/>
      <c r="R454" s="2433"/>
      <c r="S454" s="2433"/>
      <c r="T454" s="2433"/>
      <c r="U454" s="2433"/>
      <c r="V454" s="2433"/>
      <c r="W454" s="2433"/>
      <c r="X454" s="2433"/>
      <c r="Y454" s="2433"/>
      <c r="Z454" s="2433"/>
      <c r="AA454" s="2433"/>
      <c r="AB454" s="2433"/>
      <c r="AC454" s="2433"/>
      <c r="AD454" s="2433"/>
      <c r="AE454" s="2433"/>
      <c r="AF454" s="592"/>
      <c r="AG454" s="592"/>
      <c r="AH454" s="592"/>
      <c r="AI454" s="592"/>
      <c r="AJ454" s="592"/>
      <c r="AK454" s="592"/>
      <c r="AL454" s="721"/>
      <c r="AM454" s="571"/>
      <c r="AN454" s="755"/>
    </row>
    <row r="455" spans="1:40" s="551" customFormat="1" ht="17.649999999999999" customHeight="1">
      <c r="A455" s="537"/>
      <c r="B455" s="14"/>
      <c r="C455" s="757"/>
      <c r="D455" s="724"/>
      <c r="E455" s="725"/>
      <c r="F455" s="2434"/>
      <c r="G455" s="2434"/>
      <c r="H455" s="2434"/>
      <c r="I455" s="2434"/>
      <c r="J455" s="2434"/>
      <c r="K455" s="2434"/>
      <c r="L455" s="2434"/>
      <c r="M455" s="2434"/>
      <c r="N455" s="2434"/>
      <c r="O455" s="2434"/>
      <c r="P455" s="2434"/>
      <c r="Q455" s="2434"/>
      <c r="R455" s="2434"/>
      <c r="S455" s="2434"/>
      <c r="T455" s="2434"/>
      <c r="U455" s="2434"/>
      <c r="V455" s="2434"/>
      <c r="W455" s="2434"/>
      <c r="X455" s="2434"/>
      <c r="Y455" s="2434"/>
      <c r="Z455" s="2434"/>
      <c r="AA455" s="2434"/>
      <c r="AB455" s="2434"/>
      <c r="AC455" s="2434"/>
      <c r="AD455" s="2434"/>
      <c r="AE455" s="2434"/>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42" t="s">
        <v>592</v>
      </c>
      <c r="D457" s="2443"/>
      <c r="E457" s="716" t="s">
        <v>1503</v>
      </c>
      <c r="F457" s="2432" t="s">
        <v>1504</v>
      </c>
      <c r="G457" s="2432"/>
      <c r="H457" s="2432"/>
      <c r="I457" s="2432"/>
      <c r="J457" s="2432"/>
      <c r="K457" s="2432"/>
      <c r="L457" s="2432"/>
      <c r="M457" s="2432"/>
      <c r="N457" s="2432"/>
      <c r="O457" s="2432"/>
      <c r="P457" s="2432"/>
      <c r="Q457" s="2432"/>
      <c r="R457" s="2432"/>
      <c r="S457" s="2432"/>
      <c r="T457" s="2432"/>
      <c r="U457" s="2432"/>
      <c r="V457" s="2432"/>
      <c r="W457" s="2432"/>
      <c r="X457" s="2432"/>
      <c r="Y457" s="2432"/>
      <c r="Z457" s="2432"/>
      <c r="AA457" s="2432"/>
      <c r="AB457" s="2432"/>
      <c r="AC457" s="2432"/>
      <c r="AD457" s="2432"/>
      <c r="AE457" s="2432"/>
      <c r="AF457" s="2460" t="s">
        <v>1462</v>
      </c>
      <c r="AG457" s="2460"/>
      <c r="AH457" s="2460"/>
      <c r="AI457" s="2460"/>
      <c r="AJ457" s="2460"/>
      <c r="AK457" s="2460"/>
      <c r="AL457" s="2461"/>
      <c r="AM457" s="571"/>
      <c r="AN457" s="536"/>
    </row>
    <row r="458" spans="1:40" s="551" customFormat="1" ht="12.75" customHeight="1">
      <c r="A458" s="537"/>
      <c r="B458" s="14"/>
      <c r="C458" s="732"/>
      <c r="D458" s="14"/>
      <c r="E458" s="692"/>
      <c r="F458" s="2433"/>
      <c r="G458" s="2433"/>
      <c r="H458" s="2433"/>
      <c r="I458" s="2433"/>
      <c r="J458" s="2433"/>
      <c r="K458" s="2433"/>
      <c r="L458" s="2433"/>
      <c r="M458" s="2433"/>
      <c r="N458" s="2433"/>
      <c r="O458" s="2433"/>
      <c r="P458" s="2433"/>
      <c r="Q458" s="2433"/>
      <c r="R458" s="2433"/>
      <c r="S458" s="2433"/>
      <c r="T458" s="2433"/>
      <c r="U458" s="2433"/>
      <c r="V458" s="2433"/>
      <c r="W458" s="2433"/>
      <c r="X458" s="2433"/>
      <c r="Y458" s="2433"/>
      <c r="Z458" s="2433"/>
      <c r="AA458" s="2433"/>
      <c r="AB458" s="2433"/>
      <c r="AC458" s="2433"/>
      <c r="AD458" s="2433"/>
      <c r="AE458" s="2433"/>
      <c r="AF458" s="540"/>
      <c r="AG458" s="537"/>
      <c r="AL458" s="733"/>
      <c r="AM458" s="571"/>
      <c r="AN458" s="536"/>
    </row>
    <row r="459" spans="1:40" s="551" customFormat="1" ht="12.75" customHeight="1">
      <c r="A459" s="537"/>
      <c r="B459" s="14"/>
      <c r="C459" s="732"/>
      <c r="D459" s="14"/>
      <c r="E459" s="692"/>
      <c r="F459" s="2433"/>
      <c r="G459" s="2433"/>
      <c r="H459" s="2433"/>
      <c r="I459" s="2433"/>
      <c r="J459" s="2433"/>
      <c r="K459" s="2433"/>
      <c r="L459" s="2433"/>
      <c r="M459" s="2433"/>
      <c r="N459" s="2433"/>
      <c r="O459" s="2433"/>
      <c r="P459" s="2433"/>
      <c r="Q459" s="2433"/>
      <c r="R459" s="2433"/>
      <c r="S459" s="2433"/>
      <c r="T459" s="2433"/>
      <c r="U459" s="2433"/>
      <c r="V459" s="2433"/>
      <c r="W459" s="2433"/>
      <c r="X459" s="2433"/>
      <c r="Y459" s="2433"/>
      <c r="Z459" s="2433"/>
      <c r="AA459" s="2433"/>
      <c r="AB459" s="2433"/>
      <c r="AC459" s="2433"/>
      <c r="AD459" s="2433"/>
      <c r="AE459" s="2433"/>
      <c r="AF459" s="540"/>
      <c r="AG459" s="537"/>
      <c r="AL459" s="733"/>
      <c r="AM459" s="571"/>
      <c r="AN459" s="536"/>
    </row>
    <row r="460" spans="1:40" s="551" customFormat="1" ht="12.75" customHeight="1">
      <c r="A460" s="537"/>
      <c r="B460" s="14"/>
      <c r="C460" s="757"/>
      <c r="D460" s="724"/>
      <c r="E460" s="725"/>
      <c r="F460" s="2434"/>
      <c r="G460" s="2434"/>
      <c r="H460" s="2434"/>
      <c r="I460" s="2434"/>
      <c r="J460" s="2434"/>
      <c r="K460" s="2434"/>
      <c r="L460" s="2434"/>
      <c r="M460" s="2434"/>
      <c r="N460" s="2434"/>
      <c r="O460" s="2434"/>
      <c r="P460" s="2434"/>
      <c r="Q460" s="2434"/>
      <c r="R460" s="2434"/>
      <c r="S460" s="2434"/>
      <c r="T460" s="2434"/>
      <c r="U460" s="2434"/>
      <c r="V460" s="2434"/>
      <c r="W460" s="2434"/>
      <c r="X460" s="2434"/>
      <c r="Y460" s="2434"/>
      <c r="Z460" s="2434"/>
      <c r="AA460" s="2434"/>
      <c r="AB460" s="2434"/>
      <c r="AC460" s="2434"/>
      <c r="AD460" s="2434"/>
      <c r="AE460" s="2434"/>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432" t="s">
        <v>1507</v>
      </c>
      <c r="G462" s="2432"/>
      <c r="H462" s="2432"/>
      <c r="I462" s="2432"/>
      <c r="J462" s="2432"/>
      <c r="K462" s="2432"/>
      <c r="L462" s="2432"/>
      <c r="M462" s="2432"/>
      <c r="N462" s="2432"/>
      <c r="O462" s="2432"/>
      <c r="P462" s="2432"/>
      <c r="Q462" s="2432"/>
      <c r="R462" s="2432"/>
      <c r="S462" s="2432"/>
      <c r="T462" s="2432"/>
      <c r="U462" s="2432"/>
      <c r="V462" s="2432"/>
      <c r="W462" s="2432"/>
      <c r="X462" s="2432"/>
      <c r="Y462" s="2432"/>
      <c r="Z462" s="2432"/>
      <c r="AA462" s="2432"/>
      <c r="AB462" s="2432"/>
      <c r="AC462" s="2432"/>
      <c r="AD462" s="2432"/>
      <c r="AE462" s="2432"/>
      <c r="AF462" s="2432"/>
      <c r="AG462" s="745"/>
      <c r="AH462" s="715"/>
      <c r="AI462" s="715"/>
      <c r="AJ462" s="715"/>
      <c r="AK462" s="715"/>
      <c r="AL462" s="746"/>
      <c r="AM462" s="571"/>
      <c r="AN462" s="598"/>
    </row>
    <row r="463" spans="1:40" s="551" customFormat="1" ht="12.75" customHeight="1">
      <c r="A463" s="537"/>
      <c r="B463" s="14"/>
      <c r="C463" s="732"/>
      <c r="D463" s="14"/>
      <c r="E463" s="692"/>
      <c r="F463" s="2433"/>
      <c r="G463" s="2433"/>
      <c r="H463" s="2433"/>
      <c r="I463" s="2433"/>
      <c r="J463" s="2433"/>
      <c r="K463" s="2433"/>
      <c r="L463" s="2433"/>
      <c r="M463" s="2433"/>
      <c r="N463" s="2433"/>
      <c r="O463" s="2433"/>
      <c r="P463" s="2433"/>
      <c r="Q463" s="2433"/>
      <c r="R463" s="2433"/>
      <c r="S463" s="2433"/>
      <c r="T463" s="2433"/>
      <c r="U463" s="2433"/>
      <c r="V463" s="2433"/>
      <c r="W463" s="2433"/>
      <c r="X463" s="2433"/>
      <c r="Y463" s="2433"/>
      <c r="Z463" s="2433"/>
      <c r="AA463" s="2433"/>
      <c r="AB463" s="2433"/>
      <c r="AC463" s="2433"/>
      <c r="AD463" s="2433"/>
      <c r="AE463" s="2433"/>
      <c r="AF463" s="2433"/>
      <c r="AL463" s="733"/>
      <c r="AM463" s="571"/>
      <c r="AN463" s="598"/>
    </row>
    <row r="464" spans="1:40" s="551" customFormat="1" ht="12.75" customHeight="1">
      <c r="A464" s="537"/>
      <c r="B464" s="14"/>
      <c r="C464" s="740"/>
      <c r="F464" s="2433"/>
      <c r="G464" s="2433"/>
      <c r="H464" s="2433"/>
      <c r="I464" s="2433"/>
      <c r="J464" s="2433"/>
      <c r="K464" s="2433"/>
      <c r="L464" s="2433"/>
      <c r="M464" s="2433"/>
      <c r="N464" s="2433"/>
      <c r="O464" s="2433"/>
      <c r="P464" s="2433"/>
      <c r="Q464" s="2433"/>
      <c r="R464" s="2433"/>
      <c r="S464" s="2433"/>
      <c r="T464" s="2433"/>
      <c r="U464" s="2433"/>
      <c r="V464" s="2433"/>
      <c r="W464" s="2433"/>
      <c r="X464" s="2433"/>
      <c r="Y464" s="2433"/>
      <c r="Z464" s="2433"/>
      <c r="AA464" s="2433"/>
      <c r="AB464" s="2433"/>
      <c r="AC464" s="2433"/>
      <c r="AD464" s="2433"/>
      <c r="AE464" s="2433"/>
      <c r="AF464" s="2433"/>
      <c r="AL464" s="733"/>
      <c r="AM464" s="571"/>
      <c r="AN464" s="598"/>
    </row>
    <row r="465" spans="1:58" s="551" customFormat="1" ht="12.75" customHeight="1">
      <c r="A465" s="537"/>
      <c r="B465" s="14"/>
      <c r="C465" s="740"/>
      <c r="F465" s="2433"/>
      <c r="G465" s="2433"/>
      <c r="H465" s="2433"/>
      <c r="I465" s="2433"/>
      <c r="J465" s="2433"/>
      <c r="K465" s="2433"/>
      <c r="L465" s="2433"/>
      <c r="M465" s="2433"/>
      <c r="N465" s="2433"/>
      <c r="O465" s="2433"/>
      <c r="P465" s="2433"/>
      <c r="Q465" s="2433"/>
      <c r="R465" s="2433"/>
      <c r="S465" s="2433"/>
      <c r="T465" s="2433"/>
      <c r="U465" s="2433"/>
      <c r="V465" s="2433"/>
      <c r="W465" s="2433"/>
      <c r="X465" s="2433"/>
      <c r="Y465" s="2433"/>
      <c r="Z465" s="2433"/>
      <c r="AA465" s="2433"/>
      <c r="AB465" s="2433"/>
      <c r="AC465" s="2433"/>
      <c r="AD465" s="2433"/>
      <c r="AE465" s="2433"/>
      <c r="AF465" s="2433"/>
      <c r="AL465" s="733"/>
      <c r="AM465" s="571"/>
      <c r="AN465" s="598"/>
    </row>
    <row r="466" spans="1:58" s="551" customFormat="1" ht="12.75" customHeight="1">
      <c r="A466" s="537"/>
      <c r="B466" s="14"/>
      <c r="C466" s="2442" t="s">
        <v>592</v>
      </c>
      <c r="D466" s="2443"/>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44" t="s">
        <v>1462</v>
      </c>
      <c r="AG466" s="2444"/>
      <c r="AH466" s="2444"/>
      <c r="AI466" s="2444"/>
      <c r="AJ466" s="2444"/>
      <c r="AK466" s="2444"/>
      <c r="AL466" s="2445"/>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429">
        <f>IF(Application!D214="N/A",AS358,AS360)</f>
        <v>10</v>
      </c>
      <c r="AL469" s="2430"/>
      <c r="AM469" s="2431"/>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1510</v>
      </c>
      <c r="C472" s="540"/>
      <c r="E472" s="597"/>
      <c r="AE472" s="2444" t="s">
        <v>1511</v>
      </c>
      <c r="AF472" s="2444"/>
      <c r="AG472" s="2444"/>
      <c r="AH472" s="2444"/>
      <c r="AI472" s="2444"/>
      <c r="AJ472" s="2444"/>
      <c r="AK472" s="2444"/>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451" t="s">
        <v>592</v>
      </c>
      <c r="D478" s="2452"/>
      <c r="E478" s="762" t="s">
        <v>508</v>
      </c>
      <c r="F478" s="2529" t="s">
        <v>1517</v>
      </c>
      <c r="G478" s="2529"/>
      <c r="H478" s="2529"/>
      <c r="I478" s="2529"/>
      <c r="J478" s="2529"/>
      <c r="K478" s="2529"/>
      <c r="L478" s="2529"/>
      <c r="M478" s="2529"/>
      <c r="N478" s="2529"/>
      <c r="O478" s="2529"/>
      <c r="P478" s="2529"/>
      <c r="Q478" s="2529"/>
      <c r="R478" s="2529"/>
      <c r="S478" s="2529"/>
      <c r="T478" s="2529"/>
      <c r="U478" s="2529"/>
      <c r="V478" s="2529"/>
      <c r="W478" s="2529"/>
      <c r="X478" s="2529"/>
      <c r="Y478" s="2529"/>
      <c r="Z478" s="2529"/>
      <c r="AA478" s="2529"/>
      <c r="AB478" s="2529"/>
      <c r="AC478" s="2529"/>
      <c r="AD478" s="2529"/>
      <c r="AE478" s="2529"/>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530"/>
      <c r="G479" s="2530"/>
      <c r="H479" s="2530"/>
      <c r="I479" s="2530"/>
      <c r="J479" s="2530"/>
      <c r="K479" s="2530"/>
      <c r="L479" s="2530"/>
      <c r="M479" s="2530"/>
      <c r="N479" s="2530"/>
      <c r="O479" s="2530"/>
      <c r="P479" s="2530"/>
      <c r="Q479" s="2530"/>
      <c r="R479" s="2530"/>
      <c r="S479" s="2530"/>
      <c r="T479" s="2530"/>
      <c r="U479" s="2530"/>
      <c r="V479" s="2530"/>
      <c r="W479" s="2530"/>
      <c r="X479" s="2530"/>
      <c r="Y479" s="2530"/>
      <c r="Z479" s="2530"/>
      <c r="AA479" s="2530"/>
      <c r="AB479" s="2530"/>
      <c r="AC479" s="2530"/>
      <c r="AD479" s="2530"/>
      <c r="AE479" s="2530"/>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457" t="s">
        <v>592</v>
      </c>
      <c r="G480" s="2457"/>
      <c r="H480" s="2457"/>
      <c r="I480" s="2457"/>
      <c r="J480" s="2457"/>
      <c r="K480" s="2457"/>
      <c r="L480" s="2457"/>
      <c r="M480" s="2457"/>
      <c r="N480" s="2457"/>
      <c r="O480" s="2457"/>
      <c r="P480" s="2457"/>
      <c r="Q480" s="2457"/>
      <c r="R480" s="2457"/>
      <c r="S480" s="2457"/>
      <c r="T480" s="2457"/>
      <c r="U480" s="2457"/>
      <c r="V480" s="2457"/>
      <c r="W480" s="2457"/>
      <c r="X480" s="2457"/>
      <c r="Y480" s="2457"/>
      <c r="Z480" s="2457"/>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458" t="s">
        <v>546</v>
      </c>
      <c r="D482" s="2459"/>
      <c r="E482" s="762" t="s">
        <v>758</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437" t="s">
        <v>592</v>
      </c>
      <c r="W485" s="2437"/>
      <c r="X485" s="2437"/>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437" t="s">
        <v>592</v>
      </c>
      <c r="W487" s="2437"/>
      <c r="X487" s="2437"/>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437" t="s">
        <v>592</v>
      </c>
      <c r="W492" s="2437"/>
      <c r="X492" s="2437"/>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456"/>
      <c r="E495" s="2456"/>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437" t="s">
        <v>592</v>
      </c>
      <c r="W496" s="2437"/>
      <c r="X496" s="2437"/>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437" t="s">
        <v>592</v>
      </c>
      <c r="W498" s="2437"/>
      <c r="X498" s="2437"/>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51" t="s">
        <v>592</v>
      </c>
      <c r="D501" s="2452"/>
      <c r="E501" s="762" t="s">
        <v>508</v>
      </c>
      <c r="F501" s="2529" t="s">
        <v>1517</v>
      </c>
      <c r="G501" s="2529"/>
      <c r="H501" s="2529"/>
      <c r="I501" s="2529"/>
      <c r="J501" s="2529"/>
      <c r="K501" s="2529"/>
      <c r="L501" s="2529"/>
      <c r="M501" s="2529"/>
      <c r="N501" s="2529"/>
      <c r="O501" s="2529"/>
      <c r="P501" s="2529"/>
      <c r="Q501" s="2529"/>
      <c r="R501" s="2529"/>
      <c r="S501" s="2529"/>
      <c r="T501" s="2529"/>
      <c r="U501" s="2529"/>
      <c r="V501" s="2529"/>
      <c r="W501" s="2529"/>
      <c r="X501" s="2529"/>
      <c r="Y501" s="2529"/>
      <c r="Z501" s="2529"/>
      <c r="AA501" s="2529"/>
      <c r="AB501" s="2529"/>
      <c r="AC501" s="2529"/>
      <c r="AD501" s="2529"/>
      <c r="AE501" s="2529"/>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30"/>
      <c r="G502" s="2530"/>
      <c r="H502" s="2530"/>
      <c r="I502" s="2530"/>
      <c r="J502" s="2530"/>
      <c r="K502" s="2530"/>
      <c r="L502" s="2530"/>
      <c r="M502" s="2530"/>
      <c r="N502" s="2530"/>
      <c r="O502" s="2530"/>
      <c r="P502" s="2530"/>
      <c r="Q502" s="2530"/>
      <c r="R502" s="2530"/>
      <c r="S502" s="2530"/>
      <c r="T502" s="2530"/>
      <c r="U502" s="2530"/>
      <c r="V502" s="2530"/>
      <c r="W502" s="2530"/>
      <c r="X502" s="2530"/>
      <c r="Y502" s="2530"/>
      <c r="Z502" s="2530"/>
      <c r="AA502" s="2530"/>
      <c r="AB502" s="2530"/>
      <c r="AC502" s="2530"/>
      <c r="AD502" s="2530"/>
      <c r="AE502" s="2530"/>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450" t="s">
        <v>592</v>
      </c>
      <c r="G503" s="2450"/>
      <c r="H503" s="2450"/>
      <c r="I503" s="2450"/>
      <c r="J503" s="2450"/>
      <c r="K503" s="2450"/>
      <c r="L503" s="2450"/>
      <c r="M503" s="2450"/>
      <c r="N503" s="2450"/>
      <c r="O503" s="2450"/>
      <c r="P503" s="2450"/>
      <c r="Q503" s="2450"/>
      <c r="R503" s="2450"/>
      <c r="S503" s="2450"/>
      <c r="T503" s="2450"/>
      <c r="U503" s="2450"/>
      <c r="V503" s="2450"/>
      <c r="W503" s="2450"/>
      <c r="X503" s="2450"/>
      <c r="Y503" s="2450"/>
      <c r="Z503" s="2450"/>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51" t="s">
        <v>592</v>
      </c>
      <c r="D505" s="2452"/>
      <c r="E505" s="762" t="s">
        <v>758</v>
      </c>
      <c r="F505" s="2453" t="s">
        <v>1539</v>
      </c>
      <c r="G505" s="2453"/>
      <c r="H505" s="2453"/>
      <c r="I505" s="2453"/>
      <c r="J505" s="2453"/>
      <c r="K505" s="2453"/>
      <c r="L505" s="2453"/>
      <c r="M505" s="2453"/>
      <c r="N505" s="2453"/>
      <c r="O505" s="2453"/>
      <c r="P505" s="2453"/>
      <c r="Q505" s="2453"/>
      <c r="R505" s="2453"/>
      <c r="S505" s="2453"/>
      <c r="T505" s="2453"/>
      <c r="U505" s="2453"/>
      <c r="V505" s="2453"/>
      <c r="W505" s="2453"/>
      <c r="X505" s="2453"/>
      <c r="Y505" s="2453"/>
      <c r="Z505" s="2453"/>
      <c r="AA505" s="2453"/>
      <c r="AB505" s="2453"/>
      <c r="AC505" s="2453"/>
      <c r="AD505" s="2453"/>
      <c r="AE505" s="2453"/>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454"/>
      <c r="G506" s="2454"/>
      <c r="H506" s="2454"/>
      <c r="I506" s="2454"/>
      <c r="J506" s="2454"/>
      <c r="K506" s="2454"/>
      <c r="L506" s="2454"/>
      <c r="M506" s="2454"/>
      <c r="N506" s="2454"/>
      <c r="O506" s="2454"/>
      <c r="P506" s="2454"/>
      <c r="Q506" s="2454"/>
      <c r="R506" s="2454"/>
      <c r="S506" s="2454"/>
      <c r="T506" s="2454"/>
      <c r="U506" s="2454"/>
      <c r="V506" s="2454"/>
      <c r="W506" s="2454"/>
      <c r="X506" s="2454"/>
      <c r="Y506" s="2454"/>
      <c r="Z506" s="2454"/>
      <c r="AA506" s="2454"/>
      <c r="AB506" s="2454"/>
      <c r="AC506" s="2454"/>
      <c r="AD506" s="2454"/>
      <c r="AE506" s="2454"/>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455" t="s">
        <v>592</v>
      </c>
      <c r="G508" s="2455"/>
      <c r="H508" s="2455"/>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451" t="s">
        <v>592</v>
      </c>
      <c r="D510" s="2452"/>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471"/>
      <c r="D512" s="2456"/>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72" t="s">
        <v>592</v>
      </c>
      <c r="H513" s="2472"/>
      <c r="I513" s="2472"/>
      <c r="J513" s="2472"/>
      <c r="K513" s="2472"/>
      <c r="L513" s="2472"/>
      <c r="M513" s="2472"/>
      <c r="N513" s="2472"/>
      <c r="O513" s="2472"/>
      <c r="P513" s="2472"/>
      <c r="Q513" s="2472"/>
      <c r="R513" s="2472"/>
      <c r="S513" s="2472"/>
      <c r="T513" s="2472"/>
      <c r="U513" s="2472"/>
      <c r="V513" s="2472"/>
      <c r="W513" s="2472"/>
      <c r="X513" s="2472"/>
      <c r="Y513" s="2472"/>
      <c r="Z513" s="2472"/>
      <c r="AA513" s="2472"/>
      <c r="AB513" s="2472"/>
      <c r="AC513" s="2472"/>
      <c r="AD513" s="2472"/>
      <c r="AE513" s="2472"/>
      <c r="AF513" s="2472"/>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23" t="s">
        <v>592</v>
      </c>
      <c r="D515" s="2524"/>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23" t="s">
        <v>592</v>
      </c>
      <c r="D519" s="2524"/>
      <c r="F519" s="796" t="s">
        <v>1547</v>
      </c>
      <c r="G519" s="2433" t="s">
        <v>1548</v>
      </c>
      <c r="H519" s="2433"/>
      <c r="I519" s="2433"/>
      <c r="J519" s="2433"/>
      <c r="K519" s="2433"/>
      <c r="L519" s="2433"/>
      <c r="M519" s="2433"/>
      <c r="N519" s="2433"/>
      <c r="O519" s="2433"/>
      <c r="P519" s="2433"/>
      <c r="Q519" s="2433"/>
      <c r="R519" s="2433"/>
      <c r="S519" s="2433"/>
      <c r="T519" s="2433"/>
      <c r="U519" s="2433"/>
      <c r="V519" s="2433"/>
      <c r="W519" s="2433"/>
      <c r="X519" s="2433"/>
      <c r="Y519" s="2433"/>
      <c r="Z519" s="2433"/>
      <c r="AA519" s="2433"/>
      <c r="AB519" s="2433"/>
      <c r="AC519" s="2433"/>
      <c r="AD519" s="2433"/>
      <c r="AE519" s="2433"/>
      <c r="AF519" s="2433"/>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34"/>
      <c r="H520" s="2434"/>
      <c r="I520" s="2434"/>
      <c r="J520" s="2434"/>
      <c r="K520" s="2434"/>
      <c r="L520" s="2434"/>
      <c r="M520" s="2434"/>
      <c r="N520" s="2434"/>
      <c r="O520" s="2434"/>
      <c r="P520" s="2434"/>
      <c r="Q520" s="2434"/>
      <c r="R520" s="2434"/>
      <c r="S520" s="2434"/>
      <c r="T520" s="2434"/>
      <c r="U520" s="2434"/>
      <c r="V520" s="2434"/>
      <c r="W520" s="2434"/>
      <c r="X520" s="2434"/>
      <c r="Y520" s="2434"/>
      <c r="Z520" s="2434"/>
      <c r="AA520" s="2434"/>
      <c r="AB520" s="2434"/>
      <c r="AC520" s="2434"/>
      <c r="AD520" s="2434"/>
      <c r="AE520" s="2434"/>
      <c r="AF520" s="2434"/>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25" t="s">
        <v>592</v>
      </c>
      <c r="D523" s="2526"/>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27" t="s">
        <v>592</v>
      </c>
      <c r="G524" s="2527"/>
      <c r="H524" s="2527"/>
      <c r="I524" s="2527"/>
      <c r="J524" s="2527"/>
      <c r="K524" s="2527"/>
      <c r="L524" s="2527"/>
      <c r="M524" s="2527"/>
      <c r="N524" s="2527"/>
      <c r="O524" s="2527"/>
      <c r="P524" s="2527"/>
      <c r="Q524" s="2527"/>
      <c r="R524" s="2527"/>
      <c r="S524" s="2527"/>
      <c r="T524" s="2527"/>
      <c r="U524" s="2527"/>
      <c r="V524" s="2527"/>
      <c r="W524" s="2527"/>
      <c r="X524" s="2527"/>
      <c r="Y524" s="2527"/>
      <c r="Z524" s="2527"/>
      <c r="AA524" s="2527"/>
      <c r="AB524" s="2527"/>
      <c r="AC524" s="2527"/>
      <c r="AD524" s="2527"/>
      <c r="AE524" s="2527"/>
      <c r="AF524" s="2527"/>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28"/>
      <c r="G525" s="2528"/>
      <c r="H525" s="2528"/>
      <c r="I525" s="2528"/>
      <c r="J525" s="2528"/>
      <c r="K525" s="2528"/>
      <c r="L525" s="2528"/>
      <c r="M525" s="2528"/>
      <c r="N525" s="2528"/>
      <c r="O525" s="2528"/>
      <c r="P525" s="2528"/>
      <c r="Q525" s="2528"/>
      <c r="R525" s="2528"/>
      <c r="S525" s="2528"/>
      <c r="T525" s="2528"/>
      <c r="U525" s="2528"/>
      <c r="V525" s="2528"/>
      <c r="W525" s="2528"/>
      <c r="X525" s="2528"/>
      <c r="Y525" s="2528"/>
      <c r="Z525" s="2528"/>
      <c r="AA525" s="2528"/>
      <c r="AB525" s="2528"/>
      <c r="AC525" s="2528"/>
      <c r="AD525" s="2528"/>
      <c r="AE525" s="2528"/>
      <c r="AF525" s="2528"/>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429">
        <f>SUM(AG479:AG524)</f>
        <v>0</v>
      </c>
      <c r="AL535" s="2430"/>
      <c r="AM535" s="2431"/>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62" t="s">
        <v>1560</v>
      </c>
      <c r="AF538" s="2462"/>
      <c r="AG538" s="2462"/>
      <c r="AH538" s="2462"/>
      <c r="AI538" s="2462"/>
      <c r="AJ538" s="2462"/>
      <c r="AK538" s="2462"/>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43" t="s">
        <v>546</v>
      </c>
      <c r="D541" s="2443"/>
      <c r="E541" s="552"/>
      <c r="F541" s="2465" t="s">
        <v>1561</v>
      </c>
      <c r="G541" s="2466"/>
      <c r="H541" s="2466"/>
      <c r="I541" s="2466"/>
      <c r="J541" s="2466"/>
      <c r="K541" s="2466"/>
      <c r="L541" s="2466"/>
      <c r="M541" s="2466"/>
      <c r="N541" s="2466"/>
      <c r="O541" s="2466"/>
      <c r="P541" s="2466"/>
      <c r="Q541" s="2466"/>
      <c r="R541" s="2466"/>
      <c r="S541" s="2466"/>
      <c r="T541" s="2466"/>
      <c r="U541" s="2466"/>
      <c r="V541" s="2466"/>
      <c r="W541" s="2466"/>
      <c r="X541" s="2466"/>
      <c r="Y541" s="2466"/>
      <c r="Z541" s="2466"/>
      <c r="AA541" s="2466"/>
      <c r="AB541" s="2466"/>
      <c r="AC541" s="2466"/>
      <c r="AD541" s="2466"/>
      <c r="AE541" s="2466"/>
      <c r="AF541" s="2466"/>
      <c r="AG541" s="2466"/>
      <c r="AH541" s="2466"/>
      <c r="AI541" s="2466"/>
      <c r="AJ541" s="2466"/>
      <c r="AK541" s="2466"/>
      <c r="AL541" s="2467"/>
      <c r="AM541" s="596"/>
      <c r="AN541" s="598"/>
    </row>
    <row r="542" spans="1:81" s="551" customFormat="1" ht="12.75" customHeight="1">
      <c r="A542" s="540"/>
      <c r="B542" s="540"/>
      <c r="C542" s="552"/>
      <c r="D542" s="552"/>
      <c r="E542" s="552"/>
      <c r="F542" s="2468"/>
      <c r="G542" s="2469"/>
      <c r="H542" s="2469"/>
      <c r="I542" s="2469"/>
      <c r="J542" s="2469"/>
      <c r="K542" s="2469"/>
      <c r="L542" s="2469"/>
      <c r="M542" s="2469"/>
      <c r="N542" s="2469"/>
      <c r="O542" s="2469"/>
      <c r="P542" s="2469"/>
      <c r="Q542" s="2469"/>
      <c r="R542" s="2469"/>
      <c r="S542" s="2469"/>
      <c r="T542" s="2469"/>
      <c r="U542" s="2469"/>
      <c r="V542" s="2469"/>
      <c r="W542" s="2469"/>
      <c r="X542" s="2469"/>
      <c r="Y542" s="2469"/>
      <c r="Z542" s="2469"/>
      <c r="AA542" s="2469"/>
      <c r="AB542" s="2469"/>
      <c r="AC542" s="2469"/>
      <c r="AD542" s="2469"/>
      <c r="AE542" s="2469"/>
      <c r="AF542" s="2469"/>
      <c r="AG542" s="2469"/>
      <c r="AH542" s="2469"/>
      <c r="AI542" s="2469"/>
      <c r="AJ542" s="2469"/>
      <c r="AK542" s="2469"/>
      <c r="AL542" s="2470"/>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43" t="s">
        <v>592</v>
      </c>
      <c r="D544" s="2443"/>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21" t="s">
        <v>1563</v>
      </c>
      <c r="G545" s="2422"/>
      <c r="H545" s="2422"/>
      <c r="I545" s="2422"/>
      <c r="J545" s="2422"/>
      <c r="K545" s="2422"/>
      <c r="L545" s="2422"/>
      <c r="M545" s="2422"/>
      <c r="N545" s="2422"/>
      <c r="O545" s="2422"/>
      <c r="P545" s="2422"/>
      <c r="Q545" s="2422"/>
      <c r="R545" s="2422"/>
      <c r="S545" s="2422"/>
      <c r="T545" s="2422"/>
      <c r="U545" s="2422"/>
      <c r="V545" s="2422"/>
      <c r="W545" s="2422"/>
      <c r="X545" s="2422"/>
      <c r="Y545" s="2422"/>
      <c r="Z545" s="2422"/>
      <c r="AA545" s="2422"/>
      <c r="AB545" s="2422"/>
      <c r="AC545" s="2422"/>
      <c r="AD545" s="2422"/>
      <c r="AE545" s="2422"/>
      <c r="AF545" s="2422"/>
      <c r="AG545" s="2422"/>
      <c r="AH545" s="2422"/>
      <c r="AI545" s="2422"/>
      <c r="AJ545" s="2422"/>
      <c r="AK545" s="2422"/>
      <c r="AL545" s="2423"/>
      <c r="AM545" s="596"/>
      <c r="AN545" s="598"/>
      <c r="AS545" s="871"/>
      <c r="AT545" s="871"/>
      <c r="AU545" s="871"/>
      <c r="AV545" s="871"/>
      <c r="AW545" s="871"/>
    </row>
    <row r="546" spans="1:49" s="551" customFormat="1" ht="12.75" customHeight="1">
      <c r="B546" s="807"/>
      <c r="C546" s="807"/>
      <c r="D546" s="807"/>
      <c r="E546" s="807"/>
      <c r="F546" s="2421"/>
      <c r="G546" s="2422"/>
      <c r="H546" s="2422"/>
      <c r="I546" s="2422"/>
      <c r="J546" s="2422"/>
      <c r="K546" s="2422"/>
      <c r="L546" s="2422"/>
      <c r="M546" s="2422"/>
      <c r="N546" s="2422"/>
      <c r="O546" s="2422"/>
      <c r="P546" s="2422"/>
      <c r="Q546" s="2422"/>
      <c r="R546" s="2422"/>
      <c r="S546" s="2422"/>
      <c r="T546" s="2422"/>
      <c r="U546" s="2422"/>
      <c r="V546" s="2422"/>
      <c r="W546" s="2422"/>
      <c r="X546" s="2422"/>
      <c r="Y546" s="2422"/>
      <c r="Z546" s="2422"/>
      <c r="AA546" s="2422"/>
      <c r="AB546" s="2422"/>
      <c r="AC546" s="2422"/>
      <c r="AD546" s="2422"/>
      <c r="AE546" s="2422"/>
      <c r="AF546" s="2422"/>
      <c r="AG546" s="2422"/>
      <c r="AH546" s="2422"/>
      <c r="AI546" s="2422"/>
      <c r="AJ546" s="2422"/>
      <c r="AK546" s="2422"/>
      <c r="AL546" s="2423"/>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21" t="s">
        <v>1564</v>
      </c>
      <c r="G548" s="2422"/>
      <c r="H548" s="2422"/>
      <c r="I548" s="2422"/>
      <c r="J548" s="2422"/>
      <c r="K548" s="2422"/>
      <c r="L548" s="2422"/>
      <c r="M548" s="2422"/>
      <c r="N548" s="2422"/>
      <c r="O548" s="2422"/>
      <c r="P548" s="2422"/>
      <c r="Q548" s="2422"/>
      <c r="R548" s="2422"/>
      <c r="S548" s="2422"/>
      <c r="T548" s="2422"/>
      <c r="U548" s="2422"/>
      <c r="V548" s="2422"/>
      <c r="W548" s="2422"/>
      <c r="X548" s="2422"/>
      <c r="Y548" s="2422"/>
      <c r="Z548" s="2422"/>
      <c r="AA548" s="2422"/>
      <c r="AB548" s="2422"/>
      <c r="AC548" s="2422"/>
      <c r="AD548" s="2422"/>
      <c r="AE548" s="2422"/>
      <c r="AF548" s="2422"/>
      <c r="AG548" s="2422"/>
      <c r="AH548" s="2422"/>
      <c r="AI548" s="2422"/>
      <c r="AJ548" s="2422"/>
      <c r="AK548" s="2422"/>
      <c r="AL548" s="814"/>
      <c r="AM548" s="596"/>
      <c r="AN548" s="598"/>
    </row>
    <row r="549" spans="1:49" s="551" customFormat="1" ht="12.75" customHeight="1">
      <c r="B549" s="807"/>
      <c r="C549" s="807"/>
      <c r="D549" s="807"/>
      <c r="E549" s="807"/>
      <c r="F549" s="2424"/>
      <c r="G549" s="2425"/>
      <c r="H549" s="2425"/>
      <c r="I549" s="2425"/>
      <c r="J549" s="2425"/>
      <c r="K549" s="2425"/>
      <c r="L549" s="2425"/>
      <c r="M549" s="2425"/>
      <c r="N549" s="2425"/>
      <c r="O549" s="2425"/>
      <c r="P549" s="2425"/>
      <c r="Q549" s="2425"/>
      <c r="R549" s="2425"/>
      <c r="S549" s="2425"/>
      <c r="T549" s="2425"/>
      <c r="U549" s="2425"/>
      <c r="V549" s="2425"/>
      <c r="W549" s="2425"/>
      <c r="X549" s="2425"/>
      <c r="Y549" s="2425"/>
      <c r="Z549" s="2425"/>
      <c r="AA549" s="2425"/>
      <c r="AB549" s="2425"/>
      <c r="AC549" s="2425"/>
      <c r="AD549" s="2425"/>
      <c r="AE549" s="2425"/>
      <c r="AF549" s="2425"/>
      <c r="AG549" s="2425"/>
      <c r="AH549" s="2425"/>
      <c r="AI549" s="2425"/>
      <c r="AJ549" s="2425"/>
      <c r="AK549" s="2425"/>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420">
        <f>Application!AJ992</f>
        <v>137464574</v>
      </c>
      <c r="AQ550" s="2420"/>
      <c r="AR550" s="2420"/>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26">
        <f>'Sources and Uses Budget'!S107+'Sources and Uses Budget'!T107</f>
        <v>102712711</v>
      </c>
      <c r="AG551" s="2426"/>
      <c r="AH551" s="2426"/>
      <c r="AI551" s="2426"/>
      <c r="AJ551" s="2426"/>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427">
        <f>IFERROR(AP559,0)</f>
        <v>279976673.72000003</v>
      </c>
      <c r="AG552" s="2427"/>
      <c r="AH552" s="2427"/>
      <c r="AI552" s="2427"/>
      <c r="AJ552" s="2427"/>
      <c r="AK552" s="596"/>
      <c r="AL552" s="596"/>
      <c r="AM552" s="596"/>
      <c r="AN552" s="598"/>
      <c r="AP552" s="2420">
        <f>Application!AJ1045</f>
        <v>0</v>
      </c>
      <c r="AQ552" s="2420"/>
      <c r="AR552" s="2420"/>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428">
        <f>IFERROR(ROUNDDOWN(IF(C544="YES",((1-(AF551/AF552))*2),(1-(AF551/AF552))),2),0)</f>
        <v>0.63</v>
      </c>
      <c r="AG553" s="2428"/>
      <c r="AH553" s="2428"/>
      <c r="AI553" s="2428"/>
      <c r="AJ553" s="2428"/>
      <c r="AK553" s="596"/>
      <c r="AL553" s="596"/>
      <c r="AM553" s="596"/>
      <c r="AN553" s="598"/>
      <c r="AP553" s="2416">
        <f>Application!AJ1049</f>
        <v>107222367.72</v>
      </c>
      <c r="AQ553" s="2416"/>
      <c r="AR553" s="2416"/>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435">
        <f>IF(((AP552+AP553)/AP550)&gt;0.8,0.8,((AP552+AP553)/AP550))</f>
        <v>0.78</v>
      </c>
      <c r="AQ554" s="2435"/>
      <c r="AR554" s="2435"/>
      <c r="AS554" s="551" t="s">
        <v>2173</v>
      </c>
    </row>
    <row r="555" spans="1:49" s="551" customFormat="1" ht="12.75" customHeight="1">
      <c r="A555" s="625"/>
      <c r="B555" s="2502" t="s">
        <v>2033</v>
      </c>
      <c r="C555" s="2503"/>
      <c r="D555" s="2503"/>
      <c r="E555" s="2503"/>
      <c r="F555" s="2503"/>
      <c r="G555" s="2503"/>
      <c r="H555" s="2503"/>
      <c r="I555" s="2503"/>
      <c r="J555" s="2503"/>
      <c r="K555" s="2503"/>
      <c r="L555" s="2503"/>
      <c r="M555" s="2503"/>
      <c r="N555" s="2503"/>
      <c r="O555" s="2503"/>
      <c r="P555" s="2503"/>
      <c r="Q555" s="2503"/>
      <c r="R555" s="2503"/>
      <c r="S555" s="2503"/>
      <c r="T555" s="2503"/>
      <c r="U555" s="2503"/>
      <c r="V555" s="2503"/>
      <c r="W555" s="2503"/>
      <c r="X555" s="2503"/>
      <c r="Y555" s="2503"/>
      <c r="Z555" s="2503"/>
      <c r="AA555" s="2503"/>
      <c r="AB555" s="2503"/>
      <c r="AC555" s="2503"/>
      <c r="AD555" s="2503"/>
      <c r="AE555" s="2503"/>
      <c r="AF555" s="2503"/>
      <c r="AG555" s="2503"/>
      <c r="AH555" s="2503"/>
      <c r="AI555" s="2503"/>
      <c r="AJ555" s="2504"/>
      <c r="AK555" s="596"/>
      <c r="AL555" s="596"/>
      <c r="AM555" s="596"/>
      <c r="AN555" s="598"/>
    </row>
    <row r="556" spans="1:49" s="551" customFormat="1" ht="12.75" customHeight="1">
      <c r="A556" s="625"/>
      <c r="B556" s="2505"/>
      <c r="C556" s="2506"/>
      <c r="D556" s="2506"/>
      <c r="E556" s="2506"/>
      <c r="F556" s="2506"/>
      <c r="G556" s="2506"/>
      <c r="H556" s="2506"/>
      <c r="I556" s="2506"/>
      <c r="J556" s="2506"/>
      <c r="K556" s="2506"/>
      <c r="L556" s="2506"/>
      <c r="M556" s="2506"/>
      <c r="N556" s="2506"/>
      <c r="O556" s="2506"/>
      <c r="P556" s="2506"/>
      <c r="Q556" s="2506"/>
      <c r="R556" s="2506"/>
      <c r="S556" s="2506"/>
      <c r="T556" s="2506"/>
      <c r="U556" s="2506"/>
      <c r="V556" s="2506"/>
      <c r="W556" s="2506"/>
      <c r="X556" s="2506"/>
      <c r="Y556" s="2506"/>
      <c r="Z556" s="2506"/>
      <c r="AA556" s="2506"/>
      <c r="AB556" s="2506"/>
      <c r="AC556" s="2506"/>
      <c r="AD556" s="2506"/>
      <c r="AE556" s="2506"/>
      <c r="AF556" s="2506"/>
      <c r="AG556" s="2506"/>
      <c r="AH556" s="2506"/>
      <c r="AI556" s="2506"/>
      <c r="AJ556" s="2507"/>
      <c r="AK556" s="596"/>
      <c r="AL556" s="596"/>
      <c r="AM556" s="596"/>
      <c r="AN556" s="598"/>
      <c r="AP556" s="2420">
        <f>AP557-AP552-AP553</f>
        <v>172754306.00000003</v>
      </c>
      <c r="AQ556" s="2436"/>
      <c r="AR556" s="2436"/>
      <c r="AS556" s="551" t="s">
        <v>2175</v>
      </c>
    </row>
    <row r="557" spans="1:49" s="551" customFormat="1" ht="12.75" customHeight="1">
      <c r="A557" s="625"/>
      <c r="B557" s="2508"/>
      <c r="C557" s="2509"/>
      <c r="D557" s="2509"/>
      <c r="E557" s="2509"/>
      <c r="F557" s="2509"/>
      <c r="G557" s="2509"/>
      <c r="H557" s="2509"/>
      <c r="I557" s="2509"/>
      <c r="J557" s="2509"/>
      <c r="K557" s="2509"/>
      <c r="L557" s="2509"/>
      <c r="M557" s="2509"/>
      <c r="N557" s="2509"/>
      <c r="O557" s="2509"/>
      <c r="P557" s="2509"/>
      <c r="Q557" s="2509"/>
      <c r="R557" s="2509"/>
      <c r="S557" s="2509"/>
      <c r="T557" s="2509"/>
      <c r="U557" s="2509"/>
      <c r="V557" s="2509"/>
      <c r="W557" s="2509"/>
      <c r="X557" s="2509"/>
      <c r="Y557" s="2509"/>
      <c r="Z557" s="2509"/>
      <c r="AA557" s="2509"/>
      <c r="AB557" s="2509"/>
      <c r="AC557" s="2509"/>
      <c r="AD557" s="2509"/>
      <c r="AE557" s="2509"/>
      <c r="AF557" s="2509"/>
      <c r="AG557" s="2509"/>
      <c r="AH557" s="2509"/>
      <c r="AI557" s="2509"/>
      <c r="AJ557" s="2510"/>
      <c r="AK557" s="596"/>
      <c r="AL557" s="596"/>
      <c r="AM557" s="596"/>
      <c r="AN557" s="598"/>
      <c r="AP557" s="2420">
        <f>Application!AJ1053</f>
        <v>279976673.72000003</v>
      </c>
      <c r="AQ557" s="2420"/>
      <c r="AR557" s="2420"/>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511">
        <f>IFERROR(IF(AND(C541="N/A",C544="N/A"),0,IF(AF553=0,0,IF((AF553*100)&gt;12,12,(AF553*100)))),0)</f>
        <v>12</v>
      </c>
      <c r="AL559" s="2511"/>
      <c r="AM559" s="2512"/>
      <c r="AN559" s="598"/>
      <c r="AP559" s="2405">
        <f>AP556+(AP550*AP554)</f>
        <v>279976673.72000003</v>
      </c>
      <c r="AQ559" s="2406"/>
      <c r="AR559" s="2407"/>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62" t="s">
        <v>1314</v>
      </c>
      <c r="AF562" s="2462"/>
      <c r="AG562" s="2462"/>
      <c r="AH562" s="2462"/>
      <c r="AI562" s="2462"/>
      <c r="AJ562" s="2462"/>
      <c r="AK562" s="2462"/>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22" t="s">
        <v>2024</v>
      </c>
      <c r="C564" s="2422"/>
      <c r="D564" s="2422"/>
      <c r="E564" s="2422"/>
      <c r="F564" s="2422"/>
      <c r="G564" s="2422"/>
      <c r="H564" s="2422"/>
      <c r="I564" s="2422"/>
      <c r="J564" s="2422"/>
      <c r="K564" s="2422"/>
      <c r="L564" s="2422"/>
      <c r="M564" s="2422"/>
      <c r="N564" s="2422"/>
      <c r="O564" s="2422"/>
      <c r="P564" s="2422"/>
      <c r="Q564" s="2422"/>
      <c r="R564" s="2422"/>
      <c r="S564" s="2422"/>
      <c r="T564" s="2422"/>
      <c r="U564" s="2422"/>
      <c r="V564" s="2422"/>
      <c r="W564" s="2422"/>
      <c r="X564" s="2422"/>
      <c r="Y564" s="2422"/>
      <c r="Z564" s="2422"/>
      <c r="AA564" s="2422"/>
      <c r="AB564" s="2422"/>
      <c r="AC564" s="2422"/>
      <c r="AD564" s="2422"/>
      <c r="AE564" s="2422"/>
      <c r="AF564" s="2422"/>
      <c r="AG564" s="2422"/>
      <c r="AH564" s="2422"/>
      <c r="AI564" s="2422"/>
      <c r="AJ564" s="2422"/>
      <c r="AK564" s="643"/>
      <c r="AL564" s="574"/>
      <c r="AM564" s="604"/>
      <c r="AN564" s="598"/>
    </row>
    <row r="565" spans="1:42" s="551" customFormat="1" ht="12.75" customHeight="1">
      <c r="A565" s="604"/>
      <c r="B565" s="2422"/>
      <c r="C565" s="2422"/>
      <c r="D565" s="2422"/>
      <c r="E565" s="2422"/>
      <c r="F565" s="2422"/>
      <c r="G565" s="2422"/>
      <c r="H565" s="2422"/>
      <c r="I565" s="2422"/>
      <c r="J565" s="2422"/>
      <c r="K565" s="2422"/>
      <c r="L565" s="2422"/>
      <c r="M565" s="2422"/>
      <c r="N565" s="2422"/>
      <c r="O565" s="2422"/>
      <c r="P565" s="2422"/>
      <c r="Q565" s="2422"/>
      <c r="R565" s="2422"/>
      <c r="S565" s="2422"/>
      <c r="T565" s="2422"/>
      <c r="U565" s="2422"/>
      <c r="V565" s="2422"/>
      <c r="W565" s="2422"/>
      <c r="X565" s="2422"/>
      <c r="Y565" s="2422"/>
      <c r="Z565" s="2422"/>
      <c r="AA565" s="2422"/>
      <c r="AB565" s="2422"/>
      <c r="AC565" s="2422"/>
      <c r="AD565" s="2422"/>
      <c r="AE565" s="2422"/>
      <c r="AF565" s="2422"/>
      <c r="AG565" s="2422"/>
      <c r="AH565" s="2422"/>
      <c r="AI565" s="2422"/>
      <c r="AJ565" s="2422"/>
      <c r="AK565" s="643"/>
      <c r="AL565" s="574"/>
      <c r="AM565" s="604"/>
      <c r="AN565" s="598"/>
    </row>
    <row r="566" spans="1:42" s="551" customFormat="1" ht="12.75" customHeight="1">
      <c r="A566" s="604"/>
      <c r="B566" s="2422"/>
      <c r="C566" s="2422"/>
      <c r="D566" s="2422"/>
      <c r="E566" s="2422"/>
      <c r="F566" s="2422"/>
      <c r="G566" s="2422"/>
      <c r="H566" s="2422"/>
      <c r="I566" s="2422"/>
      <c r="J566" s="2422"/>
      <c r="K566" s="2422"/>
      <c r="L566" s="2422"/>
      <c r="M566" s="2422"/>
      <c r="N566" s="2422"/>
      <c r="O566" s="2422"/>
      <c r="P566" s="2422"/>
      <c r="Q566" s="2422"/>
      <c r="R566" s="2422"/>
      <c r="S566" s="2422"/>
      <c r="T566" s="2422"/>
      <c r="U566" s="2422"/>
      <c r="V566" s="2422"/>
      <c r="W566" s="2422"/>
      <c r="X566" s="2422"/>
      <c r="Y566" s="2422"/>
      <c r="Z566" s="2422"/>
      <c r="AA566" s="2422"/>
      <c r="AB566" s="2422"/>
      <c r="AC566" s="2422"/>
      <c r="AD566" s="2422"/>
      <c r="AE566" s="2422"/>
      <c r="AF566" s="2422"/>
      <c r="AG566" s="2422"/>
      <c r="AH566" s="2422"/>
      <c r="AI566" s="2422"/>
      <c r="AJ566" s="2422"/>
      <c r="AK566" s="643"/>
      <c r="AL566" s="574"/>
      <c r="AM566" s="604"/>
      <c r="AN566" s="598"/>
    </row>
    <row r="567" spans="1:42" s="551" customFormat="1" ht="12.75" customHeight="1">
      <c r="A567" s="604"/>
      <c r="B567" s="2422"/>
      <c r="C567" s="2422"/>
      <c r="D567" s="2422"/>
      <c r="E567" s="2422"/>
      <c r="F567" s="2422"/>
      <c r="G567" s="2422"/>
      <c r="H567" s="2422"/>
      <c r="I567" s="2422"/>
      <c r="J567" s="2422"/>
      <c r="K567" s="2422"/>
      <c r="L567" s="2422"/>
      <c r="M567" s="2422"/>
      <c r="N567" s="2422"/>
      <c r="O567" s="2422"/>
      <c r="P567" s="2422"/>
      <c r="Q567" s="2422"/>
      <c r="R567" s="2422"/>
      <c r="S567" s="2422"/>
      <c r="T567" s="2422"/>
      <c r="U567" s="2422"/>
      <c r="V567" s="2422"/>
      <c r="W567" s="2422"/>
      <c r="X567" s="2422"/>
      <c r="Y567" s="2422"/>
      <c r="Z567" s="2422"/>
      <c r="AA567" s="2422"/>
      <c r="AB567" s="2422"/>
      <c r="AC567" s="2422"/>
      <c r="AD567" s="2422"/>
      <c r="AE567" s="2422"/>
      <c r="AF567" s="2422"/>
      <c r="AG567" s="2422"/>
      <c r="AH567" s="2422"/>
      <c r="AI567" s="2422"/>
      <c r="AJ567" s="2422"/>
      <c r="AK567" s="643"/>
      <c r="AL567" s="574"/>
      <c r="AM567" s="604"/>
      <c r="AN567" s="598"/>
    </row>
    <row r="568" spans="1:42" s="551" customFormat="1" ht="12.75" customHeight="1">
      <c r="A568" s="604"/>
      <c r="B568" s="2422"/>
      <c r="C568" s="2422"/>
      <c r="D568" s="2422"/>
      <c r="E568" s="2422"/>
      <c r="F568" s="2422"/>
      <c r="G568" s="2422"/>
      <c r="H568" s="2422"/>
      <c r="I568" s="2422"/>
      <c r="J568" s="2422"/>
      <c r="K568" s="2422"/>
      <c r="L568" s="2422"/>
      <c r="M568" s="2422"/>
      <c r="N568" s="2422"/>
      <c r="O568" s="2422"/>
      <c r="P568" s="2422"/>
      <c r="Q568" s="2422"/>
      <c r="R568" s="2422"/>
      <c r="S568" s="2422"/>
      <c r="T568" s="2422"/>
      <c r="U568" s="2422"/>
      <c r="V568" s="2422"/>
      <c r="W568" s="2422"/>
      <c r="X568" s="2422"/>
      <c r="Y568" s="2422"/>
      <c r="Z568" s="2422"/>
      <c r="AA568" s="2422"/>
      <c r="AB568" s="2422"/>
      <c r="AC568" s="2422"/>
      <c r="AD568" s="2422"/>
      <c r="AE568" s="2422"/>
      <c r="AF568" s="2422"/>
      <c r="AG568" s="2422"/>
      <c r="AH568" s="2422"/>
      <c r="AI568" s="2422"/>
      <c r="AJ568" s="2422"/>
      <c r="AK568" s="643"/>
      <c r="AL568" s="574"/>
      <c r="AM568" s="604"/>
      <c r="AN568" s="598"/>
    </row>
    <row r="569" spans="1:42" s="551" customFormat="1" ht="12.75" customHeight="1">
      <c r="A569" s="604"/>
      <c r="B569" s="2422"/>
      <c r="C569" s="2422"/>
      <c r="D569" s="2422"/>
      <c r="E569" s="2422"/>
      <c r="F569" s="2422"/>
      <c r="G569" s="2422"/>
      <c r="H569" s="2422"/>
      <c r="I569" s="2422"/>
      <c r="J569" s="2422"/>
      <c r="K569" s="2422"/>
      <c r="L569" s="2422"/>
      <c r="M569" s="2422"/>
      <c r="N569" s="2422"/>
      <c r="O569" s="2422"/>
      <c r="P569" s="2422"/>
      <c r="Q569" s="2422"/>
      <c r="R569" s="2422"/>
      <c r="S569" s="2422"/>
      <c r="T569" s="2422"/>
      <c r="U569" s="2422"/>
      <c r="V569" s="2422"/>
      <c r="W569" s="2422"/>
      <c r="X569" s="2422"/>
      <c r="Y569" s="2422"/>
      <c r="Z569" s="2422"/>
      <c r="AA569" s="2422"/>
      <c r="AB569" s="2422"/>
      <c r="AC569" s="2422"/>
      <c r="AD569" s="2422"/>
      <c r="AE569" s="2422"/>
      <c r="AF569" s="2422"/>
      <c r="AG569" s="2422"/>
      <c r="AH569" s="2422"/>
      <c r="AI569" s="2422"/>
      <c r="AJ569" s="2422"/>
      <c r="AK569" s="643"/>
      <c r="AL569" s="574"/>
      <c r="AM569" s="604"/>
      <c r="AN569" s="598"/>
    </row>
    <row r="570" spans="1:42" s="551" customFormat="1" ht="12.75" customHeight="1">
      <c r="A570" s="604"/>
      <c r="B570" s="2422"/>
      <c r="C570" s="2422"/>
      <c r="D570" s="2422"/>
      <c r="E570" s="2422"/>
      <c r="F570" s="2422"/>
      <c r="G570" s="2422"/>
      <c r="H570" s="2422"/>
      <c r="I570" s="2422"/>
      <c r="J570" s="2422"/>
      <c r="K570" s="2422"/>
      <c r="L570" s="2422"/>
      <c r="M570" s="2422"/>
      <c r="N570" s="2422"/>
      <c r="O570" s="2422"/>
      <c r="P570" s="2422"/>
      <c r="Q570" s="2422"/>
      <c r="R570" s="2422"/>
      <c r="S570" s="2422"/>
      <c r="T570" s="2422"/>
      <c r="U570" s="2422"/>
      <c r="V570" s="2422"/>
      <c r="W570" s="2422"/>
      <c r="X570" s="2422"/>
      <c r="Y570" s="2422"/>
      <c r="Z570" s="2422"/>
      <c r="AA570" s="2422"/>
      <c r="AB570" s="2422"/>
      <c r="AC570" s="2422"/>
      <c r="AD570" s="2422"/>
      <c r="AE570" s="2422"/>
      <c r="AF570" s="2422"/>
      <c r="AG570" s="2422"/>
      <c r="AH570" s="2422"/>
      <c r="AI570" s="2422"/>
      <c r="AJ570" s="2422"/>
      <c r="AK570" s="643"/>
      <c r="AL570" s="574"/>
      <c r="AM570" s="604"/>
      <c r="AN570" s="598"/>
    </row>
    <row r="571" spans="1:42" ht="12.75" customHeight="1">
      <c r="A571" s="604"/>
      <c r="B571" s="2422"/>
      <c r="C571" s="2422"/>
      <c r="D571" s="2422"/>
      <c r="E571" s="2422"/>
      <c r="F571" s="2422"/>
      <c r="G571" s="2422"/>
      <c r="H571" s="2422"/>
      <c r="I571" s="2422"/>
      <c r="J571" s="2422"/>
      <c r="K571" s="2422"/>
      <c r="L571" s="2422"/>
      <c r="M571" s="2422"/>
      <c r="N571" s="2422"/>
      <c r="O571" s="2422"/>
      <c r="P571" s="2422"/>
      <c r="Q571" s="2422"/>
      <c r="R571" s="2422"/>
      <c r="S571" s="2422"/>
      <c r="T571" s="2422"/>
      <c r="U571" s="2422"/>
      <c r="V571" s="2422"/>
      <c r="W571" s="2422"/>
      <c r="X571" s="2422"/>
      <c r="Y571" s="2422"/>
      <c r="Z571" s="2422"/>
      <c r="AA571" s="2422"/>
      <c r="AB571" s="2422"/>
      <c r="AC571" s="2422"/>
      <c r="AD571" s="2422"/>
      <c r="AE571" s="2422"/>
      <c r="AF571" s="2422"/>
      <c r="AG571" s="2422"/>
      <c r="AH571" s="2422"/>
      <c r="AI571" s="2422"/>
      <c r="AJ571" s="2422"/>
      <c r="AK571" s="643"/>
      <c r="AL571" s="574"/>
      <c r="AM571" s="604"/>
    </row>
    <row r="572" spans="1:42" s="551" customFormat="1" ht="12.75" customHeight="1">
      <c r="B572" s="2422"/>
      <c r="C572" s="2422"/>
      <c r="D572" s="2422"/>
      <c r="E572" s="2422"/>
      <c r="F572" s="2422"/>
      <c r="G572" s="2422"/>
      <c r="H572" s="2422"/>
      <c r="I572" s="2422"/>
      <c r="J572" s="2422"/>
      <c r="K572" s="2422"/>
      <c r="L572" s="2422"/>
      <c r="M572" s="2422"/>
      <c r="N572" s="2422"/>
      <c r="O572" s="2422"/>
      <c r="P572" s="2422"/>
      <c r="Q572" s="2422"/>
      <c r="R572" s="2422"/>
      <c r="S572" s="2422"/>
      <c r="T572" s="2422"/>
      <c r="U572" s="2422"/>
      <c r="V572" s="2422"/>
      <c r="W572" s="2422"/>
      <c r="X572" s="2422"/>
      <c r="Y572" s="2422"/>
      <c r="Z572" s="2422"/>
      <c r="AA572" s="2422"/>
      <c r="AB572" s="2422"/>
      <c r="AC572" s="2422"/>
      <c r="AD572" s="2422"/>
      <c r="AE572" s="2422"/>
      <c r="AF572" s="2422"/>
      <c r="AG572" s="2422"/>
      <c r="AH572" s="2422"/>
      <c r="AI572" s="2422"/>
      <c r="AJ572" s="2422"/>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22" t="s">
        <v>1338</v>
      </c>
      <c r="AG578" s="2522"/>
      <c r="AH578" s="2522"/>
      <c r="AI578" s="2522"/>
      <c r="AJ578" s="2522"/>
      <c r="AK578" s="2522"/>
      <c r="AL578" s="2522"/>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22" t="s">
        <v>1396</v>
      </c>
      <c r="AG585" s="2522"/>
      <c r="AH585" s="2522"/>
      <c r="AI585" s="2522"/>
      <c r="AJ585" s="2522"/>
      <c r="AK585" s="2522"/>
      <c r="AL585" s="2522"/>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278</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22" t="s">
        <v>1378</v>
      </c>
      <c r="AG591" s="2522"/>
      <c r="AH591" s="2522"/>
      <c r="AI591" s="2522"/>
      <c r="AJ591" s="2522"/>
      <c r="AK591" s="2522"/>
      <c r="AL591" s="2522"/>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22" t="s">
        <v>1399</v>
      </c>
      <c r="AG597" s="2522"/>
      <c r="AH597" s="2522"/>
      <c r="AI597" s="2522"/>
      <c r="AJ597" s="2522"/>
      <c r="AK597" s="2522"/>
      <c r="AL597" s="2522"/>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538" t="s">
        <v>1184</v>
      </c>
      <c r="P601" s="2538"/>
      <c r="Q601" s="2538"/>
      <c r="R601" s="2538"/>
      <c r="S601" s="2538"/>
      <c r="T601" s="2538"/>
      <c r="U601" s="2538"/>
      <c r="V601" s="2538"/>
      <c r="W601" s="2538"/>
      <c r="X601" s="2538"/>
      <c r="Y601" s="2538"/>
      <c r="Z601" s="2538"/>
      <c r="AA601" s="2538"/>
      <c r="AB601" s="2538"/>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22" t="s">
        <v>1352</v>
      </c>
      <c r="AG603" s="2522"/>
      <c r="AH603" s="2522"/>
      <c r="AI603" s="2522"/>
      <c r="AJ603" s="2522"/>
      <c r="AK603" s="2522"/>
      <c r="AL603" s="2522"/>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1400</v>
      </c>
      <c r="E606" s="937"/>
      <c r="F606" s="937"/>
      <c r="G606" s="937"/>
      <c r="H606" s="2446" t="s">
        <v>688</v>
      </c>
      <c r="I606" s="2446"/>
      <c r="J606" s="937"/>
      <c r="K606" s="937"/>
      <c r="L606" s="937"/>
      <c r="N606" s="22"/>
      <c r="O606" s="22"/>
      <c r="P606" s="22"/>
      <c r="Q606" s="1153" t="s">
        <v>2178</v>
      </c>
      <c r="R606" s="2539"/>
      <c r="S606" s="2539"/>
      <c r="T606" s="2539"/>
      <c r="U606" s="2539"/>
      <c r="V606" s="2539"/>
      <c r="W606" s="2539"/>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40" t="str">
        <f>IF(AND(H606="(i)",NOT(AP582)),AO599,IF(AND(H606="(iv)",OR(R606=AO595,R606=AO594),NOT(AP583)),AO600,""))</f>
        <v/>
      </c>
      <c r="Z607" s="2540"/>
      <c r="AA607" s="2540"/>
      <c r="AB607" s="2540"/>
      <c r="AC607" s="2540"/>
      <c r="AD607" s="2540"/>
      <c r="AE607" s="2540"/>
      <c r="AF607" s="2540"/>
      <c r="AG607" s="2540"/>
      <c r="AH607" s="2540"/>
      <c r="AI607" s="2540"/>
      <c r="AJ607" s="2540"/>
      <c r="AK607" s="2540"/>
      <c r="AL607" s="2540"/>
      <c r="AM607" s="2541"/>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40"/>
      <c r="Z608" s="2540"/>
      <c r="AA608" s="2540"/>
      <c r="AB608" s="2540"/>
      <c r="AC608" s="2540"/>
      <c r="AD608" s="2540"/>
      <c r="AE608" s="2540"/>
      <c r="AF608" s="2540"/>
      <c r="AG608" s="2540"/>
      <c r="AH608" s="2540"/>
      <c r="AI608" s="2540"/>
      <c r="AJ608" s="2540"/>
      <c r="AK608" s="2540"/>
      <c r="AL608" s="2540"/>
      <c r="AM608" s="2541"/>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1400</v>
      </c>
      <c r="F614" s="937"/>
      <c r="G614" s="937"/>
      <c r="I614" s="2537" t="s">
        <v>592</v>
      </c>
      <c r="J614" s="2537"/>
      <c r="K614" s="2537"/>
      <c r="L614" s="2537"/>
      <c r="M614" s="2537"/>
      <c r="N614" s="2537"/>
      <c r="O614" s="2537"/>
      <c r="P614" s="2537"/>
      <c r="Q614" s="2537"/>
      <c r="R614" s="2537"/>
      <c r="S614" s="2537"/>
      <c r="T614" s="2537"/>
      <c r="U614" s="2537"/>
      <c r="V614" s="2537"/>
      <c r="W614" s="2537"/>
      <c r="X614" s="2537"/>
      <c r="Y614" s="2537"/>
      <c r="Z614" s="2537"/>
      <c r="AA614" s="2537"/>
      <c r="AB614" s="2537"/>
      <c r="AC614" s="2537"/>
      <c r="AD614" s="2537"/>
      <c r="AE614" s="2537"/>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394" t="s">
        <v>592</v>
      </c>
      <c r="C616" s="2394"/>
      <c r="D616" s="643"/>
      <c r="E616" s="2422" t="s">
        <v>1403</v>
      </c>
      <c r="F616" s="2422"/>
      <c r="G616" s="2422"/>
      <c r="H616" s="2422"/>
      <c r="I616" s="2422"/>
      <c r="J616" s="2422"/>
      <c r="K616" s="2422"/>
      <c r="L616" s="2422"/>
      <c r="M616" s="2422"/>
      <c r="N616" s="2422"/>
      <c r="O616" s="2422"/>
      <c r="P616" s="2422"/>
      <c r="Q616" s="2422"/>
      <c r="R616" s="2422"/>
      <c r="S616" s="2422"/>
      <c r="T616" s="2422"/>
      <c r="U616" s="2422"/>
      <c r="V616" s="2422"/>
      <c r="W616" s="2422"/>
      <c r="X616" s="2422"/>
      <c r="Y616" s="2422"/>
      <c r="Z616" s="2422"/>
      <c r="AA616" s="2422"/>
      <c r="AB616" s="2422"/>
      <c r="AC616" s="2422"/>
      <c r="AD616" s="2422"/>
      <c r="AE616" s="2422"/>
      <c r="AF616" s="2422"/>
      <c r="AG616" s="2422"/>
      <c r="AH616" s="643"/>
      <c r="AI616" s="643"/>
      <c r="AJ616" s="643"/>
      <c r="AK616" s="643"/>
      <c r="AL616" s="643"/>
      <c r="AN616" s="598"/>
    </row>
    <row r="617" spans="1:42" s="551" customFormat="1" ht="12.75" customHeight="1">
      <c r="B617" s="537"/>
      <c r="C617" s="934"/>
      <c r="D617" s="643"/>
      <c r="E617" s="2422"/>
      <c r="F617" s="2422"/>
      <c r="G617" s="2422"/>
      <c r="H617" s="2422"/>
      <c r="I617" s="2422"/>
      <c r="J617" s="2422"/>
      <c r="K617" s="2422"/>
      <c r="L617" s="2422"/>
      <c r="M617" s="2422"/>
      <c r="N617" s="2422"/>
      <c r="O617" s="2422"/>
      <c r="P617" s="2422"/>
      <c r="Q617" s="2422"/>
      <c r="R617" s="2422"/>
      <c r="S617" s="2422"/>
      <c r="T617" s="2422"/>
      <c r="U617" s="2422"/>
      <c r="V617" s="2422"/>
      <c r="W617" s="2422"/>
      <c r="X617" s="2422"/>
      <c r="Y617" s="2422"/>
      <c r="Z617" s="2422"/>
      <c r="AA617" s="2422"/>
      <c r="AB617" s="2422"/>
      <c r="AC617" s="2422"/>
      <c r="AD617" s="2422"/>
      <c r="AE617" s="2422"/>
      <c r="AF617" s="2422"/>
      <c r="AG617" s="2422"/>
      <c r="AH617" s="643"/>
      <c r="AI617" s="643"/>
      <c r="AJ617" s="643"/>
      <c r="AK617" s="643"/>
      <c r="AL617" s="643"/>
      <c r="AN617" s="598"/>
    </row>
    <row r="618" spans="1:42" s="551" customFormat="1" ht="12.75" customHeight="1">
      <c r="B618" s="537"/>
      <c r="C618" s="934"/>
      <c r="D618" s="643"/>
      <c r="E618" s="2422"/>
      <c r="F618" s="2422"/>
      <c r="G618" s="2422"/>
      <c r="H618" s="2422"/>
      <c r="I618" s="2422"/>
      <c r="J618" s="2422"/>
      <c r="K618" s="2422"/>
      <c r="L618" s="2422"/>
      <c r="M618" s="2422"/>
      <c r="N618" s="2422"/>
      <c r="O618" s="2422"/>
      <c r="P618" s="2422"/>
      <c r="Q618" s="2422"/>
      <c r="R618" s="2422"/>
      <c r="S618" s="2422"/>
      <c r="T618" s="2422"/>
      <c r="U618" s="2422"/>
      <c r="V618" s="2422"/>
      <c r="W618" s="2422"/>
      <c r="X618" s="2422"/>
      <c r="Y618" s="2422"/>
      <c r="Z618" s="2422"/>
      <c r="AA618" s="2422"/>
      <c r="AB618" s="2422"/>
      <c r="AC618" s="2422"/>
      <c r="AD618" s="2422"/>
      <c r="AE618" s="2422"/>
      <c r="AF618" s="2422"/>
      <c r="AG618" s="2422"/>
      <c r="AH618" s="643"/>
      <c r="AI618" s="643"/>
      <c r="AJ618" s="643"/>
      <c r="AK618" s="643"/>
      <c r="AL618" s="643"/>
      <c r="AN618" s="598"/>
    </row>
    <row r="619" spans="1:42" s="551" customFormat="1" ht="12.75" customHeight="1">
      <c r="B619" s="537"/>
      <c r="C619" s="934"/>
      <c r="D619" s="643"/>
      <c r="E619" s="2422"/>
      <c r="F619" s="2422"/>
      <c r="G619" s="2422"/>
      <c r="H619" s="2422"/>
      <c r="I619" s="2422"/>
      <c r="J619" s="2422"/>
      <c r="K619" s="2422"/>
      <c r="L619" s="2422"/>
      <c r="M619" s="2422"/>
      <c r="N619" s="2422"/>
      <c r="O619" s="2422"/>
      <c r="P619" s="2422"/>
      <c r="Q619" s="2422"/>
      <c r="R619" s="2422"/>
      <c r="S619" s="2422"/>
      <c r="T619" s="2422"/>
      <c r="U619" s="2422"/>
      <c r="V619" s="2422"/>
      <c r="W619" s="2422"/>
      <c r="X619" s="2422"/>
      <c r="Y619" s="2422"/>
      <c r="Z619" s="2422"/>
      <c r="AA619" s="2422"/>
      <c r="AB619" s="2422"/>
      <c r="AC619" s="2422"/>
      <c r="AD619" s="2422"/>
      <c r="AE619" s="2422"/>
      <c r="AF619" s="2422"/>
      <c r="AG619" s="2422"/>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429">
        <f>VLOOKUP($H$606,$AO$586:$AP$591,2,FALSE)+IF(R606=AO594,0,VLOOKUP($I$614,$AO$613:$AP$615,2,FALSE))</f>
        <v>7</v>
      </c>
      <c r="AK621" s="2431"/>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536" t="s">
        <v>1694</v>
      </c>
      <c r="F625" s="2536"/>
      <c r="G625" s="2536"/>
      <c r="H625" s="2536"/>
      <c r="I625" s="2536"/>
      <c r="J625" s="2536"/>
      <c r="K625" s="2536"/>
      <c r="L625" s="2536"/>
      <c r="M625" s="2536"/>
      <c r="N625" s="2536"/>
      <c r="O625" s="2536"/>
      <c r="P625" s="2536"/>
      <c r="Q625" s="2536"/>
      <c r="R625" s="2536"/>
      <c r="S625" s="2536"/>
      <c r="T625" s="2536"/>
      <c r="U625" s="2536"/>
      <c r="V625" s="2536"/>
      <c r="W625" s="2536"/>
      <c r="X625" s="2536"/>
      <c r="Y625" s="2536"/>
      <c r="Z625" s="2536"/>
      <c r="AA625" s="2536"/>
      <c r="AB625" s="2536"/>
      <c r="AC625" s="2536"/>
      <c r="AD625" s="2536"/>
      <c r="AE625" s="540"/>
      <c r="AF625" s="2522" t="s">
        <v>1352</v>
      </c>
      <c r="AG625" s="2522"/>
      <c r="AH625" s="2522"/>
      <c r="AI625" s="2522"/>
      <c r="AJ625" s="2522"/>
      <c r="AK625" s="2522"/>
      <c r="AL625" s="2522"/>
      <c r="AM625" s="551"/>
      <c r="AN625" s="679"/>
    </row>
    <row r="626" spans="1:42" s="551" customFormat="1" ht="12.75" customHeight="1">
      <c r="A626" s="680"/>
      <c r="B626" s="537"/>
      <c r="C626" s="934"/>
      <c r="D626" s="664"/>
      <c r="E626" s="2536"/>
      <c r="F626" s="2536"/>
      <c r="G626" s="2536"/>
      <c r="H626" s="2536"/>
      <c r="I626" s="2536"/>
      <c r="J626" s="2536"/>
      <c r="K626" s="2536"/>
      <c r="L626" s="2536"/>
      <c r="M626" s="2536"/>
      <c r="N626" s="2536"/>
      <c r="O626" s="2536"/>
      <c r="P626" s="2536"/>
      <c r="Q626" s="2536"/>
      <c r="R626" s="2536"/>
      <c r="S626" s="2536"/>
      <c r="T626" s="2536"/>
      <c r="U626" s="2536"/>
      <c r="V626" s="2536"/>
      <c r="W626" s="2536"/>
      <c r="X626" s="2536"/>
      <c r="Y626" s="2536"/>
      <c r="Z626" s="2536"/>
      <c r="AA626" s="2536"/>
      <c r="AB626" s="2536"/>
      <c r="AC626" s="2536"/>
      <c r="AD626" s="2536"/>
      <c r="AE626" s="537"/>
      <c r="AF626" s="537"/>
      <c r="AG626" s="537"/>
      <c r="AH626" s="537"/>
      <c r="AI626" s="537"/>
      <c r="AJ626" s="537"/>
      <c r="AK626" s="537"/>
      <c r="AL626" s="537"/>
      <c r="AN626" s="598"/>
    </row>
    <row r="627" spans="1:42" s="551" customFormat="1" ht="12.75" customHeight="1">
      <c r="B627" s="537"/>
      <c r="C627" s="932"/>
      <c r="D627" s="664"/>
      <c r="E627" s="2536"/>
      <c r="F627" s="2536"/>
      <c r="G627" s="2536"/>
      <c r="H627" s="2536"/>
      <c r="I627" s="2536"/>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537"/>
      <c r="AF627" s="537"/>
      <c r="AG627" s="537"/>
      <c r="AH627" s="537"/>
      <c r="AI627" s="537"/>
      <c r="AJ627" s="537"/>
      <c r="AK627" s="537"/>
      <c r="AL627" s="537"/>
      <c r="AN627" s="598"/>
    </row>
    <row r="628" spans="1:42" s="551" customFormat="1" ht="12.75" customHeight="1">
      <c r="B628" s="537"/>
      <c r="C628" s="932"/>
      <c r="D628" s="664"/>
      <c r="E628" s="2536"/>
      <c r="F628" s="2536"/>
      <c r="G628" s="2536"/>
      <c r="H628" s="2536"/>
      <c r="I628" s="2536"/>
      <c r="J628" s="2536"/>
      <c r="K628" s="2536"/>
      <c r="L628" s="2536"/>
      <c r="M628" s="2536"/>
      <c r="N628" s="2536"/>
      <c r="O628" s="2536"/>
      <c r="P628" s="2536"/>
      <c r="Q628" s="2536"/>
      <c r="R628" s="2536"/>
      <c r="S628" s="2536"/>
      <c r="T628" s="2536"/>
      <c r="U628" s="2536"/>
      <c r="V628" s="2536"/>
      <c r="W628" s="2536"/>
      <c r="X628" s="2536"/>
      <c r="Y628" s="2536"/>
      <c r="Z628" s="2536"/>
      <c r="AA628" s="2536"/>
      <c r="AB628" s="2536"/>
      <c r="AC628" s="2536"/>
      <c r="AD628" s="2536"/>
      <c r="AE628" s="537"/>
      <c r="AF628" s="537"/>
      <c r="AG628" s="537"/>
      <c r="AH628" s="537"/>
      <c r="AI628" s="537"/>
      <c r="AJ628" s="537"/>
      <c r="AK628" s="537"/>
      <c r="AL628" s="537"/>
      <c r="AN628" s="598"/>
    </row>
    <row r="629" spans="1:42" s="551" customFormat="1" ht="12.75" customHeight="1">
      <c r="B629" s="537"/>
      <c r="C629" s="932"/>
      <c r="D629" s="664"/>
      <c r="E629" s="2536"/>
      <c r="F629" s="2536"/>
      <c r="G629" s="2536"/>
      <c r="H629" s="2536"/>
      <c r="I629" s="2536"/>
      <c r="J629" s="2536"/>
      <c r="K629" s="2536"/>
      <c r="L629" s="2536"/>
      <c r="M629" s="2536"/>
      <c r="N629" s="2536"/>
      <c r="O629" s="2536"/>
      <c r="P629" s="2536"/>
      <c r="Q629" s="2536"/>
      <c r="R629" s="2536"/>
      <c r="S629" s="2536"/>
      <c r="T629" s="2536"/>
      <c r="U629" s="2536"/>
      <c r="V629" s="2536"/>
      <c r="W629" s="2536"/>
      <c r="X629" s="2536"/>
      <c r="Y629" s="2536"/>
      <c r="Z629" s="2536"/>
      <c r="AA629" s="2536"/>
      <c r="AB629" s="2536"/>
      <c r="AC629" s="2536"/>
      <c r="AD629" s="2536"/>
      <c r="AE629" s="537"/>
      <c r="AF629" s="537"/>
      <c r="AG629" s="537"/>
      <c r="AH629" s="537"/>
      <c r="AI629" s="537"/>
      <c r="AJ629" s="537"/>
      <c r="AK629" s="537"/>
      <c r="AL629" s="537"/>
      <c r="AN629" s="598"/>
    </row>
    <row r="630" spans="1:42" s="551" customFormat="1" ht="12.75" customHeight="1">
      <c r="B630" s="537"/>
      <c r="C630" s="932"/>
      <c r="D630" s="664"/>
      <c r="E630" s="2536"/>
      <c r="F630" s="2536"/>
      <c r="G630" s="2536"/>
      <c r="H630" s="2536"/>
      <c r="I630" s="2536"/>
      <c r="J630" s="2536"/>
      <c r="K630" s="2536"/>
      <c r="L630" s="2536"/>
      <c r="M630" s="2536"/>
      <c r="N630" s="2536"/>
      <c r="O630" s="2536"/>
      <c r="P630" s="2536"/>
      <c r="Q630" s="2536"/>
      <c r="R630" s="2536"/>
      <c r="S630" s="2536"/>
      <c r="T630" s="2536"/>
      <c r="U630" s="2536"/>
      <c r="V630" s="2536"/>
      <c r="W630" s="2536"/>
      <c r="X630" s="2536"/>
      <c r="Y630" s="2536"/>
      <c r="Z630" s="2536"/>
      <c r="AA630" s="2536"/>
      <c r="AB630" s="2536"/>
      <c r="AC630" s="2536"/>
      <c r="AD630" s="2536"/>
      <c r="AE630" s="537"/>
      <c r="AF630" s="537"/>
      <c r="AG630" s="537"/>
      <c r="AH630" s="537"/>
      <c r="AI630" s="537"/>
      <c r="AJ630" s="537"/>
      <c r="AK630" s="537"/>
      <c r="AL630" s="537"/>
      <c r="AN630" s="598"/>
    </row>
    <row r="631" spans="1:42" s="551" customFormat="1" ht="12.75" customHeight="1">
      <c r="A631" s="638"/>
      <c r="B631" s="617"/>
      <c r="C631" s="941"/>
      <c r="D631" s="664"/>
      <c r="E631" s="2536"/>
      <c r="F631" s="2536"/>
      <c r="G631" s="2536"/>
      <c r="H631" s="2536"/>
      <c r="I631" s="2536"/>
      <c r="J631" s="2536"/>
      <c r="K631" s="2536"/>
      <c r="L631" s="2536"/>
      <c r="M631" s="2536"/>
      <c r="N631" s="2536"/>
      <c r="O631" s="2536"/>
      <c r="P631" s="2536"/>
      <c r="Q631" s="2536"/>
      <c r="R631" s="2536"/>
      <c r="S631" s="2536"/>
      <c r="T631" s="2536"/>
      <c r="U631" s="2536"/>
      <c r="V631" s="2536"/>
      <c r="W631" s="2536"/>
      <c r="X631" s="2536"/>
      <c r="Y631" s="2536"/>
      <c r="Z631" s="2536"/>
      <c r="AA631" s="2536"/>
      <c r="AB631" s="2536"/>
      <c r="AC631" s="2536"/>
      <c r="AD631" s="2536"/>
      <c r="AE631" s="617"/>
      <c r="AF631" s="617"/>
      <c r="AG631" s="617"/>
      <c r="AH631" s="617"/>
      <c r="AI631" s="617"/>
      <c r="AJ631" s="617"/>
      <c r="AK631" s="537"/>
      <c r="AL631" s="537"/>
      <c r="AN631" s="598"/>
    </row>
    <row r="632" spans="1:42" s="551" customFormat="1" ht="12.75" customHeight="1">
      <c r="B632" s="617"/>
      <c r="C632" s="941"/>
      <c r="D632" s="664"/>
      <c r="E632" s="2536"/>
      <c r="F632" s="2536"/>
      <c r="G632" s="2536"/>
      <c r="H632" s="2536"/>
      <c r="I632" s="2536"/>
      <c r="J632" s="2536"/>
      <c r="K632" s="2536"/>
      <c r="L632" s="2536"/>
      <c r="M632" s="2536"/>
      <c r="N632" s="2536"/>
      <c r="O632" s="2536"/>
      <c r="P632" s="2536"/>
      <c r="Q632" s="2536"/>
      <c r="R632" s="2536"/>
      <c r="S632" s="2536"/>
      <c r="T632" s="2536"/>
      <c r="U632" s="2536"/>
      <c r="V632" s="2536"/>
      <c r="W632" s="2536"/>
      <c r="X632" s="2536"/>
      <c r="Y632" s="2536"/>
      <c r="Z632" s="2536"/>
      <c r="AA632" s="2536"/>
      <c r="AB632" s="2536"/>
      <c r="AC632" s="2536"/>
      <c r="AD632" s="2536"/>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394" t="s">
        <v>592</v>
      </c>
      <c r="Y634" s="2394"/>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22" t="s">
        <v>1408</v>
      </c>
      <c r="AG636" s="2522"/>
      <c r="AH636" s="2522"/>
      <c r="AI636" s="2522"/>
      <c r="AJ636" s="2522"/>
      <c r="AK636" s="2522"/>
      <c r="AL636" s="2522"/>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446" t="s">
        <v>688</v>
      </c>
      <c r="I638" s="2446"/>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429">
        <f>VLOOKUP($H$638,$AO$605:$AP$607,2,FALSE)</f>
        <v>3</v>
      </c>
      <c r="AK640" s="2431"/>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22" t="s">
        <v>2099</v>
      </c>
      <c r="F644" s="2422"/>
      <c r="G644" s="2422"/>
      <c r="H644" s="2422"/>
      <c r="I644" s="2422"/>
      <c r="J644" s="2422"/>
      <c r="K644" s="2422"/>
      <c r="L644" s="2422"/>
      <c r="M644" s="2422"/>
      <c r="N644" s="2422"/>
      <c r="O644" s="2422"/>
      <c r="P644" s="2422"/>
      <c r="Q644" s="2422"/>
      <c r="R644" s="2422"/>
      <c r="S644" s="2422"/>
      <c r="T644" s="2422"/>
      <c r="U644" s="2422"/>
      <c r="V644" s="2422"/>
      <c r="W644" s="2422"/>
      <c r="X644" s="2422"/>
      <c r="Y644" s="2422"/>
      <c r="Z644" s="2422"/>
      <c r="AA644" s="2422"/>
      <c r="AB644" s="2422"/>
      <c r="AC644" s="2422"/>
      <c r="AD644" s="2422"/>
      <c r="AE644" s="537"/>
      <c r="AF644" s="2522" t="s">
        <v>1352</v>
      </c>
      <c r="AG644" s="2522"/>
      <c r="AH644" s="2522"/>
      <c r="AI644" s="2522"/>
      <c r="AJ644" s="2522"/>
      <c r="AK644" s="2522"/>
      <c r="AL644" s="2522"/>
      <c r="AN644" s="598"/>
    </row>
    <row r="645" spans="1:42" s="551" customFormat="1" ht="12.75" customHeight="1">
      <c r="B645" s="537"/>
      <c r="C645" s="537"/>
      <c r="D645" s="664"/>
      <c r="E645" s="2422"/>
      <c r="F645" s="2422"/>
      <c r="G645" s="2422"/>
      <c r="H645" s="2422"/>
      <c r="I645" s="2422"/>
      <c r="J645" s="2422"/>
      <c r="K645" s="2422"/>
      <c r="L645" s="2422"/>
      <c r="M645" s="2422"/>
      <c r="N645" s="2422"/>
      <c r="O645" s="2422"/>
      <c r="P645" s="2422"/>
      <c r="Q645" s="2422"/>
      <c r="R645" s="2422"/>
      <c r="S645" s="2422"/>
      <c r="T645" s="2422"/>
      <c r="U645" s="2422"/>
      <c r="V645" s="2422"/>
      <c r="W645" s="2422"/>
      <c r="X645" s="2422"/>
      <c r="Y645" s="2422"/>
      <c r="Z645" s="2422"/>
      <c r="AA645" s="2422"/>
      <c r="AB645" s="2422"/>
      <c r="AC645" s="2422"/>
      <c r="AD645" s="2422"/>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22" t="s">
        <v>1408</v>
      </c>
      <c r="AG647" s="2522"/>
      <c r="AH647" s="2522"/>
      <c r="AI647" s="2522"/>
      <c r="AJ647" s="2522"/>
      <c r="AK647" s="2522"/>
      <c r="AL647" s="2522"/>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446" t="s">
        <v>688</v>
      </c>
      <c r="I650" s="2446"/>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429">
        <f>VLOOKUP(H650,AT605:AU607,2,FALSE)</f>
        <v>3</v>
      </c>
      <c r="AK652" s="2431"/>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22" t="s">
        <v>1418</v>
      </c>
      <c r="F657" s="2422"/>
      <c r="G657" s="2422"/>
      <c r="H657" s="2422"/>
      <c r="I657" s="2422"/>
      <c r="J657" s="2422"/>
      <c r="K657" s="2422"/>
      <c r="L657" s="2422"/>
      <c r="M657" s="2422"/>
      <c r="N657" s="2422"/>
      <c r="O657" s="2422"/>
      <c r="P657" s="2422"/>
      <c r="Q657" s="2422"/>
      <c r="R657" s="2422"/>
      <c r="S657" s="2422"/>
      <c r="T657" s="2422"/>
      <c r="U657" s="2422"/>
      <c r="V657" s="2422"/>
      <c r="W657" s="2422"/>
      <c r="X657" s="2422"/>
      <c r="Y657" s="2422"/>
      <c r="Z657" s="2422"/>
      <c r="AA657" s="2422"/>
      <c r="AB657" s="2422"/>
      <c r="AC657" s="2422"/>
      <c r="AD657" s="537"/>
      <c r="AE657" s="537"/>
      <c r="AF657" s="2522" t="s">
        <v>1378</v>
      </c>
      <c r="AG657" s="2522"/>
      <c r="AH657" s="2522"/>
      <c r="AI657" s="2522"/>
      <c r="AJ657" s="2522"/>
      <c r="AK657" s="2522"/>
      <c r="AL657" s="2522"/>
      <c r="AN657" s="598"/>
    </row>
    <row r="658" spans="1:42" s="551" customFormat="1" ht="12.75" customHeight="1">
      <c r="B658" s="537"/>
      <c r="C658" s="540"/>
      <c r="D658" s="537"/>
      <c r="E658" s="2422"/>
      <c r="F658" s="2422"/>
      <c r="G658" s="2422"/>
      <c r="H658" s="2422"/>
      <c r="I658" s="2422"/>
      <c r="J658" s="2422"/>
      <c r="K658" s="2422"/>
      <c r="L658" s="2422"/>
      <c r="M658" s="2422"/>
      <c r="N658" s="2422"/>
      <c r="O658" s="2422"/>
      <c r="P658" s="2422"/>
      <c r="Q658" s="2422"/>
      <c r="R658" s="2422"/>
      <c r="S658" s="2422"/>
      <c r="T658" s="2422"/>
      <c r="U658" s="2422"/>
      <c r="V658" s="2422"/>
      <c r="W658" s="2422"/>
      <c r="X658" s="2422"/>
      <c r="Y658" s="2422"/>
      <c r="Z658" s="2422"/>
      <c r="AA658" s="2422"/>
      <c r="AB658" s="2422"/>
      <c r="AC658" s="2422"/>
      <c r="AD658" s="537"/>
      <c r="AE658" s="537"/>
      <c r="AF658" s="537"/>
      <c r="AG658" s="537"/>
      <c r="AH658" s="537"/>
      <c r="AI658" s="537"/>
      <c r="AJ658" s="537"/>
      <c r="AK658" s="537"/>
      <c r="AL658" s="537"/>
      <c r="AN658" s="598"/>
    </row>
    <row r="659" spans="1:42" s="551" customFormat="1" ht="12.75" customHeight="1">
      <c r="B659" s="537"/>
      <c r="C659" s="540"/>
      <c r="D659" s="664"/>
      <c r="E659" s="2422"/>
      <c r="F659" s="2422"/>
      <c r="G659" s="2422"/>
      <c r="H659" s="2422"/>
      <c r="I659" s="2422"/>
      <c r="J659" s="2422"/>
      <c r="K659" s="2422"/>
      <c r="L659" s="2422"/>
      <c r="M659" s="2422"/>
      <c r="N659" s="2422"/>
      <c r="O659" s="2422"/>
      <c r="P659" s="2422"/>
      <c r="Q659" s="2422"/>
      <c r="R659" s="2422"/>
      <c r="S659" s="2422"/>
      <c r="T659" s="2422"/>
      <c r="U659" s="2422"/>
      <c r="V659" s="2422"/>
      <c r="W659" s="2422"/>
      <c r="X659" s="2422"/>
      <c r="Y659" s="2422"/>
      <c r="Z659" s="2422"/>
      <c r="AA659" s="2422"/>
      <c r="AB659" s="2422"/>
      <c r="AC659" s="2422"/>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22" t="s">
        <v>1419</v>
      </c>
      <c r="F661" s="2422"/>
      <c r="G661" s="2422"/>
      <c r="H661" s="2422"/>
      <c r="I661" s="2422"/>
      <c r="J661" s="2422"/>
      <c r="K661" s="2422"/>
      <c r="L661" s="2422"/>
      <c r="M661" s="2422"/>
      <c r="N661" s="2422"/>
      <c r="O661" s="2422"/>
      <c r="P661" s="2422"/>
      <c r="Q661" s="2422"/>
      <c r="R661" s="2422"/>
      <c r="S661" s="2422"/>
      <c r="T661" s="2422"/>
      <c r="U661" s="2422"/>
      <c r="V661" s="2422"/>
      <c r="W661" s="2422"/>
      <c r="X661" s="2422"/>
      <c r="Y661" s="2422"/>
      <c r="Z661" s="2422"/>
      <c r="AA661" s="2422"/>
      <c r="AB661" s="2422"/>
      <c r="AC661" s="2422"/>
      <c r="AD661" s="537"/>
      <c r="AE661" s="537"/>
      <c r="AF661" s="2522" t="s">
        <v>1399</v>
      </c>
      <c r="AG661" s="2522"/>
      <c r="AH661" s="2522"/>
      <c r="AI661" s="2522"/>
      <c r="AJ661" s="2522"/>
      <c r="AK661" s="2522"/>
      <c r="AL661" s="2522"/>
      <c r="AN661" s="598"/>
    </row>
    <row r="662" spans="1:42" s="551" customFormat="1" ht="12.75" customHeight="1">
      <c r="B662" s="537"/>
      <c r="C662" s="540"/>
      <c r="D662" s="537"/>
      <c r="E662" s="2422"/>
      <c r="F662" s="2422"/>
      <c r="G662" s="2422"/>
      <c r="H662" s="2422"/>
      <c r="I662" s="2422"/>
      <c r="J662" s="2422"/>
      <c r="K662" s="2422"/>
      <c r="L662" s="2422"/>
      <c r="M662" s="2422"/>
      <c r="N662" s="2422"/>
      <c r="O662" s="2422"/>
      <c r="P662" s="2422"/>
      <c r="Q662" s="2422"/>
      <c r="R662" s="2422"/>
      <c r="S662" s="2422"/>
      <c r="T662" s="2422"/>
      <c r="U662" s="2422"/>
      <c r="V662" s="2422"/>
      <c r="W662" s="2422"/>
      <c r="X662" s="2422"/>
      <c r="Y662" s="2422"/>
      <c r="Z662" s="2422"/>
      <c r="AA662" s="2422"/>
      <c r="AB662" s="2422"/>
      <c r="AC662" s="2422"/>
      <c r="AD662" s="537"/>
      <c r="AE662" s="537"/>
      <c r="AF662" s="537"/>
      <c r="AG662" s="537"/>
      <c r="AH662" s="537"/>
      <c r="AI662" s="537"/>
      <c r="AJ662" s="537"/>
      <c r="AK662" s="537"/>
      <c r="AL662" s="537"/>
      <c r="AN662" s="598"/>
    </row>
    <row r="663" spans="1:42" s="551" customFormat="1" ht="15" customHeight="1">
      <c r="B663" s="537"/>
      <c r="C663" s="540"/>
      <c r="D663" s="664"/>
      <c r="E663" s="2422"/>
      <c r="F663" s="2422"/>
      <c r="G663" s="2422"/>
      <c r="H663" s="2422"/>
      <c r="I663" s="2422"/>
      <c r="J663" s="2422"/>
      <c r="K663" s="2422"/>
      <c r="L663" s="2422"/>
      <c r="M663" s="2422"/>
      <c r="N663" s="2422"/>
      <c r="O663" s="2422"/>
      <c r="P663" s="2422"/>
      <c r="Q663" s="2422"/>
      <c r="R663" s="2422"/>
      <c r="S663" s="2422"/>
      <c r="T663" s="2422"/>
      <c r="U663" s="2422"/>
      <c r="V663" s="2422"/>
      <c r="W663" s="2422"/>
      <c r="X663" s="2422"/>
      <c r="Y663" s="2422"/>
      <c r="Z663" s="2422"/>
      <c r="AA663" s="2422"/>
      <c r="AB663" s="2422"/>
      <c r="AC663" s="2422"/>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22" t="s">
        <v>1420</v>
      </c>
      <c r="F665" s="2422"/>
      <c r="G665" s="2422"/>
      <c r="H665" s="2422"/>
      <c r="I665" s="2422"/>
      <c r="J665" s="2422"/>
      <c r="K665" s="2422"/>
      <c r="L665" s="2422"/>
      <c r="M665" s="2422"/>
      <c r="N665" s="2422"/>
      <c r="O665" s="2422"/>
      <c r="P665" s="2422"/>
      <c r="Q665" s="2422"/>
      <c r="R665" s="2422"/>
      <c r="S665" s="2422"/>
      <c r="T665" s="2422"/>
      <c r="U665" s="2422"/>
      <c r="V665" s="2422"/>
      <c r="W665" s="2422"/>
      <c r="X665" s="2422"/>
      <c r="Y665" s="2422"/>
      <c r="Z665" s="2422"/>
      <c r="AA665" s="2422"/>
      <c r="AB665" s="2422"/>
      <c r="AC665" s="2422"/>
      <c r="AD665" s="537"/>
      <c r="AE665" s="537"/>
      <c r="AF665" s="2522" t="s">
        <v>1352</v>
      </c>
      <c r="AG665" s="2522"/>
      <c r="AH665" s="2522"/>
      <c r="AI665" s="2522"/>
      <c r="AJ665" s="2522"/>
      <c r="AK665" s="2522"/>
      <c r="AL665" s="2522"/>
      <c r="AN665" s="598"/>
    </row>
    <row r="666" spans="1:42" s="551" customFormat="1" ht="12.75" customHeight="1">
      <c r="B666" s="537"/>
      <c r="C666" s="932"/>
      <c r="D666" s="537"/>
      <c r="E666" s="2422"/>
      <c r="F666" s="2422"/>
      <c r="G666" s="2422"/>
      <c r="H666" s="2422"/>
      <c r="I666" s="2422"/>
      <c r="J666" s="2422"/>
      <c r="K666" s="2422"/>
      <c r="L666" s="2422"/>
      <c r="M666" s="2422"/>
      <c r="N666" s="2422"/>
      <c r="O666" s="2422"/>
      <c r="P666" s="2422"/>
      <c r="Q666" s="2422"/>
      <c r="R666" s="2422"/>
      <c r="S666" s="2422"/>
      <c r="T666" s="2422"/>
      <c r="U666" s="2422"/>
      <c r="V666" s="2422"/>
      <c r="W666" s="2422"/>
      <c r="X666" s="2422"/>
      <c r="Y666" s="2422"/>
      <c r="Z666" s="2422"/>
      <c r="AA666" s="2422"/>
      <c r="AB666" s="2422"/>
      <c r="AC666" s="2422"/>
      <c r="AD666" s="537"/>
      <c r="AE666" s="2522"/>
      <c r="AF666" s="2522"/>
      <c r="AG666" s="2522"/>
      <c r="AH666" s="2522"/>
      <c r="AI666" s="2522"/>
      <c r="AJ666" s="2522"/>
      <c r="AK666" s="2522"/>
      <c r="AL666" s="595"/>
      <c r="AN666" s="598"/>
      <c r="AO666" s="551" t="s">
        <v>592</v>
      </c>
      <c r="AP666" s="674">
        <v>0</v>
      </c>
    </row>
    <row r="667" spans="1:42" s="551" customFormat="1" ht="12.75" customHeight="1">
      <c r="A667" s="680"/>
      <c r="B667" s="537"/>
      <c r="C667" s="537"/>
      <c r="D667" s="664"/>
      <c r="E667" s="2422"/>
      <c r="F667" s="2422"/>
      <c r="G667" s="2422"/>
      <c r="H667" s="2422"/>
      <c r="I667" s="2422"/>
      <c r="J667" s="2422"/>
      <c r="K667" s="2422"/>
      <c r="L667" s="2422"/>
      <c r="M667" s="2422"/>
      <c r="N667" s="2422"/>
      <c r="O667" s="2422"/>
      <c r="P667" s="2422"/>
      <c r="Q667" s="2422"/>
      <c r="R667" s="2422"/>
      <c r="S667" s="2422"/>
      <c r="T667" s="2422"/>
      <c r="U667" s="2422"/>
      <c r="V667" s="2422"/>
      <c r="W667" s="2422"/>
      <c r="X667" s="2422"/>
      <c r="Y667" s="2422"/>
      <c r="Z667" s="2422"/>
      <c r="AA667" s="2422"/>
      <c r="AB667" s="2422"/>
      <c r="AC667" s="2422"/>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1397</v>
      </c>
      <c r="E669" s="2422" t="s">
        <v>1421</v>
      </c>
      <c r="F669" s="2422"/>
      <c r="G669" s="2422"/>
      <c r="H669" s="2422"/>
      <c r="I669" s="2422"/>
      <c r="J669" s="2422"/>
      <c r="K669" s="2422"/>
      <c r="L669" s="2422"/>
      <c r="M669" s="2422"/>
      <c r="N669" s="2422"/>
      <c r="O669" s="2422"/>
      <c r="P669" s="2422"/>
      <c r="Q669" s="2422"/>
      <c r="R669" s="2422"/>
      <c r="S669" s="2422"/>
      <c r="T669" s="2422"/>
      <c r="U669" s="2422"/>
      <c r="V669" s="2422"/>
      <c r="W669" s="2422"/>
      <c r="X669" s="2422"/>
      <c r="Y669" s="2422"/>
      <c r="Z669" s="2422"/>
      <c r="AA669" s="2422"/>
      <c r="AB669" s="2422"/>
      <c r="AC669" s="2422"/>
      <c r="AD669" s="537"/>
      <c r="AE669" s="537"/>
      <c r="AF669" s="2522" t="s">
        <v>1399</v>
      </c>
      <c r="AG669" s="2522"/>
      <c r="AH669" s="2522"/>
      <c r="AI669" s="2522"/>
      <c r="AJ669" s="2522"/>
      <c r="AK669" s="2522"/>
      <c r="AL669" s="2522"/>
      <c r="AN669" s="598"/>
    </row>
    <row r="670" spans="1:42" s="551" customFormat="1" ht="12.75" customHeight="1">
      <c r="A670" s="671"/>
      <c r="B670" s="537"/>
      <c r="C670" s="948"/>
      <c r="D670" s="664"/>
      <c r="E670" s="2422"/>
      <c r="F670" s="2422"/>
      <c r="G670" s="2422"/>
      <c r="H670" s="2422"/>
      <c r="I670" s="2422"/>
      <c r="J670" s="2422"/>
      <c r="K670" s="2422"/>
      <c r="L670" s="2422"/>
      <c r="M670" s="2422"/>
      <c r="N670" s="2422"/>
      <c r="O670" s="2422"/>
      <c r="P670" s="2422"/>
      <c r="Q670" s="2422"/>
      <c r="R670" s="2422"/>
      <c r="S670" s="2422"/>
      <c r="T670" s="2422"/>
      <c r="U670" s="2422"/>
      <c r="V670" s="2422"/>
      <c r="W670" s="2422"/>
      <c r="X670" s="2422"/>
      <c r="Y670" s="2422"/>
      <c r="Z670" s="2422"/>
      <c r="AA670" s="2422"/>
      <c r="AB670" s="2422"/>
      <c r="AC670" s="2422"/>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22"/>
      <c r="F671" s="2422"/>
      <c r="G671" s="2422"/>
      <c r="H671" s="2422"/>
      <c r="I671" s="2422"/>
      <c r="J671" s="2422"/>
      <c r="K671" s="2422"/>
      <c r="L671" s="2422"/>
      <c r="M671" s="2422"/>
      <c r="N671" s="2422"/>
      <c r="O671" s="2422"/>
      <c r="P671" s="2422"/>
      <c r="Q671" s="2422"/>
      <c r="R671" s="2422"/>
      <c r="S671" s="2422"/>
      <c r="T671" s="2422"/>
      <c r="U671" s="2422"/>
      <c r="V671" s="2422"/>
      <c r="W671" s="2422"/>
      <c r="X671" s="2422"/>
      <c r="Y671" s="2422"/>
      <c r="Z671" s="2422"/>
      <c r="AA671" s="2422"/>
      <c r="AB671" s="2422"/>
      <c r="AC671" s="2422"/>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422" t="s">
        <v>1422</v>
      </c>
      <c r="F673" s="2422"/>
      <c r="G673" s="2422"/>
      <c r="H673" s="2422"/>
      <c r="I673" s="2422"/>
      <c r="J673" s="2422"/>
      <c r="K673" s="2422"/>
      <c r="L673" s="2422"/>
      <c r="M673" s="2422"/>
      <c r="N673" s="2422"/>
      <c r="O673" s="2422"/>
      <c r="P673" s="2422"/>
      <c r="Q673" s="2422"/>
      <c r="R673" s="2422"/>
      <c r="S673" s="2422"/>
      <c r="T673" s="2422"/>
      <c r="U673" s="2422"/>
      <c r="V673" s="2422"/>
      <c r="W673" s="2422"/>
      <c r="X673" s="2422"/>
      <c r="Y673" s="2422"/>
      <c r="Z673" s="2422"/>
      <c r="AA673" s="2422"/>
      <c r="AB673" s="2422"/>
      <c r="AC673" s="2422"/>
      <c r="AD673" s="537"/>
      <c r="AE673" s="537"/>
      <c r="AF673" s="2522" t="s">
        <v>1352</v>
      </c>
      <c r="AG673" s="2522"/>
      <c r="AH673" s="2522"/>
      <c r="AI673" s="2522"/>
      <c r="AJ673" s="2522"/>
      <c r="AK673" s="2522"/>
      <c r="AL673" s="2522"/>
      <c r="AM673" s="597"/>
      <c r="AN673" s="598"/>
    </row>
    <row r="674" spans="1:42" s="551" customFormat="1" ht="12.75" customHeight="1">
      <c r="B674" s="537"/>
      <c r="C674" s="932"/>
      <c r="D674" s="664"/>
      <c r="E674" s="2422"/>
      <c r="F674" s="2422"/>
      <c r="G674" s="2422"/>
      <c r="H674" s="2422"/>
      <c r="I674" s="2422"/>
      <c r="J674" s="2422"/>
      <c r="K674" s="2422"/>
      <c r="L674" s="2422"/>
      <c r="M674" s="2422"/>
      <c r="N674" s="2422"/>
      <c r="O674" s="2422"/>
      <c r="P674" s="2422"/>
      <c r="Q674" s="2422"/>
      <c r="R674" s="2422"/>
      <c r="S674" s="2422"/>
      <c r="T674" s="2422"/>
      <c r="U674" s="2422"/>
      <c r="V674" s="2422"/>
      <c r="W674" s="2422"/>
      <c r="X674" s="2422"/>
      <c r="Y674" s="2422"/>
      <c r="Z674" s="2422"/>
      <c r="AA674" s="2422"/>
      <c r="AB674" s="2422"/>
      <c r="AC674" s="2422"/>
      <c r="AD674" s="537"/>
      <c r="AE674" s="537"/>
      <c r="AF674" s="537"/>
      <c r="AG674" s="537"/>
      <c r="AH674" s="537"/>
      <c r="AI674" s="537"/>
      <c r="AJ674" s="537"/>
      <c r="AK674" s="537"/>
      <c r="AL674" s="537"/>
      <c r="AM674" s="597"/>
      <c r="AN674" s="598"/>
    </row>
    <row r="675" spans="1:42" s="551" customFormat="1" ht="12.75" customHeight="1">
      <c r="B675" s="537"/>
      <c r="C675" s="932"/>
      <c r="D675" s="664"/>
      <c r="E675" s="2422"/>
      <c r="F675" s="2422"/>
      <c r="G675" s="2422"/>
      <c r="H675" s="2422"/>
      <c r="I675" s="2422"/>
      <c r="J675" s="2422"/>
      <c r="K675" s="2422"/>
      <c r="L675" s="2422"/>
      <c r="M675" s="2422"/>
      <c r="N675" s="2422"/>
      <c r="O675" s="2422"/>
      <c r="P675" s="2422"/>
      <c r="Q675" s="2422"/>
      <c r="R675" s="2422"/>
      <c r="S675" s="2422"/>
      <c r="T675" s="2422"/>
      <c r="U675" s="2422"/>
      <c r="V675" s="2422"/>
      <c r="W675" s="2422"/>
      <c r="X675" s="2422"/>
      <c r="Y675" s="2422"/>
      <c r="Z675" s="2422"/>
      <c r="AA675" s="2422"/>
      <c r="AB675" s="2422"/>
      <c r="AC675" s="2422"/>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422" t="s">
        <v>1423</v>
      </c>
      <c r="F677" s="2422"/>
      <c r="G677" s="2422"/>
      <c r="H677" s="2422"/>
      <c r="I677" s="2422"/>
      <c r="J677" s="2422"/>
      <c r="K677" s="2422"/>
      <c r="L677" s="2422"/>
      <c r="M677" s="2422"/>
      <c r="N677" s="2422"/>
      <c r="O677" s="2422"/>
      <c r="P677" s="2422"/>
      <c r="Q677" s="2422"/>
      <c r="R677" s="2422"/>
      <c r="S677" s="2422"/>
      <c r="T677" s="2422"/>
      <c r="U677" s="2422"/>
      <c r="V677" s="2422"/>
      <c r="W677" s="2422"/>
      <c r="X677" s="2422"/>
      <c r="Y677" s="2422"/>
      <c r="Z677" s="2422"/>
      <c r="AA677" s="2422"/>
      <c r="AB677" s="2422"/>
      <c r="AC677" s="2422"/>
      <c r="AD677" s="537"/>
      <c r="AE677" s="537"/>
      <c r="AF677" s="2522" t="s">
        <v>1408</v>
      </c>
      <c r="AG677" s="2522"/>
      <c r="AH677" s="2522"/>
      <c r="AI677" s="2522"/>
      <c r="AJ677" s="2522"/>
      <c r="AK677" s="2522"/>
      <c r="AL677" s="2522"/>
      <c r="AM677" s="597"/>
      <c r="AN677" s="598"/>
    </row>
    <row r="678" spans="1:42" s="551" customFormat="1" ht="12.75" customHeight="1">
      <c r="A678" s="680"/>
      <c r="B678" s="537"/>
      <c r="C678" s="932"/>
      <c r="D678" s="664"/>
      <c r="E678" s="2422"/>
      <c r="F678" s="2422"/>
      <c r="G678" s="2422"/>
      <c r="H678" s="2422"/>
      <c r="I678" s="2422"/>
      <c r="J678" s="2422"/>
      <c r="K678" s="2422"/>
      <c r="L678" s="2422"/>
      <c r="M678" s="2422"/>
      <c r="N678" s="2422"/>
      <c r="O678" s="2422"/>
      <c r="P678" s="2422"/>
      <c r="Q678" s="2422"/>
      <c r="R678" s="2422"/>
      <c r="S678" s="2422"/>
      <c r="T678" s="2422"/>
      <c r="U678" s="2422"/>
      <c r="V678" s="2422"/>
      <c r="W678" s="2422"/>
      <c r="X678" s="2422"/>
      <c r="Y678" s="2422"/>
      <c r="Z678" s="2422"/>
      <c r="AA678" s="2422"/>
      <c r="AB678" s="2422"/>
      <c r="AC678" s="2422"/>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22"/>
      <c r="F679" s="2422"/>
      <c r="G679" s="2422"/>
      <c r="H679" s="2422"/>
      <c r="I679" s="2422"/>
      <c r="J679" s="2422"/>
      <c r="K679" s="2422"/>
      <c r="L679" s="2422"/>
      <c r="M679" s="2422"/>
      <c r="N679" s="2422"/>
      <c r="O679" s="2422"/>
      <c r="P679" s="2422"/>
      <c r="Q679" s="2422"/>
      <c r="R679" s="2422"/>
      <c r="S679" s="2422"/>
      <c r="T679" s="2422"/>
      <c r="U679" s="2422"/>
      <c r="V679" s="2422"/>
      <c r="W679" s="2422"/>
      <c r="X679" s="2422"/>
      <c r="Y679" s="2422"/>
      <c r="Z679" s="2422"/>
      <c r="AA679" s="2422"/>
      <c r="AB679" s="2422"/>
      <c r="AC679" s="2422"/>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1411</v>
      </c>
      <c r="E681" s="2422" t="s">
        <v>1424</v>
      </c>
      <c r="F681" s="2422"/>
      <c r="G681" s="2422"/>
      <c r="H681" s="2422"/>
      <c r="I681" s="2422"/>
      <c r="J681" s="2422"/>
      <c r="K681" s="2422"/>
      <c r="L681" s="2422"/>
      <c r="M681" s="2422"/>
      <c r="N681" s="2422"/>
      <c r="O681" s="2422"/>
      <c r="P681" s="2422"/>
      <c r="Q681" s="2422"/>
      <c r="R681" s="2422"/>
      <c r="S681" s="2422"/>
      <c r="T681" s="2422"/>
      <c r="U681" s="2422"/>
      <c r="V681" s="2422"/>
      <c r="W681" s="2422"/>
      <c r="X681" s="2422"/>
      <c r="Y681" s="2422"/>
      <c r="Z681" s="2422"/>
      <c r="AA681" s="2422"/>
      <c r="AB681" s="2422"/>
      <c r="AC681" s="2422"/>
      <c r="AD681" s="537"/>
      <c r="AE681" s="537"/>
      <c r="AF681" s="2522" t="s">
        <v>1425</v>
      </c>
      <c r="AG681" s="2522"/>
      <c r="AH681" s="2522"/>
      <c r="AI681" s="2522"/>
      <c r="AJ681" s="2522"/>
      <c r="AK681" s="2522"/>
      <c r="AL681" s="2522"/>
      <c r="AM681" s="597"/>
      <c r="AN681" s="598"/>
      <c r="AO681" s="612" t="s">
        <v>688</v>
      </c>
      <c r="AP681" s="551">
        <v>3</v>
      </c>
    </row>
    <row r="682" spans="1:42" s="551" customFormat="1" ht="12.75" customHeight="1">
      <c r="A682" s="680"/>
      <c r="B682" s="537"/>
      <c r="C682" s="932"/>
      <c r="D682" s="664"/>
      <c r="E682" s="2422"/>
      <c r="F682" s="2422"/>
      <c r="G682" s="2422"/>
      <c r="H682" s="2422"/>
      <c r="I682" s="2422"/>
      <c r="J682" s="2422"/>
      <c r="K682" s="2422"/>
      <c r="L682" s="2422"/>
      <c r="M682" s="2422"/>
      <c r="N682" s="2422"/>
      <c r="O682" s="2422"/>
      <c r="P682" s="2422"/>
      <c r="Q682" s="2422"/>
      <c r="R682" s="2422"/>
      <c r="S682" s="2422"/>
      <c r="T682" s="2422"/>
      <c r="U682" s="2422"/>
      <c r="V682" s="2422"/>
      <c r="W682" s="2422"/>
      <c r="X682" s="2422"/>
      <c r="Y682" s="2422"/>
      <c r="Z682" s="2422"/>
      <c r="AA682" s="2422"/>
      <c r="AB682" s="2422"/>
      <c r="AC682" s="2422"/>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22"/>
      <c r="F683" s="2422"/>
      <c r="G683" s="2422"/>
      <c r="H683" s="2422"/>
      <c r="I683" s="2422"/>
      <c r="J683" s="2422"/>
      <c r="K683" s="2422"/>
      <c r="L683" s="2422"/>
      <c r="M683" s="2422"/>
      <c r="N683" s="2422"/>
      <c r="O683" s="2422"/>
      <c r="P683" s="2422"/>
      <c r="Q683" s="2422"/>
      <c r="R683" s="2422"/>
      <c r="S683" s="2422"/>
      <c r="T683" s="2422"/>
      <c r="U683" s="2422"/>
      <c r="V683" s="2422"/>
      <c r="W683" s="2422"/>
      <c r="X683" s="2422"/>
      <c r="Y683" s="2422"/>
      <c r="Z683" s="2422"/>
      <c r="AA683" s="2422"/>
      <c r="AB683" s="2422"/>
      <c r="AC683" s="2422"/>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446" t="s">
        <v>688</v>
      </c>
      <c r="I685" s="2446"/>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429">
        <f>VLOOKUP($H$685,$AO$633:$AP$640,2,FALSE)</f>
        <v>5</v>
      </c>
      <c r="AK687" s="2431"/>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239</v>
      </c>
    </row>
    <row r="691" spans="1:51" s="551" customFormat="1" ht="12.75" customHeight="1">
      <c r="A691" s="680"/>
      <c r="B691" s="537"/>
      <c r="C691" s="949"/>
      <c r="D691" s="664" t="s">
        <v>688</v>
      </c>
      <c r="E691" s="2392" t="s">
        <v>2191</v>
      </c>
      <c r="F691" s="2392"/>
      <c r="G691" s="2392"/>
      <c r="H691" s="2392"/>
      <c r="I691" s="2392"/>
      <c r="J691" s="2392"/>
      <c r="K691" s="2392"/>
      <c r="L691" s="2392"/>
      <c r="M691" s="2392"/>
      <c r="N691" s="2392"/>
      <c r="O691" s="2392"/>
      <c r="P691" s="2392"/>
      <c r="Q691" s="2392"/>
      <c r="R691" s="2392"/>
      <c r="S691" s="2392"/>
      <c r="T691" s="2392"/>
      <c r="U691" s="2392"/>
      <c r="V691" s="2392"/>
      <c r="W691" s="2392"/>
      <c r="X691" s="2392"/>
      <c r="Y691" s="2392"/>
      <c r="Z691" s="2392"/>
      <c r="AA691" s="2392"/>
      <c r="AB691" s="2392"/>
      <c r="AC691" s="537"/>
      <c r="AD691" s="537"/>
      <c r="AE691" s="537"/>
      <c r="AF691" s="2522" t="s">
        <v>1352</v>
      </c>
      <c r="AG691" s="2522"/>
      <c r="AH691" s="2522"/>
      <c r="AI691" s="2522"/>
      <c r="AJ691" s="2522"/>
      <c r="AK691" s="2522"/>
      <c r="AL691" s="2522"/>
      <c r="AN691" s="598"/>
      <c r="AW691" s="22" t="s">
        <v>2186</v>
      </c>
      <c r="AX691" s="551">
        <f>Application!DE753</f>
        <v>48</v>
      </c>
    </row>
    <row r="692" spans="1:51" s="551" customFormat="1" ht="12.75" customHeight="1">
      <c r="A692" s="680"/>
      <c r="B692" s="537"/>
      <c r="C692" s="949"/>
      <c r="D692" s="664"/>
      <c r="E692" s="2392"/>
      <c r="F692" s="2392"/>
      <c r="G692" s="2392"/>
      <c r="H692" s="2392"/>
      <c r="I692" s="2392"/>
      <c r="J692" s="2392"/>
      <c r="K692" s="2392"/>
      <c r="L692" s="2392"/>
      <c r="M692" s="2392"/>
      <c r="N692" s="2392"/>
      <c r="O692" s="2392"/>
      <c r="P692" s="2392"/>
      <c r="Q692" s="2392"/>
      <c r="R692" s="2392"/>
      <c r="S692" s="2392"/>
      <c r="T692" s="2392"/>
      <c r="U692" s="2392"/>
      <c r="V692" s="2392"/>
      <c r="W692" s="2392"/>
      <c r="X692" s="2392"/>
      <c r="Y692" s="2392"/>
      <c r="Z692" s="2392"/>
      <c r="AA692" s="2392"/>
      <c r="AB692" s="2392"/>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510</v>
      </c>
      <c r="E694" s="2422" t="s">
        <v>2135</v>
      </c>
      <c r="F694" s="2422"/>
      <c r="G694" s="2422"/>
      <c r="H694" s="2422"/>
      <c r="I694" s="2422"/>
      <c r="J694" s="2422"/>
      <c r="K694" s="2422"/>
      <c r="L694" s="2422"/>
      <c r="M694" s="2422"/>
      <c r="N694" s="2422"/>
      <c r="O694" s="2422"/>
      <c r="P694" s="2422"/>
      <c r="Q694" s="2422"/>
      <c r="R694" s="2422"/>
      <c r="S694" s="2422"/>
      <c r="T694" s="2422"/>
      <c r="U694" s="2422"/>
      <c r="V694" s="2422"/>
      <c r="W694" s="2422"/>
      <c r="X694" s="2422"/>
      <c r="Y694" s="2422"/>
      <c r="Z694" s="2422"/>
      <c r="AA694" s="2422"/>
      <c r="AB694" s="2422"/>
      <c r="AC694" s="537"/>
      <c r="AD694" s="537"/>
      <c r="AE694" s="537"/>
      <c r="AF694" s="2522" t="s">
        <v>1352</v>
      </c>
      <c r="AG694" s="2522"/>
      <c r="AH694" s="2522"/>
      <c r="AI694" s="2522"/>
      <c r="AJ694" s="2522"/>
      <c r="AK694" s="2522"/>
      <c r="AL694" s="2522"/>
      <c r="AN694" s="598"/>
      <c r="AW694" s="22" t="s">
        <v>2189</v>
      </c>
      <c r="AX694" s="551">
        <f>AX691+AX692+AX693</f>
        <v>48</v>
      </c>
    </row>
    <row r="695" spans="1:51" s="551" customFormat="1" ht="12.75" customHeight="1">
      <c r="B695" s="537"/>
      <c r="C695" s="941"/>
      <c r="D695" s="664"/>
      <c r="E695" s="2422"/>
      <c r="F695" s="2422"/>
      <c r="G695" s="2422"/>
      <c r="H695" s="2422"/>
      <c r="I695" s="2422"/>
      <c r="J695" s="2422"/>
      <c r="K695" s="2422"/>
      <c r="L695" s="2422"/>
      <c r="M695" s="2422"/>
      <c r="N695" s="2422"/>
      <c r="O695" s="2422"/>
      <c r="P695" s="2422"/>
      <c r="Q695" s="2422"/>
      <c r="R695" s="2422"/>
      <c r="S695" s="2422"/>
      <c r="T695" s="2422"/>
      <c r="U695" s="2422"/>
      <c r="V695" s="2422"/>
      <c r="W695" s="2422"/>
      <c r="X695" s="2422"/>
      <c r="Y695" s="2422"/>
      <c r="Z695" s="2422"/>
      <c r="AA695" s="2422"/>
      <c r="AB695" s="2422"/>
      <c r="AC695" s="537"/>
      <c r="AD695" s="537"/>
      <c r="AE695" s="617"/>
      <c r="AF695" s="537"/>
      <c r="AG695" s="537"/>
      <c r="AH695" s="537"/>
      <c r="AI695" s="537"/>
      <c r="AJ695" s="537"/>
      <c r="AK695" s="537"/>
      <c r="AL695" s="537"/>
      <c r="AN695" s="598"/>
      <c r="AO695" s="2436" t="b">
        <f>IF(Application!D211="Special Needs",IF(AY695&gt;=0.25,TRUE,FALSE),IF(AX695&gt;=0.25,TRUE,FALSE))</f>
        <v>0</v>
      </c>
      <c r="AP695" s="2436"/>
      <c r="AW695" s="22" t="s">
        <v>2190</v>
      </c>
      <c r="AX695" s="551">
        <f>IFERROR(AX694/AX690,0)</f>
        <v>0.20083682008368201</v>
      </c>
      <c r="AY695" s="551">
        <f>IFERROR(AX694/(AX690-AX689),0)</f>
        <v>0.20083682008368201</v>
      </c>
    </row>
    <row r="696" spans="1:51" s="551" customFormat="1" ht="12.75" customHeight="1">
      <c r="B696" s="537"/>
      <c r="C696" s="941"/>
      <c r="E696" s="2422"/>
      <c r="F696" s="2422"/>
      <c r="G696" s="2422"/>
      <c r="H696" s="2422"/>
      <c r="I696" s="2422"/>
      <c r="J696" s="2422"/>
      <c r="K696" s="2422"/>
      <c r="L696" s="2422"/>
      <c r="M696" s="2422"/>
      <c r="N696" s="2422"/>
      <c r="O696" s="2422"/>
      <c r="P696" s="2422"/>
      <c r="Q696" s="2422"/>
      <c r="R696" s="2422"/>
      <c r="S696" s="2422"/>
      <c r="T696" s="2422"/>
      <c r="U696" s="2422"/>
      <c r="V696" s="2422"/>
      <c r="W696" s="2422"/>
      <c r="X696" s="2422"/>
      <c r="Y696" s="2422"/>
      <c r="Z696" s="2422"/>
      <c r="AA696" s="2422"/>
      <c r="AB696" s="2422"/>
      <c r="AC696" s="537"/>
      <c r="AD696" s="537"/>
      <c r="AE696" s="617"/>
      <c r="AF696" s="617"/>
      <c r="AG696" s="617"/>
      <c r="AH696" s="617"/>
      <c r="AI696" s="617"/>
      <c r="AJ696" s="617"/>
      <c r="AK696" s="617"/>
      <c r="AL696" s="617"/>
      <c r="AN696" s="598"/>
      <c r="AW696" s="14"/>
    </row>
    <row r="697" spans="1:51" s="551" customFormat="1" ht="28.5" customHeight="1">
      <c r="B697" s="537"/>
      <c r="C697" s="941"/>
      <c r="D697" s="537"/>
      <c r="E697" s="2422"/>
      <c r="F697" s="2422"/>
      <c r="G697" s="2422"/>
      <c r="H697" s="2422"/>
      <c r="I697" s="2422"/>
      <c r="J697" s="2422"/>
      <c r="K697" s="2422"/>
      <c r="L697" s="2422"/>
      <c r="M697" s="2422"/>
      <c r="N697" s="2422"/>
      <c r="O697" s="2422"/>
      <c r="P697" s="2422"/>
      <c r="Q697" s="2422"/>
      <c r="R697" s="2422"/>
      <c r="S697" s="2422"/>
      <c r="T697" s="2422"/>
      <c r="U697" s="2422"/>
      <c r="V697" s="2422"/>
      <c r="W697" s="2422"/>
      <c r="X697" s="2422"/>
      <c r="Y697" s="2422"/>
      <c r="Z697" s="2422"/>
      <c r="AA697" s="2422"/>
      <c r="AB697" s="2422"/>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22" t="s">
        <v>2136</v>
      </c>
      <c r="F699" s="2422"/>
      <c r="G699" s="2422"/>
      <c r="H699" s="2422"/>
      <c r="I699" s="2422"/>
      <c r="J699" s="2422"/>
      <c r="K699" s="2422"/>
      <c r="L699" s="2422"/>
      <c r="M699" s="2422"/>
      <c r="N699" s="2422"/>
      <c r="O699" s="2422"/>
      <c r="P699" s="2422"/>
      <c r="Q699" s="2422"/>
      <c r="R699" s="2422"/>
      <c r="S699" s="2422"/>
      <c r="T699" s="2422"/>
      <c r="U699" s="2422"/>
      <c r="V699" s="2422"/>
      <c r="W699" s="2422"/>
      <c r="X699" s="2422"/>
      <c r="Y699" s="2422"/>
      <c r="Z699" s="2422"/>
      <c r="AA699" s="2422"/>
      <c r="AB699" s="2422"/>
      <c r="AC699" s="537"/>
      <c r="AD699" s="537"/>
      <c r="AE699" s="537"/>
      <c r="AF699" s="2522" t="s">
        <v>1408</v>
      </c>
      <c r="AG699" s="2522"/>
      <c r="AH699" s="2522"/>
      <c r="AI699" s="2522"/>
      <c r="AJ699" s="2522"/>
      <c r="AK699" s="2522"/>
      <c r="AL699" s="2522"/>
      <c r="AN699" s="598"/>
      <c r="AO699" s="612" t="s">
        <v>510</v>
      </c>
      <c r="AP699" s="551">
        <v>1</v>
      </c>
    </row>
    <row r="700" spans="1:51" s="551" customFormat="1" ht="12" customHeight="1">
      <c r="B700" s="537"/>
      <c r="C700" s="932"/>
      <c r="E700" s="2422"/>
      <c r="F700" s="2422"/>
      <c r="G700" s="2422"/>
      <c r="H700" s="2422"/>
      <c r="I700" s="2422"/>
      <c r="J700" s="2422"/>
      <c r="K700" s="2422"/>
      <c r="L700" s="2422"/>
      <c r="M700" s="2422"/>
      <c r="N700" s="2422"/>
      <c r="O700" s="2422"/>
      <c r="P700" s="2422"/>
      <c r="Q700" s="2422"/>
      <c r="R700" s="2422"/>
      <c r="S700" s="2422"/>
      <c r="T700" s="2422"/>
      <c r="U700" s="2422"/>
      <c r="V700" s="2422"/>
      <c r="W700" s="2422"/>
      <c r="X700" s="2422"/>
      <c r="Y700" s="2422"/>
      <c r="Z700" s="2422"/>
      <c r="AA700" s="2422"/>
      <c r="AB700" s="2422"/>
      <c r="AC700" s="537"/>
      <c r="AD700" s="537"/>
      <c r="AE700" s="617"/>
      <c r="AF700" s="537"/>
      <c r="AG700" s="537"/>
      <c r="AH700" s="537"/>
      <c r="AI700" s="537"/>
      <c r="AJ700" s="537"/>
      <c r="AK700" s="537"/>
      <c r="AL700" s="537"/>
      <c r="AN700" s="598"/>
    </row>
    <row r="701" spans="1:51" s="551" customFormat="1" ht="12" customHeight="1">
      <c r="B701" s="537"/>
      <c r="C701" s="932"/>
      <c r="D701" s="537"/>
      <c r="E701" s="2422"/>
      <c r="F701" s="2422"/>
      <c r="G701" s="2422"/>
      <c r="H701" s="2422"/>
      <c r="I701" s="2422"/>
      <c r="J701" s="2422"/>
      <c r="K701" s="2422"/>
      <c r="L701" s="2422"/>
      <c r="M701" s="2422"/>
      <c r="N701" s="2422"/>
      <c r="O701" s="2422"/>
      <c r="P701" s="2422"/>
      <c r="Q701" s="2422"/>
      <c r="R701" s="2422"/>
      <c r="S701" s="2422"/>
      <c r="T701" s="2422"/>
      <c r="U701" s="2422"/>
      <c r="V701" s="2422"/>
      <c r="W701" s="2422"/>
      <c r="X701" s="2422"/>
      <c r="Y701" s="2422"/>
      <c r="Z701" s="2422"/>
      <c r="AA701" s="2422"/>
      <c r="AB701" s="2422"/>
      <c r="AC701" s="537"/>
      <c r="AD701" s="537"/>
      <c r="AE701" s="617"/>
      <c r="AF701" s="537"/>
      <c r="AG701" s="537"/>
      <c r="AH701" s="537"/>
      <c r="AI701" s="537"/>
      <c r="AJ701" s="537"/>
      <c r="AK701" s="537"/>
      <c r="AL701" s="537"/>
      <c r="AN701" s="598"/>
    </row>
    <row r="702" spans="1:51" s="551" customFormat="1" ht="12" customHeight="1">
      <c r="B702" s="537"/>
      <c r="C702" s="932"/>
      <c r="D702" s="537"/>
      <c r="E702" s="2422"/>
      <c r="F702" s="2422"/>
      <c r="G702" s="2422"/>
      <c r="H702" s="2422"/>
      <c r="I702" s="2422"/>
      <c r="J702" s="2422"/>
      <c r="K702" s="2422"/>
      <c r="L702" s="2422"/>
      <c r="M702" s="2422"/>
      <c r="N702" s="2422"/>
      <c r="O702" s="2422"/>
      <c r="P702" s="2422"/>
      <c r="Q702" s="2422"/>
      <c r="R702" s="2422"/>
      <c r="S702" s="2422"/>
      <c r="T702" s="2422"/>
      <c r="U702" s="2422"/>
      <c r="V702" s="2422"/>
      <c r="W702" s="2422"/>
      <c r="X702" s="2422"/>
      <c r="Y702" s="2422"/>
      <c r="Z702" s="2422"/>
      <c r="AA702" s="2422"/>
      <c r="AB702" s="2422"/>
      <c r="AC702" s="537"/>
      <c r="AD702" s="537"/>
      <c r="AE702" s="617"/>
      <c r="AF702" s="537"/>
      <c r="AG702" s="537"/>
      <c r="AH702" s="537"/>
      <c r="AI702" s="537"/>
      <c r="AJ702" s="537"/>
      <c r="AK702" s="537"/>
      <c r="AL702" s="537"/>
      <c r="AN702" s="598"/>
    </row>
    <row r="703" spans="1:51" s="571" customFormat="1" ht="13" customHeight="1">
      <c r="A703" s="551"/>
      <c r="B703" s="537"/>
      <c r="C703" s="932"/>
      <c r="D703" s="537"/>
      <c r="E703" s="2422"/>
      <c r="F703" s="2422"/>
      <c r="G703" s="2422"/>
      <c r="H703" s="2422"/>
      <c r="I703" s="2422"/>
      <c r="J703" s="2422"/>
      <c r="K703" s="2422"/>
      <c r="L703" s="2422"/>
      <c r="M703" s="2422"/>
      <c r="N703" s="2422"/>
      <c r="O703" s="2422"/>
      <c r="P703" s="2422"/>
      <c r="Q703" s="2422"/>
      <c r="R703" s="2422"/>
      <c r="S703" s="2422"/>
      <c r="T703" s="2422"/>
      <c r="U703" s="2422"/>
      <c r="V703" s="2422"/>
      <c r="W703" s="2422"/>
      <c r="X703" s="2422"/>
      <c r="Y703" s="2422"/>
      <c r="Z703" s="2422"/>
      <c r="AA703" s="2422"/>
      <c r="AB703" s="2422"/>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22" t="s">
        <v>1693</v>
      </c>
      <c r="F705" s="2422"/>
      <c r="G705" s="2422"/>
      <c r="H705" s="2422"/>
      <c r="I705" s="2422"/>
      <c r="J705" s="2422"/>
      <c r="K705" s="2422"/>
      <c r="L705" s="2422"/>
      <c r="M705" s="2422"/>
      <c r="N705" s="2422"/>
      <c r="O705" s="2422"/>
      <c r="P705" s="2422"/>
      <c r="Q705" s="2422"/>
      <c r="R705" s="2422"/>
      <c r="S705" s="2422"/>
      <c r="T705" s="2422"/>
      <c r="U705" s="2422"/>
      <c r="V705" s="2422"/>
      <c r="W705" s="2422"/>
      <c r="X705" s="2422"/>
      <c r="Y705" s="2422"/>
      <c r="Z705" s="2422"/>
      <c r="AA705" s="2422"/>
      <c r="AB705" s="2422"/>
      <c r="AC705" s="537"/>
      <c r="AD705" s="537"/>
      <c r="AE705" s="617"/>
      <c r="AF705" s="617"/>
      <c r="AG705" s="617"/>
      <c r="AH705" s="617"/>
      <c r="AI705" s="617"/>
      <c r="AJ705" s="537"/>
      <c r="AK705" s="537"/>
      <c r="AL705" s="537"/>
      <c r="AM705" s="551"/>
      <c r="AN705" s="685"/>
      <c r="AO705" s="612" t="s">
        <v>510</v>
      </c>
      <c r="AP705" s="551">
        <f>3*$AO$695</f>
        <v>0</v>
      </c>
    </row>
    <row r="706" spans="1:43" s="571" customFormat="1" ht="12.75" customHeight="1">
      <c r="A706" s="551"/>
      <c r="B706" s="537"/>
      <c r="C706" s="932"/>
      <c r="D706" s="537"/>
      <c r="E706" s="2422"/>
      <c r="F706" s="2422"/>
      <c r="G706" s="2422"/>
      <c r="H706" s="2422"/>
      <c r="I706" s="2422"/>
      <c r="J706" s="2422"/>
      <c r="K706" s="2422"/>
      <c r="L706" s="2422"/>
      <c r="M706" s="2422"/>
      <c r="N706" s="2422"/>
      <c r="O706" s="2422"/>
      <c r="P706" s="2422"/>
      <c r="Q706" s="2422"/>
      <c r="R706" s="2422"/>
      <c r="S706" s="2422"/>
      <c r="T706" s="2422"/>
      <c r="U706" s="2422"/>
      <c r="V706" s="2422"/>
      <c r="W706" s="2422"/>
      <c r="X706" s="2422"/>
      <c r="Y706" s="2422"/>
      <c r="Z706" s="2422"/>
      <c r="AA706" s="2422"/>
      <c r="AB706" s="2422"/>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422"/>
      <c r="F707" s="2422"/>
      <c r="G707" s="2422"/>
      <c r="H707" s="2422"/>
      <c r="I707" s="2422"/>
      <c r="J707" s="2422"/>
      <c r="K707" s="2422"/>
      <c r="L707" s="2422"/>
      <c r="M707" s="2422"/>
      <c r="N707" s="2422"/>
      <c r="O707" s="2422"/>
      <c r="P707" s="2422"/>
      <c r="Q707" s="2422"/>
      <c r="R707" s="2422"/>
      <c r="S707" s="2422"/>
      <c r="T707" s="2422"/>
      <c r="U707" s="2422"/>
      <c r="V707" s="2422"/>
      <c r="W707" s="2422"/>
      <c r="X707" s="2422"/>
      <c r="Y707" s="2422"/>
      <c r="Z707" s="2422"/>
      <c r="AA707" s="2422"/>
      <c r="AB707" s="2422"/>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446" t="s">
        <v>688</v>
      </c>
      <c r="I709" s="2446"/>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429">
        <f>VLOOKUP($H$709,$AO$703:$AP$706,2,FALSE)</f>
        <v>3</v>
      </c>
      <c r="AK711" s="2431"/>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688</v>
      </c>
      <c r="E715" s="2534" t="s">
        <v>1695</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7"/>
      <c r="AD715" s="537"/>
      <c r="AE715" s="537"/>
      <c r="AF715" s="2522" t="s">
        <v>1352</v>
      </c>
      <c r="AG715" s="2522"/>
      <c r="AH715" s="2522"/>
      <c r="AI715" s="2522"/>
      <c r="AJ715" s="2522"/>
      <c r="AK715" s="2522"/>
      <c r="AL715" s="2522"/>
      <c r="AM715" s="551"/>
      <c r="AN715" s="685"/>
      <c r="AP715" s="571" t="s">
        <v>1432</v>
      </c>
    </row>
    <row r="716" spans="1:43" s="571" customFormat="1" ht="11.9" customHeight="1">
      <c r="A716" s="551"/>
      <c r="B716" s="537"/>
      <c r="C716" s="934"/>
      <c r="D716" s="664"/>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7"/>
      <c r="AD716" s="537"/>
      <c r="AE716" s="537"/>
      <c r="AF716" s="537"/>
      <c r="AG716" s="537"/>
      <c r="AH716" s="537"/>
      <c r="AI716" s="537"/>
      <c r="AJ716" s="537"/>
      <c r="AK716" s="537"/>
      <c r="AL716" s="537"/>
      <c r="AM716" s="551"/>
      <c r="AN716" s="685"/>
      <c r="AP716" s="571" t="s">
        <v>1433</v>
      </c>
    </row>
    <row r="717" spans="1:43" s="571" customFormat="1" ht="13.9" customHeight="1">
      <c r="A717" s="551"/>
      <c r="B717" s="611"/>
      <c r="C717" s="932"/>
      <c r="D717" s="664"/>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7"/>
      <c r="AD717" s="537"/>
      <c r="AE717" s="617"/>
      <c r="AF717" s="537"/>
      <c r="AG717" s="537"/>
      <c r="AH717" s="537"/>
      <c r="AI717" s="537"/>
      <c r="AJ717" s="537"/>
      <c r="AK717" s="537"/>
      <c r="AL717" s="537"/>
      <c r="AM717" s="551"/>
      <c r="AN717" s="685"/>
      <c r="AP717" s="571" t="s">
        <v>1434</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3.9" customHeight="1">
      <c r="A719" s="551"/>
      <c r="B719" s="537"/>
      <c r="C719" s="932"/>
      <c r="D719" s="664" t="s">
        <v>510</v>
      </c>
      <c r="E719" s="2535" t="s">
        <v>1435</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7"/>
      <c r="AD719" s="537"/>
      <c r="AE719" s="537"/>
      <c r="AF719" s="2522" t="s">
        <v>1408</v>
      </c>
      <c r="AG719" s="2522"/>
      <c r="AH719" s="2522"/>
      <c r="AI719" s="2522"/>
      <c r="AJ719" s="2522"/>
      <c r="AK719" s="2522"/>
      <c r="AL719" s="2522"/>
      <c r="AM719" s="551"/>
      <c r="AN719" s="686"/>
    </row>
    <row r="720" spans="1:43" s="571" customFormat="1" ht="12.75" customHeight="1">
      <c r="A720" s="551"/>
      <c r="B720" s="537"/>
      <c r="C720" s="934"/>
      <c r="D720" s="537"/>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7"/>
      <c r="AD720" s="537"/>
      <c r="AE720" s="537"/>
      <c r="AF720" s="537"/>
      <c r="AG720" s="537"/>
      <c r="AH720" s="537"/>
      <c r="AI720" s="537"/>
      <c r="AJ720" s="537"/>
      <c r="AK720" s="537"/>
      <c r="AL720" s="537"/>
      <c r="AM720" s="551"/>
      <c r="AN720" s="685"/>
      <c r="AP720" s="551" t="s">
        <v>592</v>
      </c>
      <c r="AQ720" s="674">
        <v>0</v>
      </c>
    </row>
    <row r="721" spans="1:81" s="571" customFormat="1" ht="13.9" customHeight="1">
      <c r="A721" s="551"/>
      <c r="B721" s="537"/>
      <c r="C721" s="934"/>
      <c r="D721" s="537"/>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7"/>
      <c r="AD721" s="537"/>
      <c r="AE721" s="537"/>
      <c r="AF721" s="537"/>
      <c r="AG721" s="537"/>
      <c r="AH721" s="537"/>
      <c r="AI721" s="537"/>
      <c r="AJ721" s="537"/>
      <c r="AK721" s="537"/>
      <c r="AL721" s="537"/>
      <c r="AM721" s="551"/>
      <c r="AN721" s="685"/>
      <c r="AP721" s="612" t="s">
        <v>688</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 customHeight="1">
      <c r="A723" s="551"/>
      <c r="B723" s="537"/>
      <c r="C723" s="934"/>
      <c r="D723" s="537" t="s">
        <v>1400</v>
      </c>
      <c r="E723" s="937"/>
      <c r="F723" s="937"/>
      <c r="G723" s="937"/>
      <c r="H723" s="2446" t="s">
        <v>592</v>
      </c>
      <c r="I723" s="2446"/>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429">
        <f>VLOOKUP($H$723,$AP$720:$AQ$722,2,FALSE)</f>
        <v>0</v>
      </c>
      <c r="AK725" s="2431"/>
      <c r="AL725" s="596"/>
      <c r="AM725" s="551"/>
      <c r="AN725" s="685"/>
      <c r="AP725" s="2429"/>
      <c r="AQ725" s="2431"/>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688</v>
      </c>
      <c r="E729" s="2422" t="s">
        <v>1696</v>
      </c>
      <c r="F729" s="2422"/>
      <c r="G729" s="2422"/>
      <c r="H729" s="2422"/>
      <c r="I729" s="2422"/>
      <c r="J729" s="2422"/>
      <c r="K729" s="2422"/>
      <c r="L729" s="2422"/>
      <c r="M729" s="2422"/>
      <c r="N729" s="2422"/>
      <c r="O729" s="2422"/>
      <c r="P729" s="2422"/>
      <c r="Q729" s="2422"/>
      <c r="R729" s="2422"/>
      <c r="S729" s="2422"/>
      <c r="T729" s="2422"/>
      <c r="U729" s="2422"/>
      <c r="V729" s="2422"/>
      <c r="W729" s="2422"/>
      <c r="X729" s="2422"/>
      <c r="Y729" s="2422"/>
      <c r="Z729" s="2422"/>
      <c r="AA729" s="2422"/>
      <c r="AB729" s="2422"/>
      <c r="AC729" s="537"/>
      <c r="AD729" s="537"/>
      <c r="AE729" s="537"/>
      <c r="AF729" s="2522" t="s">
        <v>1352</v>
      </c>
      <c r="AG729" s="2522"/>
      <c r="AH729" s="2522"/>
      <c r="AI729" s="2522"/>
      <c r="AJ729" s="2522"/>
      <c r="AK729" s="2522"/>
      <c r="AL729" s="2522"/>
      <c r="AM729" s="551"/>
      <c r="AN729" s="685"/>
      <c r="AT729" s="14"/>
      <c r="AU729" s="14"/>
      <c r="AV729" s="14"/>
      <c r="AW729" s="14"/>
      <c r="AX729" s="14"/>
      <c r="AY729" s="14"/>
      <c r="AZ729" s="14"/>
    </row>
    <row r="730" spans="1:81" s="571" customFormat="1" ht="13">
      <c r="A730" s="551"/>
      <c r="B730" s="537"/>
      <c r="C730" s="934"/>
      <c r="D730" s="664"/>
      <c r="E730" s="2422"/>
      <c r="F730" s="2422"/>
      <c r="G730" s="2422"/>
      <c r="H730" s="2422"/>
      <c r="I730" s="2422"/>
      <c r="J730" s="2422"/>
      <c r="K730" s="2422"/>
      <c r="L730" s="2422"/>
      <c r="M730" s="2422"/>
      <c r="N730" s="2422"/>
      <c r="O730" s="2422"/>
      <c r="P730" s="2422"/>
      <c r="Q730" s="2422"/>
      <c r="R730" s="2422"/>
      <c r="S730" s="2422"/>
      <c r="T730" s="2422"/>
      <c r="U730" s="2422"/>
      <c r="V730" s="2422"/>
      <c r="W730" s="2422"/>
      <c r="X730" s="2422"/>
      <c r="Y730" s="2422"/>
      <c r="Z730" s="2422"/>
      <c r="AA730" s="2422"/>
      <c r="AB730" s="2422"/>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22" t="s">
        <v>1439</v>
      </c>
      <c r="F732" s="2422"/>
      <c r="G732" s="2422"/>
      <c r="H732" s="2422"/>
      <c r="I732" s="2422"/>
      <c r="J732" s="2422"/>
      <c r="K732" s="2422"/>
      <c r="L732" s="2422"/>
      <c r="M732" s="2422"/>
      <c r="N732" s="2422"/>
      <c r="O732" s="2422"/>
      <c r="P732" s="2422"/>
      <c r="Q732" s="2422"/>
      <c r="R732" s="2422"/>
      <c r="S732" s="2422"/>
      <c r="T732" s="2422"/>
      <c r="U732" s="2422"/>
      <c r="V732" s="2422"/>
      <c r="W732" s="2422"/>
      <c r="X732" s="2422"/>
      <c r="Y732" s="2422"/>
      <c r="Z732" s="2422"/>
      <c r="AA732" s="2422"/>
      <c r="AB732" s="2422"/>
      <c r="AC732" s="537"/>
      <c r="AD732" s="537"/>
      <c r="AE732" s="537"/>
      <c r="AF732" s="2522" t="s">
        <v>1408</v>
      </c>
      <c r="AG732" s="2522"/>
      <c r="AH732" s="2522"/>
      <c r="AI732" s="2522"/>
      <c r="AJ732" s="2522"/>
      <c r="AK732" s="2522"/>
      <c r="AL732" s="2522"/>
      <c r="AM732" s="551"/>
      <c r="AN732" s="685"/>
      <c r="AT732" s="14"/>
      <c r="AU732" s="14"/>
      <c r="AV732" s="14"/>
      <c r="AW732" s="14"/>
      <c r="AX732" s="14"/>
      <c r="AY732" s="14"/>
      <c r="AZ732" s="14"/>
    </row>
    <row r="733" spans="1:81" s="571" customFormat="1" ht="13">
      <c r="A733" s="551"/>
      <c r="B733" s="537"/>
      <c r="C733" s="934"/>
      <c r="D733" s="537"/>
      <c r="E733" s="2422"/>
      <c r="F733" s="2422"/>
      <c r="G733" s="2422"/>
      <c r="H733" s="2422"/>
      <c r="I733" s="2422"/>
      <c r="J733" s="2422"/>
      <c r="K733" s="2422"/>
      <c r="L733" s="2422"/>
      <c r="M733" s="2422"/>
      <c r="N733" s="2422"/>
      <c r="O733" s="2422"/>
      <c r="P733" s="2422"/>
      <c r="Q733" s="2422"/>
      <c r="R733" s="2422"/>
      <c r="S733" s="2422"/>
      <c r="T733" s="2422"/>
      <c r="U733" s="2422"/>
      <c r="V733" s="2422"/>
      <c r="W733" s="2422"/>
      <c r="X733" s="2422"/>
      <c r="Y733" s="2422"/>
      <c r="Z733" s="2422"/>
      <c r="AA733" s="2422"/>
      <c r="AB733" s="2422"/>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446" t="s">
        <v>592</v>
      </c>
      <c r="I735" s="2446"/>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429">
        <f>VLOOKUP($H$735,$AO$666:$AP$668,2,FALSE)</f>
        <v>0</v>
      </c>
      <c r="AK737" s="2431"/>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688</v>
      </c>
      <c r="E741" s="2422" t="s">
        <v>1442</v>
      </c>
      <c r="F741" s="2422"/>
      <c r="G741" s="2422"/>
      <c r="H741" s="2422"/>
      <c r="I741" s="2422"/>
      <c r="J741" s="2422"/>
      <c r="K741" s="2422"/>
      <c r="L741" s="2422"/>
      <c r="M741" s="2422"/>
      <c r="N741" s="2422"/>
      <c r="O741" s="2422"/>
      <c r="P741" s="2422"/>
      <c r="Q741" s="2422"/>
      <c r="R741" s="2422"/>
      <c r="S741" s="2422"/>
      <c r="T741" s="2422"/>
      <c r="U741" s="2422"/>
      <c r="V741" s="2422"/>
      <c r="W741" s="2422"/>
      <c r="X741" s="2422"/>
      <c r="Y741" s="2422"/>
      <c r="Z741" s="2422"/>
      <c r="AA741" s="2422"/>
      <c r="AB741" s="2422"/>
      <c r="AC741" s="537"/>
      <c r="AD741" s="537"/>
      <c r="AE741" s="537"/>
      <c r="AF741" s="2522" t="s">
        <v>1352</v>
      </c>
      <c r="AG741" s="2522"/>
      <c r="AH741" s="2522"/>
      <c r="AI741" s="2522"/>
      <c r="AJ741" s="2522"/>
      <c r="AK741" s="2522"/>
      <c r="AL741" s="2522"/>
      <c r="AM741" s="551"/>
      <c r="AN741" s="685"/>
      <c r="AT741" s="14"/>
      <c r="AU741" s="14"/>
      <c r="AV741" s="14"/>
      <c r="AW741" s="14"/>
      <c r="AX741" s="14"/>
      <c r="AY741" s="14"/>
      <c r="AZ741" s="14"/>
    </row>
    <row r="742" spans="1:81" s="571" customFormat="1" ht="13">
      <c r="A742" s="551"/>
      <c r="B742" s="537"/>
      <c r="C742" s="932"/>
      <c r="D742" s="664"/>
      <c r="E742" s="2422"/>
      <c r="F742" s="2422"/>
      <c r="G742" s="2422"/>
      <c r="H742" s="2422"/>
      <c r="I742" s="2422"/>
      <c r="J742" s="2422"/>
      <c r="K742" s="2422"/>
      <c r="L742" s="2422"/>
      <c r="M742" s="2422"/>
      <c r="N742" s="2422"/>
      <c r="O742" s="2422"/>
      <c r="P742" s="2422"/>
      <c r="Q742" s="2422"/>
      <c r="R742" s="2422"/>
      <c r="S742" s="2422"/>
      <c r="T742" s="2422"/>
      <c r="U742" s="2422"/>
      <c r="V742" s="2422"/>
      <c r="W742" s="2422"/>
      <c r="X742" s="2422"/>
      <c r="Y742" s="2422"/>
      <c r="Z742" s="2422"/>
      <c r="AA742" s="2422"/>
      <c r="AB742" s="2422"/>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22"/>
      <c r="F743" s="2422"/>
      <c r="G743" s="2422"/>
      <c r="H743" s="2422"/>
      <c r="I743" s="2422"/>
      <c r="J743" s="2422"/>
      <c r="K743" s="2422"/>
      <c r="L743" s="2422"/>
      <c r="M743" s="2422"/>
      <c r="N743" s="2422"/>
      <c r="O743" s="2422"/>
      <c r="P743" s="2422"/>
      <c r="Q743" s="2422"/>
      <c r="R743" s="2422"/>
      <c r="S743" s="2422"/>
      <c r="T743" s="2422"/>
      <c r="U743" s="2422"/>
      <c r="V743" s="2422"/>
      <c r="W743" s="2422"/>
      <c r="X743" s="2422"/>
      <c r="Y743" s="2422"/>
      <c r="Z743" s="2422"/>
      <c r="AA743" s="2422"/>
      <c r="AB743" s="2422"/>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22"/>
      <c r="F744" s="2422"/>
      <c r="G744" s="2422"/>
      <c r="H744" s="2422"/>
      <c r="I744" s="2422"/>
      <c r="J744" s="2422"/>
      <c r="K744" s="2422"/>
      <c r="L744" s="2422"/>
      <c r="M744" s="2422"/>
      <c r="N744" s="2422"/>
      <c r="O744" s="2422"/>
      <c r="P744" s="2422"/>
      <c r="Q744" s="2422"/>
      <c r="R744" s="2422"/>
      <c r="S744" s="2422"/>
      <c r="T744" s="2422"/>
      <c r="U744" s="2422"/>
      <c r="V744" s="2422"/>
      <c r="W744" s="2422"/>
      <c r="X744" s="2422"/>
      <c r="Y744" s="2422"/>
      <c r="Z744" s="2422"/>
      <c r="AA744" s="2422"/>
      <c r="AB744" s="2422"/>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510</v>
      </c>
      <c r="E746" s="2422" t="s">
        <v>1443</v>
      </c>
      <c r="F746" s="2422"/>
      <c r="G746" s="2422"/>
      <c r="H746" s="2422"/>
      <c r="I746" s="2422"/>
      <c r="J746" s="2422"/>
      <c r="K746" s="2422"/>
      <c r="L746" s="2422"/>
      <c r="M746" s="2422"/>
      <c r="N746" s="2422"/>
      <c r="O746" s="2422"/>
      <c r="P746" s="2422"/>
      <c r="Q746" s="2422"/>
      <c r="R746" s="2422"/>
      <c r="S746" s="2422"/>
      <c r="T746" s="2422"/>
      <c r="U746" s="2422"/>
      <c r="V746" s="2422"/>
      <c r="W746" s="2422"/>
      <c r="X746" s="2422"/>
      <c r="Y746" s="2422"/>
      <c r="Z746" s="2422"/>
      <c r="AA746" s="2422"/>
      <c r="AB746" s="576"/>
      <c r="AC746" s="537"/>
      <c r="AD746" s="537"/>
      <c r="AE746" s="537"/>
      <c r="AF746" s="2522" t="s">
        <v>1408</v>
      </c>
      <c r="AG746" s="2522"/>
      <c r="AH746" s="2522"/>
      <c r="AI746" s="2522"/>
      <c r="AJ746" s="2522"/>
      <c r="AK746" s="2522"/>
      <c r="AL746" s="2522"/>
      <c r="AM746" s="551"/>
      <c r="AN746" s="685"/>
      <c r="AO746" s="30"/>
      <c r="AP746" s="14"/>
    </row>
    <row r="747" spans="1:81" s="571" customFormat="1" ht="13">
      <c r="A747" s="551"/>
      <c r="B747" s="537"/>
      <c r="C747" s="932"/>
      <c r="D747" s="664"/>
      <c r="E747" s="2422"/>
      <c r="F747" s="2422"/>
      <c r="G747" s="2422"/>
      <c r="H747" s="2422"/>
      <c r="I747" s="2422"/>
      <c r="J747" s="2422"/>
      <c r="K747" s="2422"/>
      <c r="L747" s="2422"/>
      <c r="M747" s="2422"/>
      <c r="N747" s="2422"/>
      <c r="O747" s="2422"/>
      <c r="P747" s="2422"/>
      <c r="Q747" s="2422"/>
      <c r="R747" s="2422"/>
      <c r="S747" s="2422"/>
      <c r="T747" s="2422"/>
      <c r="U747" s="2422"/>
      <c r="V747" s="2422"/>
      <c r="W747" s="2422"/>
      <c r="X747" s="2422"/>
      <c r="Y747" s="2422"/>
      <c r="Z747" s="2422"/>
      <c r="AA747" s="2422"/>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22"/>
      <c r="F748" s="2422"/>
      <c r="G748" s="2422"/>
      <c r="H748" s="2422"/>
      <c r="I748" s="2422"/>
      <c r="J748" s="2422"/>
      <c r="K748" s="2422"/>
      <c r="L748" s="2422"/>
      <c r="M748" s="2422"/>
      <c r="N748" s="2422"/>
      <c r="O748" s="2422"/>
      <c r="P748" s="2422"/>
      <c r="Q748" s="2422"/>
      <c r="R748" s="2422"/>
      <c r="S748" s="2422"/>
      <c r="T748" s="2422"/>
      <c r="U748" s="2422"/>
      <c r="V748" s="2422"/>
      <c r="W748" s="2422"/>
      <c r="X748" s="2422"/>
      <c r="Y748" s="2422"/>
      <c r="Z748" s="2422"/>
      <c r="AA748" s="2422"/>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22"/>
      <c r="F749" s="2422"/>
      <c r="G749" s="2422"/>
      <c r="H749" s="2422"/>
      <c r="I749" s="2422"/>
      <c r="J749" s="2422"/>
      <c r="K749" s="2422"/>
      <c r="L749" s="2422"/>
      <c r="M749" s="2422"/>
      <c r="N749" s="2422"/>
      <c r="O749" s="2422"/>
      <c r="P749" s="2422"/>
      <c r="Q749" s="2422"/>
      <c r="R749" s="2422"/>
      <c r="S749" s="2422"/>
      <c r="T749" s="2422"/>
      <c r="U749" s="2422"/>
      <c r="V749" s="2422"/>
      <c r="W749" s="2422"/>
      <c r="X749" s="2422"/>
      <c r="Y749" s="2422"/>
      <c r="Z749" s="2422"/>
      <c r="AA749" s="2422"/>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446" t="s">
        <v>688</v>
      </c>
      <c r="I751" s="2446"/>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429">
        <f>VLOOKUP($H$751,$AO$680:$AP$682,2,FALSE)</f>
        <v>3</v>
      </c>
      <c r="AK753" s="2431"/>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688</v>
      </c>
      <c r="E757" s="2422" t="s">
        <v>1445</v>
      </c>
      <c r="F757" s="2422"/>
      <c r="G757" s="2422"/>
      <c r="H757" s="2422"/>
      <c r="I757" s="2422"/>
      <c r="J757" s="2422"/>
      <c r="K757" s="2422"/>
      <c r="L757" s="2422"/>
      <c r="M757" s="2422"/>
      <c r="N757" s="2422"/>
      <c r="O757" s="2422"/>
      <c r="P757" s="2422"/>
      <c r="Q757" s="2422"/>
      <c r="R757" s="2422"/>
      <c r="S757" s="2422"/>
      <c r="T757" s="2422"/>
      <c r="U757" s="2422"/>
      <c r="V757" s="2422"/>
      <c r="W757" s="2422"/>
      <c r="X757" s="2422"/>
      <c r="Y757" s="2422"/>
      <c r="Z757" s="2422"/>
      <c r="AA757" s="2422"/>
      <c r="AB757" s="2422"/>
      <c r="AC757" s="537"/>
      <c r="AD757" s="537"/>
      <c r="AE757" s="537"/>
      <c r="AF757" s="2522" t="s">
        <v>1408</v>
      </c>
      <c r="AG757" s="2522"/>
      <c r="AH757" s="2522"/>
      <c r="AI757" s="2522"/>
      <c r="AJ757" s="2522"/>
      <c r="AK757" s="2522"/>
      <c r="AL757" s="2522"/>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22"/>
      <c r="F758" s="2422"/>
      <c r="G758" s="2422"/>
      <c r="H758" s="2422"/>
      <c r="I758" s="2422"/>
      <c r="J758" s="2422"/>
      <c r="K758" s="2422"/>
      <c r="L758" s="2422"/>
      <c r="M758" s="2422"/>
      <c r="N758" s="2422"/>
      <c r="O758" s="2422"/>
      <c r="P758" s="2422"/>
      <c r="Q758" s="2422"/>
      <c r="R758" s="2422"/>
      <c r="S758" s="2422"/>
      <c r="T758" s="2422"/>
      <c r="U758" s="2422"/>
      <c r="V758" s="2422"/>
      <c r="W758" s="2422"/>
      <c r="X758" s="2422"/>
      <c r="Y758" s="2422"/>
      <c r="Z758" s="2422"/>
      <c r="AA758" s="2422"/>
      <c r="AB758" s="2422"/>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510</v>
      </c>
      <c r="E760" s="2422" t="s">
        <v>1446</v>
      </c>
      <c r="F760" s="2422"/>
      <c r="G760" s="2422"/>
      <c r="H760" s="2422"/>
      <c r="I760" s="2422"/>
      <c r="J760" s="2422"/>
      <c r="K760" s="2422"/>
      <c r="L760" s="2422"/>
      <c r="M760" s="2422"/>
      <c r="N760" s="2422"/>
      <c r="O760" s="2422"/>
      <c r="P760" s="2422"/>
      <c r="Q760" s="2422"/>
      <c r="R760" s="2422"/>
      <c r="S760" s="2422"/>
      <c r="T760" s="2422"/>
      <c r="U760" s="2422"/>
      <c r="V760" s="2422"/>
      <c r="W760" s="2422"/>
      <c r="X760" s="2422"/>
      <c r="Y760" s="2422"/>
      <c r="Z760" s="2422"/>
      <c r="AA760" s="2422"/>
      <c r="AB760" s="2422"/>
      <c r="AC760" s="537"/>
      <c r="AD760" s="537"/>
      <c r="AE760" s="537"/>
      <c r="AF760" s="2522" t="s">
        <v>1425</v>
      </c>
      <c r="AG760" s="2522"/>
      <c r="AH760" s="2522"/>
      <c r="AI760" s="2522"/>
      <c r="AJ760" s="2522"/>
      <c r="AK760" s="2522"/>
      <c r="AL760" s="2522"/>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22"/>
      <c r="F761" s="2422"/>
      <c r="G761" s="2422"/>
      <c r="H761" s="2422"/>
      <c r="I761" s="2422"/>
      <c r="J761" s="2422"/>
      <c r="K761" s="2422"/>
      <c r="L761" s="2422"/>
      <c r="M761" s="2422"/>
      <c r="N761" s="2422"/>
      <c r="O761" s="2422"/>
      <c r="P761" s="2422"/>
      <c r="Q761" s="2422"/>
      <c r="R761" s="2422"/>
      <c r="S761" s="2422"/>
      <c r="T761" s="2422"/>
      <c r="U761" s="2422"/>
      <c r="V761" s="2422"/>
      <c r="W761" s="2422"/>
      <c r="X761" s="2422"/>
      <c r="Y761" s="2422"/>
      <c r="Z761" s="2422"/>
      <c r="AA761" s="2422"/>
      <c r="AB761" s="2422"/>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446" t="s">
        <v>688</v>
      </c>
      <c r="I763" s="2446"/>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429">
        <f>VLOOKUP($H$763,$AO$697:$AP$699,2,FALSE)</f>
        <v>2</v>
      </c>
      <c r="AK765" s="2431"/>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688</v>
      </c>
      <c r="E769" s="2422" t="s">
        <v>1692</v>
      </c>
      <c r="F769" s="2422"/>
      <c r="G769" s="2422"/>
      <c r="H769" s="2422"/>
      <c r="I769" s="2422"/>
      <c r="J769" s="2422"/>
      <c r="K769" s="2422"/>
      <c r="L769" s="2422"/>
      <c r="M769" s="2422"/>
      <c r="N769" s="2422"/>
      <c r="O769" s="2422"/>
      <c r="P769" s="2422"/>
      <c r="Q769" s="2422"/>
      <c r="R769" s="2422"/>
      <c r="S769" s="2422"/>
      <c r="T769" s="2422"/>
      <c r="U769" s="2422"/>
      <c r="V769" s="2422"/>
      <c r="W769" s="2422"/>
      <c r="X769" s="2422"/>
      <c r="Y769" s="2422"/>
      <c r="Z769" s="2422"/>
      <c r="AA769" s="2422"/>
      <c r="AB769" s="2422"/>
      <c r="AC769" s="2422"/>
      <c r="AD769" s="2422"/>
      <c r="AE769" s="537"/>
      <c r="AF769" s="2522" t="s">
        <v>1408</v>
      </c>
      <c r="AG769" s="2522"/>
      <c r="AH769" s="2522"/>
      <c r="AI769" s="2522"/>
      <c r="AJ769" s="2522"/>
      <c r="AK769" s="2522"/>
      <c r="AL769" s="2522"/>
      <c r="AM769" s="614"/>
      <c r="AN769" s="685"/>
      <c r="AO769" s="551" t="s">
        <v>592</v>
      </c>
      <c r="AP769" s="674">
        <v>0</v>
      </c>
    </row>
    <row r="770" spans="1:81" s="571" customFormat="1" ht="13.75" customHeight="1">
      <c r="A770" s="551"/>
      <c r="B770" s="617"/>
      <c r="C770" s="941"/>
      <c r="D770" s="664"/>
      <c r="E770" s="2422"/>
      <c r="F770" s="2422"/>
      <c r="G770" s="2422"/>
      <c r="H770" s="2422"/>
      <c r="I770" s="2422"/>
      <c r="J770" s="2422"/>
      <c r="K770" s="2422"/>
      <c r="L770" s="2422"/>
      <c r="M770" s="2422"/>
      <c r="N770" s="2422"/>
      <c r="O770" s="2422"/>
      <c r="P770" s="2422"/>
      <c r="Q770" s="2422"/>
      <c r="R770" s="2422"/>
      <c r="S770" s="2422"/>
      <c r="T770" s="2422"/>
      <c r="U770" s="2422"/>
      <c r="V770" s="2422"/>
      <c r="W770" s="2422"/>
      <c r="X770" s="2422"/>
      <c r="Y770" s="2422"/>
      <c r="Z770" s="2422"/>
      <c r="AA770" s="2422"/>
      <c r="AB770" s="2422"/>
      <c r="AC770" s="2422"/>
      <c r="AD770" s="2422"/>
      <c r="AE770" s="537"/>
      <c r="AF770" s="595"/>
      <c r="AG770" s="595"/>
      <c r="AH770" s="595"/>
      <c r="AI770" s="595"/>
      <c r="AJ770" s="595"/>
      <c r="AK770" s="595"/>
      <c r="AL770" s="595"/>
      <c r="AM770" s="614"/>
      <c r="AN770" s="685"/>
      <c r="AO770" s="612" t="s">
        <v>688</v>
      </c>
      <c r="AP770" s="551">
        <v>2</v>
      </c>
    </row>
    <row r="771" spans="1:81" s="571" customFormat="1" ht="13">
      <c r="A771" s="551"/>
      <c r="B771" s="617"/>
      <c r="C771" s="941"/>
      <c r="D771" s="664"/>
      <c r="E771" s="2422"/>
      <c r="F771" s="2422"/>
      <c r="G771" s="2422"/>
      <c r="H771" s="2422"/>
      <c r="I771" s="2422"/>
      <c r="J771" s="2422"/>
      <c r="K771" s="2422"/>
      <c r="L771" s="2422"/>
      <c r="M771" s="2422"/>
      <c r="N771" s="2422"/>
      <c r="O771" s="2422"/>
      <c r="P771" s="2422"/>
      <c r="Q771" s="2422"/>
      <c r="R771" s="2422"/>
      <c r="S771" s="2422"/>
      <c r="T771" s="2422"/>
      <c r="U771" s="2422"/>
      <c r="V771" s="2422"/>
      <c r="W771" s="2422"/>
      <c r="X771" s="2422"/>
      <c r="Y771" s="2422"/>
      <c r="Z771" s="2422"/>
      <c r="AA771" s="2422"/>
      <c r="AB771" s="2422"/>
      <c r="AC771" s="2422"/>
      <c r="AD771" s="2422"/>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422"/>
      <c r="F772" s="2422"/>
      <c r="G772" s="2422"/>
      <c r="H772" s="2422"/>
      <c r="I772" s="2422"/>
      <c r="J772" s="2422"/>
      <c r="K772" s="2422"/>
      <c r="L772" s="2422"/>
      <c r="M772" s="2422"/>
      <c r="N772" s="2422"/>
      <c r="O772" s="2422"/>
      <c r="P772" s="2422"/>
      <c r="Q772" s="2422"/>
      <c r="R772" s="2422"/>
      <c r="S772" s="2422"/>
      <c r="T772" s="2422"/>
      <c r="U772" s="2422"/>
      <c r="V772" s="2422"/>
      <c r="W772" s="2422"/>
      <c r="X772" s="2422"/>
      <c r="Y772" s="2422"/>
      <c r="Z772" s="2422"/>
      <c r="AA772" s="2422"/>
      <c r="AB772" s="2422"/>
      <c r="AC772" s="2422"/>
      <c r="AD772" s="2422"/>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33" t="s">
        <v>1697</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7"/>
      <c r="AF774" s="2522" t="s">
        <v>1352</v>
      </c>
      <c r="AG774" s="2522"/>
      <c r="AH774" s="2522"/>
      <c r="AI774" s="2522"/>
      <c r="AJ774" s="2522"/>
      <c r="AK774" s="2522"/>
      <c r="AL774" s="2522"/>
      <c r="AM774" s="614"/>
      <c r="AN774" s="598"/>
    </row>
    <row r="775" spans="1:81" s="551" customFormat="1" ht="12.75" customHeight="1">
      <c r="B775" s="617"/>
      <c r="C775" s="941"/>
      <c r="D775" s="664"/>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5"/>
      <c r="AF775" s="595"/>
      <c r="AG775" s="595"/>
      <c r="AH775" s="595"/>
      <c r="AI775" s="595"/>
      <c r="AJ775" s="595"/>
      <c r="AK775" s="595"/>
      <c r="AL775" s="595"/>
      <c r="AM775" s="614"/>
      <c r="AN775" s="598"/>
    </row>
    <row r="776" spans="1:81" s="551" customFormat="1" ht="12.75" customHeight="1">
      <c r="B776" s="617"/>
      <c r="C776" s="941"/>
      <c r="D776" s="664"/>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5"/>
      <c r="AF776" s="595"/>
      <c r="AG776" s="595"/>
      <c r="AH776" s="595"/>
      <c r="AI776" s="595"/>
      <c r="AJ776" s="595"/>
      <c r="AK776" s="595"/>
      <c r="AL776" s="595"/>
      <c r="AM776" s="614"/>
      <c r="AN776" s="598"/>
    </row>
    <row r="777" spans="1:81" s="551" customFormat="1" ht="12.75" customHeight="1">
      <c r="B777" s="617"/>
      <c r="C777" s="941"/>
      <c r="D777" s="664"/>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446" t="s">
        <v>592</v>
      </c>
      <c r="I779" s="2446"/>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429">
        <f>VLOOKUP($H$779,$AO$769:$AP$771,2,FALSE)</f>
        <v>0</v>
      </c>
      <c r="AK781" s="2431"/>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688</v>
      </c>
      <c r="E785" s="2422" t="s">
        <v>2034</v>
      </c>
      <c r="F785" s="2422"/>
      <c r="G785" s="2422"/>
      <c r="H785" s="2422"/>
      <c r="I785" s="2422"/>
      <c r="J785" s="2422"/>
      <c r="K785" s="2422"/>
      <c r="L785" s="2422"/>
      <c r="M785" s="2422"/>
      <c r="N785" s="2422"/>
      <c r="O785" s="2422"/>
      <c r="P785" s="2422"/>
      <c r="Q785" s="2422"/>
      <c r="R785" s="2422"/>
      <c r="S785" s="2422"/>
      <c r="T785" s="2422"/>
      <c r="U785" s="2422"/>
      <c r="V785" s="2422"/>
      <c r="W785" s="2422"/>
      <c r="X785" s="2422"/>
      <c r="Y785" s="2422"/>
      <c r="Z785" s="2422"/>
      <c r="AA785" s="2422"/>
      <c r="AB785" s="2422"/>
      <c r="AC785" s="2422"/>
      <c r="AD785" s="2422"/>
      <c r="AE785" s="537"/>
      <c r="AF785" s="2522" t="s">
        <v>1352</v>
      </c>
      <c r="AG785" s="2522"/>
      <c r="AH785" s="2522"/>
      <c r="AI785" s="2522"/>
      <c r="AJ785" s="2522"/>
      <c r="AK785" s="2522"/>
      <c r="AL785" s="2522"/>
      <c r="AM785" s="614"/>
      <c r="AN785" s="685"/>
      <c r="AO785" s="612" t="s">
        <v>546</v>
      </c>
      <c r="AP785" s="551">
        <v>3</v>
      </c>
      <c r="AT785" s="675"/>
      <c r="AU785" s="675"/>
      <c r="AV785" s="675"/>
      <c r="AW785" s="675"/>
      <c r="AX785" s="675"/>
      <c r="AY785" s="675"/>
      <c r="AZ785" s="675"/>
    </row>
    <row r="786" spans="1:81" s="571" customFormat="1" ht="13.75" customHeight="1">
      <c r="A786" s="551"/>
      <c r="B786" s="617"/>
      <c r="C786" s="941"/>
      <c r="D786" s="664"/>
      <c r="E786" s="2422"/>
      <c r="F786" s="2422"/>
      <c r="G786" s="2422"/>
      <c r="H786" s="2422"/>
      <c r="I786" s="2422"/>
      <c r="J786" s="2422"/>
      <c r="K786" s="2422"/>
      <c r="L786" s="2422"/>
      <c r="M786" s="2422"/>
      <c r="N786" s="2422"/>
      <c r="O786" s="2422"/>
      <c r="P786" s="2422"/>
      <c r="Q786" s="2422"/>
      <c r="R786" s="2422"/>
      <c r="S786" s="2422"/>
      <c r="T786" s="2422"/>
      <c r="U786" s="2422"/>
      <c r="V786" s="2422"/>
      <c r="W786" s="2422"/>
      <c r="X786" s="2422"/>
      <c r="Y786" s="2422"/>
      <c r="Z786" s="2422"/>
      <c r="AA786" s="2422"/>
      <c r="AB786" s="2422"/>
      <c r="AC786" s="2422"/>
      <c r="AD786" s="2422"/>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22"/>
      <c r="F787" s="2422"/>
      <c r="G787" s="2422"/>
      <c r="H787" s="2422"/>
      <c r="I787" s="2422"/>
      <c r="J787" s="2422"/>
      <c r="K787" s="2422"/>
      <c r="L787" s="2422"/>
      <c r="M787" s="2422"/>
      <c r="N787" s="2422"/>
      <c r="O787" s="2422"/>
      <c r="P787" s="2422"/>
      <c r="Q787" s="2422"/>
      <c r="R787" s="2422"/>
      <c r="S787" s="2422"/>
      <c r="T787" s="2422"/>
      <c r="U787" s="2422"/>
      <c r="V787" s="2422"/>
      <c r="W787" s="2422"/>
      <c r="X787" s="2422"/>
      <c r="Y787" s="2422"/>
      <c r="Z787" s="2422"/>
      <c r="AA787" s="2422"/>
      <c r="AB787" s="2422"/>
      <c r="AC787" s="2422"/>
      <c r="AD787" s="2422"/>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22"/>
      <c r="F788" s="2422"/>
      <c r="G788" s="2422"/>
      <c r="H788" s="2422"/>
      <c r="I788" s="2422"/>
      <c r="J788" s="2422"/>
      <c r="K788" s="2422"/>
      <c r="L788" s="2422"/>
      <c r="M788" s="2422"/>
      <c r="N788" s="2422"/>
      <c r="O788" s="2422"/>
      <c r="P788" s="2422"/>
      <c r="Q788" s="2422"/>
      <c r="R788" s="2422"/>
      <c r="S788" s="2422"/>
      <c r="T788" s="2422"/>
      <c r="U788" s="2422"/>
      <c r="V788" s="2422"/>
      <c r="W788" s="2422"/>
      <c r="X788" s="2422"/>
      <c r="Y788" s="2422"/>
      <c r="Z788" s="2422"/>
      <c r="AA788" s="2422"/>
      <c r="AB788" s="2422"/>
      <c r="AC788" s="2422"/>
      <c r="AD788" s="2422"/>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1400</v>
      </c>
      <c r="E790" s="937"/>
      <c r="F790" s="937"/>
      <c r="G790" s="937"/>
      <c r="H790" s="2446" t="s">
        <v>592</v>
      </c>
      <c r="I790" s="2446"/>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429">
        <f>VLOOKUP($H$790,$AO$784:$AP$785,2,FALSE)</f>
        <v>0</v>
      </c>
      <c r="AK792" s="2431"/>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429">
        <f>IF(($AJ$621+$AJ$640+$AJ$652+$AJ$687+$AJ$711+$AJ$725+$AJ$737+$AJ$753+$AJ$765+$AJ$781+AJ792)&gt;10,10,($AJ$621+$AJ$640+$AJ$652+$AJ$687+$AJ$711+$AJ$725+$AJ$737+$AJ$753+$AJ$765+$AJ$781+AJ792))</f>
        <v>10</v>
      </c>
      <c r="AL794" s="2430"/>
      <c r="AM794" s="2431"/>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13" t="s">
        <v>1568</v>
      </c>
      <c r="B797" s="2514"/>
      <c r="C797" s="2514"/>
      <c r="D797" s="2514"/>
      <c r="E797" s="2514"/>
      <c r="F797" s="2514"/>
      <c r="G797" s="2514"/>
      <c r="H797" s="2514"/>
      <c r="I797" s="2514"/>
      <c r="J797" s="2514"/>
      <c r="K797" s="2514"/>
      <c r="L797" s="2514"/>
      <c r="M797" s="2514"/>
      <c r="N797" s="2514"/>
      <c r="O797" s="2514"/>
      <c r="P797" s="2514"/>
      <c r="Q797" s="2514"/>
      <c r="R797" s="2514"/>
      <c r="S797" s="2514"/>
      <c r="T797" s="2514"/>
      <c r="U797" s="2514"/>
      <c r="V797" s="2514"/>
      <c r="W797" s="2514"/>
      <c r="X797" s="2514"/>
      <c r="Y797" s="2514"/>
      <c r="Z797" s="2514"/>
      <c r="AA797" s="2514"/>
      <c r="AB797" s="2514"/>
      <c r="AC797" s="2514"/>
      <c r="AD797" s="2514"/>
      <c r="AE797" s="2514"/>
      <c r="AF797" s="2514"/>
      <c r="AG797" s="2514"/>
      <c r="AH797" s="2514"/>
      <c r="AI797" s="2514"/>
      <c r="AJ797" s="2514"/>
      <c r="AK797" s="2514"/>
      <c r="AL797" s="2514"/>
      <c r="AM797" s="2514"/>
    </row>
    <row r="798" spans="1:81">
      <c r="A798" s="2515"/>
      <c r="B798" s="2515"/>
      <c r="C798" s="2515"/>
      <c r="D798" s="2515"/>
      <c r="E798" s="2515"/>
      <c r="F798" s="2515"/>
      <c r="G798" s="2515"/>
      <c r="H798" s="2515"/>
      <c r="I798" s="2515"/>
      <c r="J798" s="2515"/>
      <c r="K798" s="2515"/>
      <c r="L798" s="2515"/>
      <c r="M798" s="2515"/>
      <c r="N798" s="2515"/>
      <c r="O798" s="2515"/>
      <c r="P798" s="2515"/>
      <c r="Q798" s="2515"/>
      <c r="R798" s="2515"/>
      <c r="S798" s="2515"/>
      <c r="T798" s="2515"/>
      <c r="U798" s="2515"/>
      <c r="V798" s="2515"/>
      <c r="W798" s="2515"/>
      <c r="X798" s="2515"/>
      <c r="Y798" s="2515"/>
      <c r="Z798" s="2515"/>
      <c r="AA798" s="2515"/>
      <c r="AB798" s="2515"/>
      <c r="AC798" s="2515"/>
      <c r="AD798" s="2515"/>
      <c r="AE798" s="2515"/>
      <c r="AF798" s="2515"/>
      <c r="AG798" s="2515"/>
      <c r="AH798" s="2515"/>
      <c r="AI798" s="2515"/>
      <c r="AJ798" s="2515"/>
      <c r="AK798" s="2515"/>
      <c r="AL798" s="2515"/>
      <c r="AM798" s="2515"/>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444"/>
      <c r="B800" s="2444"/>
      <c r="C800" s="2444"/>
      <c r="D800" s="2444"/>
      <c r="E800" s="2444"/>
      <c r="F800" s="2444"/>
      <c r="G800" s="2444"/>
      <c r="H800" s="2444"/>
      <c r="I800" s="2444"/>
      <c r="J800" s="2444"/>
      <c r="K800" s="2444"/>
      <c r="L800" s="2444"/>
      <c r="M800" s="2444"/>
      <c r="N800" s="2444"/>
      <c r="O800" s="2444"/>
      <c r="P800" s="2444"/>
      <c r="Q800" s="2444"/>
      <c r="R800" s="2444"/>
      <c r="S800" s="2444"/>
      <c r="T800" s="2444"/>
      <c r="U800" s="2444"/>
      <c r="V800" s="2444"/>
      <c r="W800" s="2444"/>
      <c r="X800" s="2444"/>
      <c r="Y800" s="2444"/>
      <c r="Z800" s="2444"/>
      <c r="AA800" s="2444"/>
      <c r="AB800" s="2444"/>
      <c r="AC800" s="2444"/>
      <c r="AD800" s="2444"/>
      <c r="AE800" s="2444"/>
      <c r="AF800" s="2444"/>
      <c r="AG800" s="2444"/>
      <c r="AH800" s="2444"/>
      <c r="AI800" s="2444"/>
      <c r="AJ800" s="2444"/>
      <c r="AK800" s="2444"/>
      <c r="AL800" s="2444"/>
      <c r="AM800" s="2444"/>
      <c r="AP800" s="817"/>
      <c r="AQ800" s="817"/>
    </row>
    <row r="801" spans="1:81" ht="13">
      <c r="A801" s="2444"/>
      <c r="B801" s="2444"/>
      <c r="C801" s="2444"/>
      <c r="D801" s="2444"/>
      <c r="E801" s="2444"/>
      <c r="F801" s="2444"/>
      <c r="G801" s="2444"/>
      <c r="H801" s="2444"/>
      <c r="I801" s="2444"/>
      <c r="J801" s="2444"/>
      <c r="K801" s="2444"/>
      <c r="L801" s="2444"/>
      <c r="M801" s="2444"/>
      <c r="N801" s="2444"/>
      <c r="O801" s="2444"/>
      <c r="P801" s="2444"/>
      <c r="Q801" s="2444"/>
      <c r="R801" s="2444"/>
      <c r="S801" s="2444"/>
      <c r="T801" s="2444"/>
      <c r="U801" s="2444"/>
      <c r="V801" s="2444"/>
      <c r="W801" s="2444"/>
      <c r="X801" s="2444"/>
      <c r="Y801" s="2444"/>
      <c r="Z801" s="2444"/>
      <c r="AA801" s="2444"/>
      <c r="AB801" s="2444"/>
      <c r="AC801" s="2444"/>
      <c r="AD801" s="2444"/>
      <c r="AE801" s="2444"/>
      <c r="AF801" s="2444"/>
      <c r="AG801" s="2444"/>
      <c r="AH801" s="2444"/>
      <c r="AI801" s="2444"/>
      <c r="AJ801" s="2444"/>
      <c r="AK801" s="2444"/>
      <c r="AL801" s="2444"/>
      <c r="AM801" s="2444"/>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16" t="s">
        <v>1569</v>
      </c>
      <c r="U802" s="2517"/>
      <c r="V802" s="2517"/>
      <c r="W802" s="2517"/>
      <c r="X802" s="2517"/>
      <c r="Y802" s="2518"/>
      <c r="Z802" s="2516" t="s">
        <v>1570</v>
      </c>
      <c r="AA802" s="2517"/>
      <c r="AB802" s="2517"/>
      <c r="AC802" s="2517"/>
      <c r="AD802" s="2517"/>
      <c r="AE802" s="2518"/>
      <c r="AF802" s="2516" t="s">
        <v>1571</v>
      </c>
      <c r="AG802" s="2517"/>
      <c r="AH802" s="2517"/>
      <c r="AI802" s="2517"/>
      <c r="AJ802" s="2517"/>
      <c r="AK802" s="2518"/>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19"/>
      <c r="U803" s="2520"/>
      <c r="V803" s="2520"/>
      <c r="W803" s="2520"/>
      <c r="X803" s="2520"/>
      <c r="Y803" s="2521"/>
      <c r="Z803" s="2519"/>
      <c r="AA803" s="2520"/>
      <c r="AB803" s="2520"/>
      <c r="AC803" s="2520"/>
      <c r="AD803" s="2520"/>
      <c r="AE803" s="2521"/>
      <c r="AF803" s="2519"/>
      <c r="AG803" s="2520"/>
      <c r="AH803" s="2520"/>
      <c r="AI803" s="2520"/>
      <c r="AJ803" s="2520"/>
      <c r="AK803" s="2521"/>
      <c r="AL803" s="819"/>
      <c r="AM803" s="597"/>
      <c r="AO803" s="817"/>
      <c r="AP803" s="817"/>
      <c r="AQ803" s="817"/>
    </row>
    <row r="804" spans="1:81" ht="13">
      <c r="A804" s="820" t="s">
        <v>758</v>
      </c>
      <c r="B804" s="2473" t="s">
        <v>1304</v>
      </c>
      <c r="C804" s="2473"/>
      <c r="D804" s="2473"/>
      <c r="E804" s="2473"/>
      <c r="F804" s="2473"/>
      <c r="G804" s="2473"/>
      <c r="H804" s="2473"/>
      <c r="I804" s="2473"/>
      <c r="J804" s="2473"/>
      <c r="K804" s="2473"/>
      <c r="L804" s="2473"/>
      <c r="M804" s="2473"/>
      <c r="N804" s="2473"/>
      <c r="O804" s="2473"/>
      <c r="P804" s="2473"/>
      <c r="Q804" s="2473"/>
      <c r="R804" s="2473"/>
      <c r="S804" s="2474"/>
      <c r="T804" s="2501">
        <f>AK62</f>
        <v>0</v>
      </c>
      <c r="U804" s="2477"/>
      <c r="V804" s="2477"/>
      <c r="W804" s="2477"/>
      <c r="X804" s="2477"/>
      <c r="Y804" s="2478"/>
      <c r="Z804" s="2476">
        <v>20</v>
      </c>
      <c r="AA804" s="2477"/>
      <c r="AB804" s="2477"/>
      <c r="AC804" s="2477"/>
      <c r="AD804" s="2477"/>
      <c r="AE804" s="2478"/>
      <c r="AF804" s="2441">
        <f>IF(T804&gt;Z804,Z804,T804)</f>
        <v>0</v>
      </c>
      <c r="AG804" s="2441"/>
      <c r="AH804" s="2441"/>
      <c r="AI804" s="2441"/>
      <c r="AJ804" s="2441"/>
      <c r="AK804" s="2441"/>
      <c r="AL804" s="819"/>
      <c r="AM804" s="597"/>
      <c r="AO804" s="817"/>
      <c r="AP804" s="817"/>
      <c r="AQ804" s="817"/>
    </row>
    <row r="805" spans="1:81" ht="13">
      <c r="A805" s="820" t="s">
        <v>1541</v>
      </c>
      <c r="B805" s="2473" t="s">
        <v>1313</v>
      </c>
      <c r="C805" s="2473"/>
      <c r="D805" s="2473"/>
      <c r="E805" s="2473"/>
      <c r="F805" s="2473"/>
      <c r="G805" s="2473"/>
      <c r="H805" s="2473"/>
      <c r="I805" s="2473"/>
      <c r="J805" s="2473"/>
      <c r="K805" s="2473"/>
      <c r="L805" s="2473"/>
      <c r="M805" s="2473"/>
      <c r="N805" s="2473"/>
      <c r="O805" s="2473"/>
      <c r="P805" s="2473"/>
      <c r="Q805" s="2473"/>
      <c r="R805" s="2473"/>
      <c r="S805" s="2474"/>
      <c r="T805" s="2501">
        <f>AK84</f>
        <v>10</v>
      </c>
      <c r="U805" s="2477"/>
      <c r="V805" s="2477"/>
      <c r="W805" s="2477"/>
      <c r="X805" s="2477"/>
      <c r="Y805" s="2478"/>
      <c r="Z805" s="2476">
        <v>10</v>
      </c>
      <c r="AA805" s="2477"/>
      <c r="AB805" s="2477"/>
      <c r="AC805" s="2477"/>
      <c r="AD805" s="2477"/>
      <c r="AE805" s="2478"/>
      <c r="AF805" s="2441">
        <f>IF(T805&gt;Z805,Z805,T805)</f>
        <v>10</v>
      </c>
      <c r="AG805" s="2441"/>
      <c r="AH805" s="2441"/>
      <c r="AI805" s="2441"/>
      <c r="AJ805" s="2441"/>
      <c r="AK805" s="2441"/>
      <c r="AL805" s="819"/>
      <c r="AM805" s="597"/>
      <c r="AO805" s="817"/>
      <c r="AP805" s="817"/>
      <c r="AQ805" s="817"/>
    </row>
    <row r="806" spans="1:81" ht="13">
      <c r="A806" s="820" t="s">
        <v>1550</v>
      </c>
      <c r="B806" s="2473" t="s">
        <v>1323</v>
      </c>
      <c r="C806" s="2473"/>
      <c r="D806" s="2473"/>
      <c r="E806" s="2473"/>
      <c r="F806" s="2473"/>
      <c r="G806" s="2473"/>
      <c r="H806" s="2473"/>
      <c r="I806" s="2473"/>
      <c r="J806" s="2473"/>
      <c r="K806" s="2473"/>
      <c r="L806" s="2473"/>
      <c r="M806" s="2473"/>
      <c r="N806" s="2473"/>
      <c r="O806" s="2473"/>
      <c r="P806" s="2473"/>
      <c r="Q806" s="2473"/>
      <c r="R806" s="2473"/>
      <c r="S806" s="2474"/>
      <c r="T806" s="2501">
        <f ca="1">AK109</f>
        <v>20</v>
      </c>
      <c r="U806" s="2477"/>
      <c r="V806" s="2477"/>
      <c r="W806" s="2477"/>
      <c r="X806" s="2477"/>
      <c r="Y806" s="2478"/>
      <c r="Z806" s="2476">
        <v>20</v>
      </c>
      <c r="AA806" s="2477"/>
      <c r="AB806" s="2477"/>
      <c r="AC806" s="2477"/>
      <c r="AD806" s="2477"/>
      <c r="AE806" s="2478"/>
      <c r="AF806" s="2441">
        <f ca="1">IF(T806&gt;Z806,Z806,T806)</f>
        <v>20</v>
      </c>
      <c r="AG806" s="2441"/>
      <c r="AH806" s="2441"/>
      <c r="AI806" s="2441"/>
      <c r="AJ806" s="2441"/>
      <c r="AK806" s="2441"/>
      <c r="AL806" s="819"/>
      <c r="AM806" s="597"/>
      <c r="AO806" s="817"/>
      <c r="AP806" s="817"/>
      <c r="AQ806" s="817"/>
    </row>
    <row r="807" spans="1:81" ht="13">
      <c r="A807" s="820" t="s">
        <v>1572</v>
      </c>
      <c r="B807" s="2473" t="s">
        <v>1333</v>
      </c>
      <c r="C807" s="2473"/>
      <c r="D807" s="2473"/>
      <c r="E807" s="2473"/>
      <c r="F807" s="2473"/>
      <c r="G807" s="2473"/>
      <c r="H807" s="2473"/>
      <c r="I807" s="2473"/>
      <c r="J807" s="2473"/>
      <c r="K807" s="2473"/>
      <c r="L807" s="2473"/>
      <c r="M807" s="2473"/>
      <c r="N807" s="2473"/>
      <c r="O807" s="2473"/>
      <c r="P807" s="2473"/>
      <c r="Q807" s="2473"/>
      <c r="R807" s="2473"/>
      <c r="S807" s="2474"/>
      <c r="T807" s="2501">
        <f>AK143</f>
        <v>10</v>
      </c>
      <c r="U807" s="2477"/>
      <c r="V807" s="2477"/>
      <c r="W807" s="2477"/>
      <c r="X807" s="2477"/>
      <c r="Y807" s="2478"/>
      <c r="Z807" s="2476">
        <v>10</v>
      </c>
      <c r="AA807" s="2477"/>
      <c r="AB807" s="2477"/>
      <c r="AC807" s="2477"/>
      <c r="AD807" s="2477"/>
      <c r="AE807" s="2478"/>
      <c r="AF807" s="2441">
        <f>IF(T807&gt;Z807,Z807,T807)</f>
        <v>10</v>
      </c>
      <c r="AG807" s="2441"/>
      <c r="AH807" s="2441"/>
      <c r="AI807" s="2441"/>
      <c r="AJ807" s="2441"/>
      <c r="AK807" s="2441"/>
      <c r="AL807" s="819"/>
      <c r="AM807" s="597"/>
      <c r="AO807" s="817"/>
      <c r="AP807" s="817"/>
      <c r="AQ807" s="817"/>
    </row>
    <row r="808" spans="1:81" ht="13">
      <c r="A808" s="821" t="s">
        <v>1573</v>
      </c>
      <c r="B808" s="2473" t="s">
        <v>1574</v>
      </c>
      <c r="C808" s="2473"/>
      <c r="D808" s="2473"/>
      <c r="E808" s="2473"/>
      <c r="F808" s="2473"/>
      <c r="G808" s="2473"/>
      <c r="H808" s="2473"/>
      <c r="I808" s="2473"/>
      <c r="J808" s="2473"/>
      <c r="K808" s="2473"/>
      <c r="L808" s="2473"/>
      <c r="M808" s="2473"/>
      <c r="N808" s="2473"/>
      <c r="O808" s="2473"/>
      <c r="P808" s="2473"/>
      <c r="Q808" s="2473"/>
      <c r="R808" s="2473"/>
      <c r="S808" s="2474"/>
      <c r="T808" s="2475">
        <f>SUM(T809:Y810)</f>
        <v>10</v>
      </c>
      <c r="U808" s="2475"/>
      <c r="V808" s="2475"/>
      <c r="W808" s="2475"/>
      <c r="X808" s="2475"/>
      <c r="Y808" s="2475"/>
      <c r="Z808" s="2441">
        <v>10</v>
      </c>
      <c r="AA808" s="2441"/>
      <c r="AB808" s="2441"/>
      <c r="AC808" s="2441"/>
      <c r="AD808" s="2441"/>
      <c r="AE808" s="2441"/>
      <c r="AF808" s="2441">
        <f>IF(T808&gt;Z808,Z808,T808)</f>
        <v>10</v>
      </c>
      <c r="AG808" s="2441"/>
      <c r="AH808" s="2441"/>
      <c r="AI808" s="2441"/>
      <c r="AJ808" s="2441"/>
      <c r="AK808" s="2441"/>
      <c r="AL808" s="819"/>
      <c r="AM808" s="597"/>
    </row>
    <row r="809" spans="1:81" ht="13">
      <c r="A809" s="536"/>
      <c r="B809" s="602"/>
      <c r="C809" s="2479" t="s">
        <v>1575</v>
      </c>
      <c r="D809" s="2479"/>
      <c r="E809" s="2479"/>
      <c r="F809" s="2479"/>
      <c r="G809" s="2479"/>
      <c r="H809" s="2479"/>
      <c r="I809" s="2479"/>
      <c r="J809" s="2479"/>
      <c r="K809" s="2479"/>
      <c r="L809" s="2479"/>
      <c r="M809" s="2479"/>
      <c r="N809" s="2479"/>
      <c r="O809" s="2479"/>
      <c r="P809" s="2479"/>
      <c r="Q809" s="2479"/>
      <c r="R809" s="2479"/>
      <c r="S809" s="2480"/>
      <c r="T809" s="2481">
        <f>AJ166</f>
        <v>7</v>
      </c>
      <c r="U809" s="2481"/>
      <c r="V809" s="2481"/>
      <c r="W809" s="2481"/>
      <c r="X809" s="2481"/>
      <c r="Y809" s="2481"/>
      <c r="Z809" s="2482">
        <v>7</v>
      </c>
      <c r="AA809" s="2482"/>
      <c r="AB809" s="2482"/>
      <c r="AC809" s="2482"/>
      <c r="AD809" s="2482"/>
      <c r="AE809" s="2482"/>
      <c r="AF809" s="2483"/>
      <c r="AG809" s="2483"/>
      <c r="AH809" s="2483"/>
      <c r="AI809" s="2483"/>
      <c r="AJ809" s="2483"/>
      <c r="AK809" s="2483"/>
      <c r="AL809" s="819"/>
      <c r="AM809" s="597"/>
    </row>
    <row r="810" spans="1:81" ht="13">
      <c r="A810" s="601"/>
      <c r="B810" s="602"/>
      <c r="C810" s="2479" t="s">
        <v>1576</v>
      </c>
      <c r="D810" s="2479"/>
      <c r="E810" s="2479"/>
      <c r="F810" s="2479"/>
      <c r="G810" s="2479"/>
      <c r="H810" s="2479"/>
      <c r="I810" s="2479"/>
      <c r="J810" s="2479"/>
      <c r="K810" s="2479"/>
      <c r="L810" s="2479"/>
      <c r="M810" s="2479"/>
      <c r="N810" s="2479"/>
      <c r="O810" s="2479"/>
      <c r="P810" s="2479"/>
      <c r="Q810" s="2479"/>
      <c r="R810" s="2479"/>
      <c r="S810" s="2480"/>
      <c r="T810" s="2481">
        <f>AJ180</f>
        <v>3</v>
      </c>
      <c r="U810" s="2481"/>
      <c r="V810" s="2481"/>
      <c r="W810" s="2481"/>
      <c r="X810" s="2481"/>
      <c r="Y810" s="2481"/>
      <c r="Z810" s="2482">
        <v>3</v>
      </c>
      <c r="AA810" s="2482"/>
      <c r="AB810" s="2482"/>
      <c r="AC810" s="2482"/>
      <c r="AD810" s="2482"/>
      <c r="AE810" s="2482"/>
      <c r="AF810" s="2483"/>
      <c r="AG810" s="2483"/>
      <c r="AH810" s="2483"/>
      <c r="AI810" s="2483"/>
      <c r="AJ810" s="2483"/>
      <c r="AK810" s="2483"/>
      <c r="AL810" s="819"/>
      <c r="AM810" s="597"/>
      <c r="AO810" s="551"/>
    </row>
    <row r="811" spans="1:81" ht="13">
      <c r="A811" s="821" t="s">
        <v>1361</v>
      </c>
      <c r="B811" s="2473" t="s">
        <v>1577</v>
      </c>
      <c r="C811" s="2473"/>
      <c r="D811" s="2473"/>
      <c r="E811" s="2473"/>
      <c r="F811" s="2473"/>
      <c r="G811" s="2473"/>
      <c r="H811" s="2473"/>
      <c r="I811" s="2473"/>
      <c r="J811" s="2473"/>
      <c r="K811" s="2473"/>
      <c r="L811" s="2473"/>
      <c r="M811" s="2473"/>
      <c r="N811" s="2473"/>
      <c r="O811" s="2473"/>
      <c r="P811" s="2473"/>
      <c r="Q811" s="2473"/>
      <c r="R811" s="2473"/>
      <c r="S811" s="2474"/>
      <c r="T811" s="2475">
        <f>AK191</f>
        <v>10</v>
      </c>
      <c r="U811" s="2475"/>
      <c r="V811" s="2475"/>
      <c r="W811" s="2475"/>
      <c r="X811" s="2475"/>
      <c r="Y811" s="2475"/>
      <c r="Z811" s="2441">
        <v>10</v>
      </c>
      <c r="AA811" s="2441"/>
      <c r="AB811" s="2441"/>
      <c r="AC811" s="2441"/>
      <c r="AD811" s="2441"/>
      <c r="AE811" s="2441"/>
      <c r="AF811" s="2441">
        <f>IF(T811&gt;Z811,Z811,T811)</f>
        <v>10</v>
      </c>
      <c r="AG811" s="2441"/>
      <c r="AH811" s="2441"/>
      <c r="AI811" s="2441"/>
      <c r="AJ811" s="2441"/>
      <c r="AK811" s="2441"/>
      <c r="AL811" s="819"/>
      <c r="AM811" s="597"/>
    </row>
    <row r="812" spans="1:81" ht="13">
      <c r="A812" s="820" t="s">
        <v>1370</v>
      </c>
      <c r="B812" s="2473" t="s">
        <v>1371</v>
      </c>
      <c r="C812" s="2473"/>
      <c r="D812" s="2473"/>
      <c r="E812" s="2473"/>
      <c r="F812" s="2473"/>
      <c r="G812" s="2473"/>
      <c r="H812" s="2473"/>
      <c r="I812" s="2473"/>
      <c r="J812" s="2473"/>
      <c r="K812" s="2473"/>
      <c r="L812" s="2473"/>
      <c r="M812" s="2473"/>
      <c r="N812" s="2473"/>
      <c r="O812" s="2473"/>
      <c r="P812" s="2473"/>
      <c r="Q812" s="2473"/>
      <c r="R812" s="2473"/>
      <c r="S812" s="2474"/>
      <c r="T812" s="2475">
        <f>AK273</f>
        <v>8</v>
      </c>
      <c r="U812" s="2475"/>
      <c r="V812" s="2475"/>
      <c r="W812" s="2475"/>
      <c r="X812" s="2475"/>
      <c r="Y812" s="2475"/>
      <c r="Z812" s="2476">
        <v>8</v>
      </c>
      <c r="AA812" s="2477"/>
      <c r="AB812" s="2477"/>
      <c r="AC812" s="2477"/>
      <c r="AD812" s="2477"/>
      <c r="AE812" s="2478"/>
      <c r="AF812" s="2441">
        <f>IF(T812&gt;Z812,Z812,T812)</f>
        <v>8</v>
      </c>
      <c r="AG812" s="2441"/>
      <c r="AH812" s="2441"/>
      <c r="AI812" s="2441"/>
      <c r="AJ812" s="2441"/>
      <c r="AK812" s="2441"/>
      <c r="AL812" s="819"/>
      <c r="AM812" s="597"/>
    </row>
    <row r="813" spans="1:81" s="535" customFormat="1" ht="13" hidden="1">
      <c r="A813" s="821" t="s">
        <v>590</v>
      </c>
      <c r="B813" s="2473" t="s">
        <v>1578</v>
      </c>
      <c r="C813" s="2473"/>
      <c r="D813" s="2473"/>
      <c r="E813" s="2473"/>
      <c r="F813" s="2473"/>
      <c r="G813" s="2473"/>
      <c r="H813" s="2473"/>
      <c r="I813" s="2473"/>
      <c r="J813" s="2473"/>
      <c r="K813" s="2473"/>
      <c r="L813" s="2473"/>
      <c r="M813" s="2473"/>
      <c r="N813" s="2473"/>
      <c r="O813" s="2473"/>
      <c r="P813" s="2473"/>
      <c r="Q813" s="2473"/>
      <c r="R813" s="2473"/>
      <c r="S813" s="2474"/>
      <c r="T813" s="2475">
        <f>IF(AK535&gt;5,5,AK535)</f>
        <v>0</v>
      </c>
      <c r="U813" s="2475"/>
      <c r="V813" s="2475"/>
      <c r="W813" s="2475"/>
      <c r="X813" s="2475"/>
      <c r="Y813" s="2475"/>
      <c r="Z813" s="2441">
        <v>5</v>
      </c>
      <c r="AA813" s="2441"/>
      <c r="AB813" s="2441"/>
      <c r="AC813" s="2441"/>
      <c r="AD813" s="2441"/>
      <c r="AE813" s="2441"/>
      <c r="AF813" s="2441">
        <f>IF(T813&gt;Z813,5,T813)</f>
        <v>0</v>
      </c>
      <c r="AG813" s="2441"/>
      <c r="AH813" s="2441"/>
      <c r="AI813" s="2441"/>
      <c r="AJ813" s="2441"/>
      <c r="AK813" s="2441"/>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1376</v>
      </c>
      <c r="B814" s="2473" t="s">
        <v>1579</v>
      </c>
      <c r="C814" s="2473"/>
      <c r="D814" s="2473"/>
      <c r="E814" s="2473"/>
      <c r="F814" s="2473"/>
      <c r="G814" s="2473"/>
      <c r="H814" s="2473"/>
      <c r="I814" s="2473"/>
      <c r="J814" s="2473"/>
      <c r="K814" s="2473"/>
      <c r="L814" s="2473"/>
      <c r="M814" s="2473"/>
      <c r="N814" s="2473"/>
      <c r="O814" s="2473"/>
      <c r="P814" s="2473"/>
      <c r="Q814" s="2473"/>
      <c r="R814" s="2473"/>
      <c r="S814" s="2474"/>
      <c r="T814" s="2475">
        <f>AK285</f>
        <v>10</v>
      </c>
      <c r="U814" s="2475"/>
      <c r="V814" s="2475"/>
      <c r="W814" s="2475"/>
      <c r="X814" s="2475"/>
      <c r="Y814" s="2475"/>
      <c r="Z814" s="2441">
        <v>10</v>
      </c>
      <c r="AA814" s="2441"/>
      <c r="AB814" s="2441"/>
      <c r="AC814" s="2441"/>
      <c r="AD814" s="2441"/>
      <c r="AE814" s="2441"/>
      <c r="AF814" s="2484">
        <f>IF(T814&gt;Z814,Z814,T814)</f>
        <v>10</v>
      </c>
      <c r="AG814" s="2485"/>
      <c r="AH814" s="2485"/>
      <c r="AI814" s="2485"/>
      <c r="AJ814" s="2485"/>
      <c r="AK814" s="2486"/>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1380</v>
      </c>
      <c r="B815" s="2473" t="s">
        <v>1381</v>
      </c>
      <c r="C815" s="2473"/>
      <c r="D815" s="2473"/>
      <c r="E815" s="2473"/>
      <c r="F815" s="2473"/>
      <c r="G815" s="2473"/>
      <c r="H815" s="2473"/>
      <c r="I815" s="2473"/>
      <c r="J815" s="2473"/>
      <c r="K815" s="2473"/>
      <c r="L815" s="2473"/>
      <c r="M815" s="2473"/>
      <c r="N815" s="2473"/>
      <c r="O815" s="2473"/>
      <c r="P815" s="2473"/>
      <c r="Q815" s="2473"/>
      <c r="R815" s="2473"/>
      <c r="S815" s="2474"/>
      <c r="T815" s="2475">
        <f>AK338</f>
        <v>9</v>
      </c>
      <c r="U815" s="2475"/>
      <c r="V815" s="2475"/>
      <c r="W815" s="2475"/>
      <c r="X815" s="2475"/>
      <c r="Y815" s="2475"/>
      <c r="Z815" s="2484">
        <v>10</v>
      </c>
      <c r="AA815" s="2485"/>
      <c r="AB815" s="2485"/>
      <c r="AC815" s="2485"/>
      <c r="AD815" s="2485"/>
      <c r="AE815" s="2486"/>
      <c r="AF815" s="2484">
        <f>IF(T815&gt;Z815,Z815,T815)</f>
        <v>9</v>
      </c>
      <c r="AG815" s="2485"/>
      <c r="AH815" s="2485"/>
      <c r="AI815" s="2485"/>
      <c r="AJ815" s="2485"/>
      <c r="AK815" s="2486"/>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1580</v>
      </c>
      <c r="D816" s="824"/>
      <c r="E816" s="824"/>
      <c r="F816" s="824"/>
      <c r="G816" s="824"/>
      <c r="H816" s="824"/>
      <c r="I816" s="824"/>
      <c r="J816" s="824"/>
      <c r="K816" s="824"/>
      <c r="L816" s="824"/>
      <c r="M816" s="824"/>
      <c r="N816" s="824"/>
      <c r="O816" s="824"/>
      <c r="P816" s="824"/>
      <c r="Q816" s="824"/>
      <c r="R816" s="822"/>
      <c r="S816" s="825"/>
      <c r="T816" s="2481">
        <f>AK338</f>
        <v>9</v>
      </c>
      <c r="U816" s="2481"/>
      <c r="V816" s="2481"/>
      <c r="W816" s="2481"/>
      <c r="X816" s="2481"/>
      <c r="Y816" s="2481"/>
      <c r="Z816" s="2429">
        <v>20</v>
      </c>
      <c r="AA816" s="2430"/>
      <c r="AB816" s="2430"/>
      <c r="AC816" s="2430"/>
      <c r="AD816" s="2430"/>
      <c r="AE816" s="2431"/>
      <c r="AF816" s="2483"/>
      <c r="AG816" s="2483"/>
      <c r="AH816" s="2483"/>
      <c r="AI816" s="2483"/>
      <c r="AJ816" s="2483"/>
      <c r="AK816" s="2483"/>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1453</v>
      </c>
      <c r="B817" s="2473" t="s">
        <v>846</v>
      </c>
      <c r="C817" s="2473"/>
      <c r="D817" s="2473"/>
      <c r="E817" s="2473"/>
      <c r="F817" s="2473"/>
      <c r="G817" s="2473"/>
      <c r="H817" s="2473"/>
      <c r="I817" s="2473"/>
      <c r="J817" s="2473"/>
      <c r="K817" s="2473"/>
      <c r="L817" s="2473"/>
      <c r="M817" s="2473"/>
      <c r="N817" s="2473"/>
      <c r="O817" s="2473"/>
      <c r="P817" s="2473"/>
      <c r="Q817" s="2473"/>
      <c r="R817" s="2473"/>
      <c r="S817" s="2474"/>
      <c r="T817" s="2475">
        <f>AK469</f>
        <v>10</v>
      </c>
      <c r="U817" s="2475"/>
      <c r="V817" s="2475"/>
      <c r="W817" s="2475"/>
      <c r="X817" s="2475"/>
      <c r="Y817" s="2475"/>
      <c r="Z817" s="2484">
        <v>10</v>
      </c>
      <c r="AA817" s="2485"/>
      <c r="AB817" s="2485"/>
      <c r="AC817" s="2485"/>
      <c r="AD817" s="2485"/>
      <c r="AE817" s="2486"/>
      <c r="AF817" s="2441">
        <f>IF(T817&gt;Z817,Z817,T817)</f>
        <v>10</v>
      </c>
      <c r="AG817" s="2441"/>
      <c r="AH817" s="2441"/>
      <c r="AI817" s="2441"/>
      <c r="AJ817" s="2441"/>
      <c r="AK817" s="2441"/>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1558</v>
      </c>
      <c r="B818" s="2473" t="s">
        <v>1559</v>
      </c>
      <c r="C818" s="2473"/>
      <c r="D818" s="2473"/>
      <c r="E818" s="2473"/>
      <c r="F818" s="2473"/>
      <c r="G818" s="2473"/>
      <c r="H818" s="2473"/>
      <c r="I818" s="2473"/>
      <c r="J818" s="2473"/>
      <c r="K818" s="2473"/>
      <c r="L818" s="2473"/>
      <c r="M818" s="2473"/>
      <c r="N818" s="2473"/>
      <c r="O818" s="2473"/>
      <c r="P818" s="2473"/>
      <c r="Q818" s="2473"/>
      <c r="R818" s="2473"/>
      <c r="S818" s="2474"/>
      <c r="T818" s="2475">
        <f>AK559</f>
        <v>12</v>
      </c>
      <c r="U818" s="2475"/>
      <c r="V818" s="2475"/>
      <c r="W818" s="2475"/>
      <c r="X818" s="2475"/>
      <c r="Y818" s="2475"/>
      <c r="Z818" s="2484">
        <v>12</v>
      </c>
      <c r="AA818" s="2485"/>
      <c r="AB818" s="2485"/>
      <c r="AC818" s="2485"/>
      <c r="AD818" s="2485"/>
      <c r="AE818" s="2486"/>
      <c r="AF818" s="2441">
        <f>IF(T818&gt;Z818,Z818,T818)</f>
        <v>12</v>
      </c>
      <c r="AG818" s="2441"/>
      <c r="AH818" s="2441"/>
      <c r="AI818" s="2441"/>
      <c r="AJ818" s="2441"/>
      <c r="AK818" s="2441"/>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2022</v>
      </c>
      <c r="B819" s="2473" t="s">
        <v>1581</v>
      </c>
      <c r="C819" s="2473"/>
      <c r="D819" s="2473"/>
      <c r="E819" s="2473"/>
      <c r="F819" s="2473"/>
      <c r="G819" s="2473"/>
      <c r="H819" s="2473"/>
      <c r="I819" s="2473"/>
      <c r="J819" s="2473"/>
      <c r="K819" s="2473"/>
      <c r="L819" s="2473"/>
      <c r="M819" s="2473"/>
      <c r="N819" s="2473"/>
      <c r="O819" s="2473"/>
      <c r="P819" s="2473"/>
      <c r="Q819" s="2473"/>
      <c r="R819" s="2473"/>
      <c r="S819" s="2474"/>
      <c r="T819" s="2475">
        <f>AK794</f>
        <v>10</v>
      </c>
      <c r="U819" s="2475"/>
      <c r="V819" s="2475"/>
      <c r="W819" s="2475"/>
      <c r="X819" s="2475"/>
      <c r="Y819" s="2475"/>
      <c r="Z819" s="2484">
        <v>10</v>
      </c>
      <c r="AA819" s="2485"/>
      <c r="AB819" s="2485"/>
      <c r="AC819" s="2485"/>
      <c r="AD819" s="2485"/>
      <c r="AE819" s="2486"/>
      <c r="AF819" s="2441">
        <f>IF(T819&gt;Z819,Z819,T819)</f>
        <v>10</v>
      </c>
      <c r="AG819" s="2441"/>
      <c r="AH819" s="2441"/>
      <c r="AI819" s="2441"/>
      <c r="AJ819" s="2441"/>
      <c r="AK819" s="2441"/>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487" t="s">
        <v>1582</v>
      </c>
      <c r="B820" s="2473"/>
      <c r="C820" s="2473"/>
      <c r="D820" s="2473"/>
      <c r="E820" s="2473"/>
      <c r="F820" s="2473"/>
      <c r="G820" s="2473"/>
      <c r="H820" s="2473"/>
      <c r="I820" s="2473"/>
      <c r="J820" s="2473"/>
      <c r="K820" s="2473"/>
      <c r="L820" s="2473"/>
      <c r="M820" s="2473"/>
      <c r="N820" s="2473"/>
      <c r="O820" s="2473"/>
      <c r="P820" s="2473"/>
      <c r="Q820" s="2473"/>
      <c r="R820" s="2473"/>
      <c r="S820" s="2474"/>
      <c r="T820" s="2488"/>
      <c r="U820" s="2488"/>
      <c r="V820" s="2488"/>
      <c r="W820" s="2488"/>
      <c r="X820" s="2488"/>
      <c r="Y820" s="2488"/>
      <c r="Z820" s="2482" t="s">
        <v>1583</v>
      </c>
      <c r="AA820" s="2482"/>
      <c r="AB820" s="2482"/>
      <c r="AC820" s="2482"/>
      <c r="AD820" s="2482"/>
      <c r="AE820" s="2482"/>
      <c r="AF820" s="2484">
        <f>IF(T820&gt;0,T820,0)</f>
        <v>0</v>
      </c>
      <c r="AG820" s="2485"/>
      <c r="AH820" s="2485"/>
      <c r="AI820" s="2485"/>
      <c r="AJ820" s="2485"/>
      <c r="AK820" s="2486"/>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489" t="s">
        <v>1584</v>
      </c>
      <c r="B821" s="2490"/>
      <c r="C821" s="2490"/>
      <c r="D821" s="2490"/>
      <c r="E821" s="2490"/>
      <c r="F821" s="2490"/>
      <c r="G821" s="2490"/>
      <c r="H821" s="2490"/>
      <c r="I821" s="2490"/>
      <c r="J821" s="2490"/>
      <c r="K821" s="2490"/>
      <c r="L821" s="2490"/>
      <c r="M821" s="2490"/>
      <c r="N821" s="2490"/>
      <c r="O821" s="2490"/>
      <c r="P821" s="2490"/>
      <c r="Q821" s="2490"/>
      <c r="R821" s="2490"/>
      <c r="S821" s="2490"/>
      <c r="T821" s="2490"/>
      <c r="U821" s="2490"/>
      <c r="V821" s="2490"/>
      <c r="W821" s="2490"/>
      <c r="X821" s="2490"/>
      <c r="Y821" s="2490"/>
      <c r="Z821" s="2490"/>
      <c r="AA821" s="2490"/>
      <c r="AB821" s="2490"/>
      <c r="AC821" s="2490"/>
      <c r="AD821" s="2490"/>
      <c r="AE821" s="2491"/>
      <c r="AF821" s="2495">
        <f ca="1">SUM(AF804:AK819)-AF820</f>
        <v>119</v>
      </c>
      <c r="AG821" s="2496"/>
      <c r="AH821" s="2496"/>
      <c r="AI821" s="2496"/>
      <c r="AJ821" s="2496"/>
      <c r="AK821" s="2497"/>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492"/>
      <c r="B822" s="2493"/>
      <c r="C822" s="2493"/>
      <c r="D822" s="2493"/>
      <c r="E822" s="2493"/>
      <c r="F822" s="2493"/>
      <c r="G822" s="2493"/>
      <c r="H822" s="2493"/>
      <c r="I822" s="2493"/>
      <c r="J822" s="2493"/>
      <c r="K822" s="2493"/>
      <c r="L822" s="2493"/>
      <c r="M822" s="2493"/>
      <c r="N822" s="2493"/>
      <c r="O822" s="2493"/>
      <c r="P822" s="2493"/>
      <c r="Q822" s="2493"/>
      <c r="R822" s="2493"/>
      <c r="S822" s="2493"/>
      <c r="T822" s="2493"/>
      <c r="U822" s="2493"/>
      <c r="V822" s="2493"/>
      <c r="W822" s="2493"/>
      <c r="X822" s="2493"/>
      <c r="Y822" s="2493"/>
      <c r="Z822" s="2493"/>
      <c r="AA822" s="2493"/>
      <c r="AB822" s="2493"/>
      <c r="AC822" s="2493"/>
      <c r="AD822" s="2493"/>
      <c r="AE822" s="2494"/>
      <c r="AF822" s="2498"/>
      <c r="AG822" s="2499"/>
      <c r="AH822" s="2499"/>
      <c r="AI822" s="2499"/>
      <c r="AJ822" s="2499"/>
      <c r="AK822" s="2500"/>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sxZJw5aF8QNar7jirkjsX23wOGE+KkJucRI+zGi17Zcp3ox4e1tcrcC6GtcaJmpal2DoygcjB6jGKJeYbHp8Xg==" saltValue="3GAGsxftkA3oH6wA2BNXg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5" priority="1">
      <formula>AND(NOT($AO$695),OR($H$709="(ii)",$H$709="(iii)"))</formula>
    </cfRule>
  </conditionalFormatting>
  <conditionalFormatting sqref="Q606">
    <cfRule type="expression" dxfId="14" priority="2">
      <formula>$H$606="(iv)"</formula>
    </cfRule>
  </conditionalFormatting>
  <conditionalFormatting sqref="R606:W606">
    <cfRule type="expression" dxfId="13" priority="3">
      <formula>$H$606="(iv)"</formula>
    </cfRule>
  </conditionalFormatting>
  <conditionalFormatting sqref="T812:Y812">
    <cfRule type="expression" dxfId="12" priority="10" stopIfTrue="1">
      <formula>ISERROR(T812)</formula>
    </cfRule>
  </conditionalFormatting>
  <conditionalFormatting sqref="T817:Z819">
    <cfRule type="expression" dxfId="11" priority="4" stopIfTrue="1">
      <formula>ISERROR(T817)</formula>
    </cfRule>
  </conditionalFormatting>
  <conditionalFormatting sqref="AF804:AK807">
    <cfRule type="expression" dxfId="10" priority="6" stopIfTrue="1">
      <formula>ISERROR(AF804)</formula>
    </cfRule>
  </conditionalFormatting>
  <conditionalFormatting sqref="AF812:AK812">
    <cfRule type="expression" dxfId="9" priority="11" stopIfTrue="1">
      <formula>ISERROR(AF812)</formula>
    </cfRule>
  </conditionalFormatting>
  <conditionalFormatting sqref="AF817:AK819">
    <cfRule type="expression" dxfId="8" priority="12" stopIfTrue="1">
      <formula>ISERROR(AF817)</formula>
    </cfRule>
  </conditionalFormatting>
  <conditionalFormatting sqref="AN455:AN459 AU471 AV472:AV474 T808:AK808 T809:AF811 AG811:AK811 T813:AK815 T816:AF816 AF819:AF821 T820:AE820 AG820:AL820">
    <cfRule type="expression" dxfId="7" priority="16" stopIfTrue="1">
      <formula>ISERROR(T455)</formula>
    </cfRule>
  </conditionalFormatting>
  <conditionalFormatting sqref="AP471">
    <cfRule type="expression" dxfId="6"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McDaniels, Stefanie</cp:lastModifiedBy>
  <cp:lastPrinted>2025-01-22T23:00:19Z</cp:lastPrinted>
  <dcterms:created xsi:type="dcterms:W3CDTF">2007-12-27T18:26:28Z</dcterms:created>
  <dcterms:modified xsi:type="dcterms:W3CDTF">2025-02-03T19:54:21Z</dcterms:modified>
</cp:coreProperties>
</file>